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9.xml" ContentType="application/vnd.openxmlformats-officedocument.spreadsheetml.comments+xml"/>
  <Override PartName="/xl/drawings/drawing8.xml" ContentType="application/vnd.openxmlformats-officedocument.drawing+xml"/>
  <Override PartName="/xl/comments10.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10.xml" ContentType="application/vnd.openxmlformats-officedocument.drawing+xml"/>
  <Override PartName="/xl/comments11.xml" ContentType="application/vnd.openxmlformats-officedocument.spreadsheetml.comments+xml"/>
  <Override PartName="/xl/charts/chart15.xml" ContentType="application/vnd.openxmlformats-officedocument.drawingml.chart+xml"/>
  <Override PartName="/xl/drawings/drawing11.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12.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13.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workbookProtection workbookPassword="DFD3" lockStructure="1"/>
  <bookViews>
    <workbookView xWindow="-15" yWindow="-15" windowWidth="11340" windowHeight="7710" tabRatio="375" firstSheet="2" activeTab="5"/>
  </bookViews>
  <sheets>
    <sheet name="inflCalc_1" sheetId="25" state="veryHidden" r:id="rId1"/>
    <sheet name="PTModule" sheetId="26" state="veryHidden" r:id="rId2"/>
    <sheet name="About" sheetId="47" r:id="rId3"/>
    <sheet name="Influence diagram" sheetId="24" state="hidden" r:id="rId4"/>
    <sheet name="FAQ" sheetId="56" r:id="rId5"/>
    <sheet name="Start" sheetId="48" r:id="rId6"/>
    <sheet name="ProjectData" sheetId="20" r:id="rId7"/>
    <sheet name="Summary Results" sheetId="44" r:id="rId8"/>
    <sheet name="User Add-in Location" sheetId="41" r:id="rId9"/>
    <sheet name="Calculations" sheetId="43" r:id="rId10"/>
    <sheet name="Default Data" sheetId="49" r:id="rId11"/>
    <sheet name="Local Share" sheetId="53" r:id="rId12"/>
    <sheet name="Brine effectiveness" sheetId="34" r:id="rId13"/>
    <sheet name="Rates &amp; Misc" sheetId="50" r:id="rId14"/>
    <sheet name="Job Rates and Wages" sheetId="22" r:id="rId15"/>
    <sheet name="Fluid Density" sheetId="35" r:id="rId16"/>
    <sheet name="Binary Economies of Scale" sheetId="51" r:id="rId17"/>
    <sheet name="Binary  plant costs" sheetId="7" r:id="rId18"/>
    <sheet name="Flash Plant Costs" sheetId="39" r:id="rId19"/>
    <sheet name="Flash Economies of Scale" sheetId="52" r:id="rId20"/>
    <sheet name="Multipliers" sheetId="40" state="hidden" r:id="rId21"/>
    <sheet name="Flash O&amp;M" sheetId="36" r:id="rId22"/>
    <sheet name="Household Exp" sheetId="42" state="hidden" r:id="rId23"/>
    <sheet name="Deflators" sheetId="45" r:id="rId24"/>
    <sheet name="Drill Cost Curves" sheetId="1" r:id="rId25"/>
    <sheet name="BLS PPI Oil Gas Drilling" sheetId="12" r:id="rId26"/>
    <sheet name="CERA PCCI power plant index" sheetId="29" r:id="rId27"/>
    <sheet name="Binary Parasitic Losses" sheetId="54" r:id="rId28"/>
    <sheet name="Flash Parasitic Losses" sheetId="55" r:id="rId29"/>
  </sheets>
  <externalReferences>
    <externalReference r:id="rId30"/>
  </externalReferences>
  <definedNames>
    <definedName name="diagBoxRange" localSheetId="3">'Influence diagram'!$A$1:$B$5</definedName>
    <definedName name="inflList" hidden="1">"10000000000000000000000000000000000000000000000000000000000000000000000000000000000000000000000000000000000000000000000000000000000000000000000000000000000000000000000000000000000000000000000000000000"</definedName>
    <definedName name="PlantScalar">ProjectData!$BA$21:$BA$23</definedName>
    <definedName name="PLScalar">ProjectData!$BA$21:$BA$24</definedName>
    <definedName name="Scalar">ProjectData!$BA$21:$BA$22</definedName>
    <definedName name="Statelist">ProjectData!$Y$792:$Y$845</definedName>
    <definedName name="States">ProjectData!$Y$792:$Y$844</definedName>
    <definedName name="StimulationCosts">'Rates &amp; Misc'!$B$55:$B$57</definedName>
    <definedName name="Summary_Results" localSheetId="18">'[1]JEDI geo input output summary'!#REF!</definedName>
  </definedNames>
  <calcPr calcId="144525" iterate="1" iterateCount="1000" iterateDelta="10000" calcOnSave="0" concurrentCalc="0"/>
</workbook>
</file>

<file path=xl/calcChain.xml><?xml version="1.0" encoding="utf-8"?>
<calcChain xmlns="http://schemas.openxmlformats.org/spreadsheetml/2006/main">
  <c r="B210" i="20" l="1"/>
  <c r="B209" i="20"/>
  <c r="B208" i="20"/>
  <c r="B207" i="20"/>
  <c r="B206" i="20"/>
  <c r="B205" i="20"/>
  <c r="B204" i="20"/>
  <c r="B202" i="20"/>
  <c r="F196" i="20"/>
  <c r="F195" i="20"/>
  <c r="F194" i="20"/>
  <c r="F193" i="20"/>
  <c r="F192" i="20"/>
  <c r="B199" i="20"/>
  <c r="B198" i="20"/>
  <c r="B197" i="20"/>
  <c r="B196" i="20"/>
  <c r="B195" i="20"/>
  <c r="B194" i="20"/>
  <c r="B193" i="20"/>
  <c r="B192" i="20"/>
  <c r="B190" i="20"/>
  <c r="E187" i="20"/>
  <c r="B187" i="20"/>
  <c r="B185" i="20"/>
  <c r="B183" i="20"/>
  <c r="B182" i="20"/>
  <c r="E180" i="20"/>
  <c r="B177" i="20"/>
  <c r="B178" i="20"/>
  <c r="B184" i="20"/>
  <c r="D39" i="20"/>
  <c r="D48" i="20"/>
  <c r="B21" i="20"/>
  <c r="C14" i="34"/>
  <c r="G19" i="20"/>
  <c r="G20" i="20"/>
  <c r="D72" i="20"/>
  <c r="D73" i="20"/>
  <c r="D74" i="20"/>
  <c r="D75" i="20"/>
  <c r="D76" i="20"/>
  <c r="D77" i="20"/>
  <c r="D78" i="20"/>
  <c r="D79" i="20"/>
  <c r="D80" i="20"/>
  <c r="D81" i="20"/>
  <c r="D82" i="20"/>
  <c r="D83" i="20"/>
  <c r="D84" i="20"/>
  <c r="D85" i="20"/>
  <c r="D86" i="20"/>
  <c r="D87" i="20"/>
  <c r="D88" i="20"/>
  <c r="D89" i="20"/>
  <c r="D90" i="20"/>
  <c r="D135" i="20"/>
  <c r="D136" i="20"/>
  <c r="D137" i="20"/>
  <c r="B179" i="20"/>
  <c r="B176" i="20"/>
  <c r="B180" i="20"/>
  <c r="B174" i="20"/>
  <c r="B173" i="20"/>
  <c r="E172" i="20"/>
  <c r="E171" i="20"/>
  <c r="B171" i="20"/>
  <c r="E166" i="20"/>
  <c r="B168" i="20"/>
  <c r="B167" i="20"/>
  <c r="B166" i="20"/>
  <c r="F157" i="20"/>
  <c r="F156" i="20"/>
  <c r="F155" i="20"/>
  <c r="F154" i="20"/>
  <c r="F153" i="20"/>
  <c r="C136" i="49"/>
  <c r="C157" i="49"/>
  <c r="F156" i="49"/>
  <c r="D163" i="49"/>
  <c r="F163" i="49"/>
  <c r="G163" i="49"/>
  <c r="G173" i="49"/>
  <c r="G18" i="49"/>
  <c r="G16" i="49"/>
  <c r="C135" i="49"/>
  <c r="D141" i="49"/>
  <c r="F141" i="49"/>
  <c r="G141" i="49"/>
  <c r="G151" i="49"/>
  <c r="D141" i="20"/>
  <c r="T18" i="49"/>
  <c r="D153" i="20"/>
  <c r="F150" i="20"/>
  <c r="F149" i="20"/>
  <c r="F148" i="20"/>
  <c r="F147" i="20"/>
  <c r="F146" i="20"/>
  <c r="F145" i="20"/>
  <c r="D145" i="20"/>
  <c r="F142" i="20"/>
  <c r="F141" i="20"/>
  <c r="F157" i="49"/>
  <c r="D164" i="49"/>
  <c r="F164" i="49"/>
  <c r="G164" i="49"/>
  <c r="D165" i="49"/>
  <c r="F165" i="49"/>
  <c r="G165" i="49"/>
  <c r="D166" i="49"/>
  <c r="F166" i="49"/>
  <c r="G166" i="49"/>
  <c r="F158" i="49"/>
  <c r="D167" i="49"/>
  <c r="F167" i="49"/>
  <c r="G167" i="49"/>
  <c r="D168" i="49"/>
  <c r="F168" i="49"/>
  <c r="G168" i="49"/>
  <c r="D169" i="49"/>
  <c r="F169" i="49"/>
  <c r="G169" i="49"/>
  <c r="G170" i="49"/>
  <c r="G172" i="49"/>
  <c r="G174" i="49"/>
  <c r="D142" i="49"/>
  <c r="F142" i="49"/>
  <c r="G142" i="49"/>
  <c r="D143" i="49"/>
  <c r="F143" i="49"/>
  <c r="G143" i="49"/>
  <c r="D144" i="49"/>
  <c r="F144" i="49"/>
  <c r="G144" i="49"/>
  <c r="D145" i="49"/>
  <c r="F145" i="49"/>
  <c r="G145" i="49"/>
  <c r="D146" i="49"/>
  <c r="F146" i="49"/>
  <c r="G146" i="49"/>
  <c r="D147" i="49"/>
  <c r="F147" i="49"/>
  <c r="G147" i="49"/>
  <c r="G148" i="49"/>
  <c r="G150" i="49"/>
  <c r="G152" i="49"/>
  <c r="D142" i="20"/>
  <c r="F133" i="20"/>
  <c r="F132" i="20"/>
  <c r="F131" i="20"/>
  <c r="F130" i="20"/>
  <c r="F129" i="20"/>
  <c r="F128" i="20"/>
  <c r="F127" i="20"/>
  <c r="D133" i="20"/>
  <c r="D132" i="20"/>
  <c r="D131" i="20"/>
  <c r="D130" i="20"/>
  <c r="D129" i="20"/>
  <c r="D128" i="20"/>
  <c r="D127" i="20"/>
  <c r="F122" i="20"/>
  <c r="F121" i="20"/>
  <c r="F120" i="20"/>
  <c r="F119" i="20"/>
  <c r="D122" i="20"/>
  <c r="D121" i="20"/>
  <c r="D120" i="20"/>
  <c r="D119" i="20"/>
  <c r="F116" i="20"/>
  <c r="F115" i="20"/>
  <c r="F114" i="20"/>
  <c r="F113" i="20"/>
  <c r="F112" i="20"/>
  <c r="D116" i="20"/>
  <c r="D115" i="20"/>
  <c r="D114" i="20"/>
  <c r="D113" i="20"/>
  <c r="D112" i="20"/>
  <c r="H42" i="50"/>
  <c r="N115" i="49"/>
  <c r="B116" i="20"/>
  <c r="H41" i="50"/>
  <c r="N114" i="49"/>
  <c r="B115" i="20"/>
  <c r="H40" i="50"/>
  <c r="N113" i="49"/>
  <c r="B114" i="20"/>
  <c r="H39" i="50"/>
  <c r="N112" i="49"/>
  <c r="B113" i="20"/>
  <c r="H38" i="50"/>
  <c r="N111" i="49"/>
  <c r="B112" i="20"/>
  <c r="F106" i="20"/>
  <c r="F105" i="20"/>
  <c r="F104" i="20"/>
  <c r="F103" i="20"/>
  <c r="F100" i="20"/>
  <c r="F99" i="20"/>
  <c r="F98" i="20"/>
  <c r="F97" i="20"/>
  <c r="F96" i="20"/>
  <c r="F95" i="20"/>
  <c r="F94" i="20"/>
  <c r="B103" i="20"/>
  <c r="B104" i="20"/>
  <c r="B105" i="20"/>
  <c r="B106" i="20"/>
  <c r="B107" i="20"/>
  <c r="B100" i="20"/>
  <c r="B99" i="20"/>
  <c r="B98" i="20"/>
  <c r="B97" i="20"/>
  <c r="B96" i="20"/>
  <c r="B95" i="20"/>
  <c r="B94" i="20"/>
  <c r="F89" i="20"/>
  <c r="F88" i="20"/>
  <c r="F87" i="20"/>
  <c r="F86" i="20"/>
  <c r="F85" i="20"/>
  <c r="F84" i="20"/>
  <c r="F83" i="20"/>
  <c r="F82" i="20"/>
  <c r="F81" i="20"/>
  <c r="F80" i="20"/>
  <c r="F79" i="20"/>
  <c r="F78" i="20"/>
  <c r="F77" i="20"/>
  <c r="F76" i="20"/>
  <c r="F75" i="20"/>
  <c r="F74" i="20"/>
  <c r="F73" i="20"/>
  <c r="F72" i="20"/>
  <c r="C89" i="20"/>
  <c r="C88" i="20"/>
  <c r="C87" i="20"/>
  <c r="C86" i="20"/>
  <c r="C85" i="20"/>
  <c r="C84" i="20"/>
  <c r="C83" i="20"/>
  <c r="C82" i="20"/>
  <c r="C81" i="20"/>
  <c r="C80" i="20"/>
  <c r="B79" i="20"/>
  <c r="B78" i="20"/>
  <c r="B77" i="20"/>
  <c r="B76" i="20"/>
  <c r="B75" i="20"/>
  <c r="B74" i="20"/>
  <c r="B73" i="20"/>
  <c r="B72" i="20"/>
  <c r="F68" i="20"/>
  <c r="F67" i="20"/>
  <c r="F66" i="20"/>
  <c r="F65" i="20"/>
  <c r="F64" i="20"/>
  <c r="F63" i="20"/>
  <c r="F62" i="20"/>
  <c r="F61" i="20"/>
  <c r="F60" i="20"/>
  <c r="F59" i="20"/>
  <c r="F58" i="20"/>
  <c r="F57" i="20"/>
  <c r="F56" i="20"/>
  <c r="F55" i="20"/>
  <c r="F54" i="20"/>
  <c r="F53" i="20"/>
  <c r="F52" i="20"/>
  <c r="F51" i="20"/>
  <c r="C68" i="20"/>
  <c r="C67" i="20"/>
  <c r="C66" i="20"/>
  <c r="C65" i="20"/>
  <c r="C64" i="20"/>
  <c r="C63" i="20"/>
  <c r="C62" i="20"/>
  <c r="C61" i="20"/>
  <c r="C60" i="20"/>
  <c r="C59" i="20"/>
  <c r="B58" i="20"/>
  <c r="B57" i="20"/>
  <c r="B56" i="20"/>
  <c r="B55" i="20"/>
  <c r="B54" i="20"/>
  <c r="B53" i="20"/>
  <c r="B52" i="20"/>
  <c r="B51" i="20"/>
  <c r="F47" i="20"/>
  <c r="F46" i="20"/>
  <c r="F45" i="20"/>
  <c r="F44" i="20"/>
  <c r="F43" i="20"/>
  <c r="F42" i="20"/>
  <c r="F41" i="20"/>
  <c r="D47" i="20"/>
  <c r="D46" i="20"/>
  <c r="D45" i="20"/>
  <c r="D44" i="20"/>
  <c r="D43" i="20"/>
  <c r="D42" i="20"/>
  <c r="D41" i="20"/>
  <c r="D29" i="50"/>
  <c r="D45" i="49"/>
  <c r="B46" i="20"/>
  <c r="D28" i="50"/>
  <c r="D44" i="49"/>
  <c r="B45" i="20"/>
  <c r="D27" i="50"/>
  <c r="D43" i="49"/>
  <c r="B44" i="20"/>
  <c r="D26" i="50"/>
  <c r="D42" i="49"/>
  <c r="B43" i="20"/>
  <c r="D25" i="50"/>
  <c r="D41" i="49"/>
  <c r="B42" i="20"/>
  <c r="D24" i="50"/>
  <c r="D40" i="49"/>
  <c r="B41" i="20"/>
  <c r="F39" i="20"/>
  <c r="F38" i="20"/>
  <c r="F37" i="20"/>
  <c r="F36" i="20"/>
  <c r="D38" i="20"/>
  <c r="D37" i="20"/>
  <c r="D36" i="20"/>
  <c r="D21" i="50"/>
  <c r="D36" i="49"/>
  <c r="B37" i="20"/>
  <c r="D20" i="50"/>
  <c r="D35" i="49"/>
  <c r="B36" i="20"/>
  <c r="D52" i="45"/>
  <c r="D51" i="45"/>
  <c r="F8" i="45"/>
  <c r="F7" i="45"/>
  <c r="BF21" i="44"/>
  <c r="BE21" i="44"/>
  <c r="E21" i="44"/>
  <c r="W184" i="43"/>
  <c r="AF205" i="40"/>
  <c r="AE205" i="40"/>
  <c r="AF204" i="40"/>
  <c r="AE204" i="40"/>
  <c r="AF203" i="40"/>
  <c r="AE203" i="40"/>
  <c r="AF202" i="40"/>
  <c r="AE202" i="40"/>
  <c r="AF201" i="40"/>
  <c r="AE201" i="40"/>
  <c r="AF200" i="40"/>
  <c r="AE200" i="40"/>
  <c r="AF199" i="40"/>
  <c r="AE199" i="40"/>
  <c r="AF198" i="40"/>
  <c r="AE198" i="40"/>
  <c r="AF197" i="40"/>
  <c r="AE197" i="40"/>
  <c r="AF196" i="40"/>
  <c r="AE196" i="40"/>
  <c r="AF195" i="40"/>
  <c r="AE195" i="40"/>
  <c r="AF194" i="40"/>
  <c r="AE194" i="40"/>
  <c r="AF193" i="40"/>
  <c r="AE193" i="40"/>
  <c r="AF192" i="40"/>
  <c r="AE192" i="40"/>
  <c r="AF188" i="40"/>
  <c r="AE188" i="40"/>
  <c r="AF187" i="40"/>
  <c r="AE187" i="40"/>
  <c r="AF186" i="40"/>
  <c r="AE186" i="40"/>
  <c r="AF185" i="40"/>
  <c r="AE185" i="40"/>
  <c r="AF184" i="40"/>
  <c r="AE184" i="40"/>
  <c r="AF183" i="40"/>
  <c r="AE183" i="40"/>
  <c r="AF182" i="40"/>
  <c r="AE182" i="40"/>
  <c r="AF181" i="40"/>
  <c r="AE181" i="40"/>
  <c r="AF180" i="40"/>
  <c r="AE180" i="40"/>
  <c r="AF179" i="40"/>
  <c r="AE179" i="40"/>
  <c r="AF178" i="40"/>
  <c r="AE178" i="40"/>
  <c r="AF177" i="40"/>
  <c r="AE177" i="40"/>
  <c r="AF176" i="40"/>
  <c r="AE176" i="40"/>
  <c r="AF175" i="40"/>
  <c r="AE175" i="40"/>
  <c r="AF171" i="40"/>
  <c r="AE171" i="40"/>
  <c r="AF170" i="40"/>
  <c r="AE170" i="40"/>
  <c r="AF169" i="40"/>
  <c r="AE169" i="40"/>
  <c r="AF168" i="40"/>
  <c r="AE168" i="40"/>
  <c r="AF167" i="40"/>
  <c r="AE167" i="40"/>
  <c r="AF166" i="40"/>
  <c r="AE166" i="40"/>
  <c r="AF165" i="40"/>
  <c r="AE165" i="40"/>
  <c r="AF164" i="40"/>
  <c r="AE164" i="40"/>
  <c r="AF163" i="40"/>
  <c r="AE163" i="40"/>
  <c r="AF162" i="40"/>
  <c r="AE162" i="40"/>
  <c r="AF161" i="40"/>
  <c r="AE161" i="40"/>
  <c r="AF160" i="40"/>
  <c r="AE160" i="40"/>
  <c r="AF159" i="40"/>
  <c r="AE159" i="40"/>
  <c r="AF158" i="40"/>
  <c r="AE158" i="40"/>
  <c r="R226" i="40"/>
  <c r="Q226" i="40"/>
  <c r="P226" i="40"/>
  <c r="R225" i="40"/>
  <c r="Q225" i="40"/>
  <c r="P225" i="40"/>
  <c r="R224" i="40"/>
  <c r="Q224" i="40"/>
  <c r="P224" i="40"/>
  <c r="S224" i="40"/>
  <c r="R223" i="40"/>
  <c r="Q223" i="40"/>
  <c r="P223" i="40"/>
  <c r="S223" i="40"/>
  <c r="R222" i="40"/>
  <c r="Q222" i="40"/>
  <c r="P222" i="40"/>
  <c r="S222" i="40"/>
  <c r="R221" i="40"/>
  <c r="Q221" i="40"/>
  <c r="P221" i="40"/>
  <c r="S221" i="40"/>
  <c r="R220" i="40"/>
  <c r="E4" i="45"/>
  <c r="E5" i="45"/>
  <c r="F139" i="43"/>
  <c r="F150" i="43"/>
  <c r="Y150" i="43"/>
  <c r="Q220" i="40"/>
  <c r="X150" i="43"/>
  <c r="P220" i="40"/>
  <c r="S220" i="40"/>
  <c r="R219" i="40"/>
  <c r="F149" i="43"/>
  <c r="Y149" i="43"/>
  <c r="Q219" i="40"/>
  <c r="X149" i="43"/>
  <c r="P219" i="40"/>
  <c r="S219" i="40"/>
  <c r="R218" i="40"/>
  <c r="Q218" i="40"/>
  <c r="P218" i="40"/>
  <c r="S218" i="40"/>
  <c r="R217" i="40"/>
  <c r="F147" i="43"/>
  <c r="Y147" i="43"/>
  <c r="Q217" i="40"/>
  <c r="X147" i="43"/>
  <c r="P217" i="40"/>
  <c r="S217" i="40"/>
  <c r="R216" i="40"/>
  <c r="Q216" i="40"/>
  <c r="P216" i="40"/>
  <c r="S216" i="40"/>
  <c r="R215" i="40"/>
  <c r="Q215" i="40"/>
  <c r="P215" i="40"/>
  <c r="R214" i="40"/>
  <c r="F144" i="43"/>
  <c r="Y144" i="43"/>
  <c r="Q214" i="40"/>
  <c r="X144" i="43"/>
  <c r="P214" i="40"/>
  <c r="S214" i="40"/>
  <c r="R213" i="40"/>
  <c r="F143" i="43"/>
  <c r="Y143" i="43"/>
  <c r="Q213" i="40"/>
  <c r="X143" i="43"/>
  <c r="P213" i="40"/>
  <c r="W143" i="43"/>
  <c r="S213" i="40"/>
  <c r="S215" i="40"/>
  <c r="S225" i="40"/>
  <c r="S226" i="40"/>
  <c r="W144" i="43"/>
  <c r="W147" i="43"/>
  <c r="Z147" i="43"/>
  <c r="W149" i="43"/>
  <c r="Z149" i="43"/>
  <c r="W150" i="43"/>
  <c r="Z150" i="43"/>
  <c r="Z143" i="43"/>
  <c r="E232" i="49"/>
  <c r="E217" i="49"/>
  <c r="E210" i="49"/>
  <c r="D125" i="53"/>
  <c r="H200" i="49"/>
  <c r="D124" i="53"/>
  <c r="H199" i="49"/>
  <c r="D123" i="53"/>
  <c r="H198" i="49"/>
  <c r="D122" i="53"/>
  <c r="H197" i="49"/>
  <c r="D121" i="53"/>
  <c r="H196" i="49"/>
  <c r="D118" i="53"/>
  <c r="H193" i="49"/>
  <c r="D117" i="53"/>
  <c r="H192" i="49"/>
  <c r="D116" i="53"/>
  <c r="H191" i="49"/>
  <c r="D115" i="53"/>
  <c r="H190" i="49"/>
  <c r="D114" i="53"/>
  <c r="H189" i="49"/>
  <c r="D113" i="53"/>
  <c r="H188" i="49"/>
  <c r="D110" i="53"/>
  <c r="H174" i="49"/>
  <c r="D109" i="53"/>
  <c r="H173" i="49"/>
  <c r="H169" i="49"/>
  <c r="H168" i="49"/>
  <c r="H167" i="49"/>
  <c r="H166" i="49"/>
  <c r="H165" i="49"/>
  <c r="H164" i="49"/>
  <c r="H163" i="49"/>
  <c r="H147" i="49"/>
  <c r="H146" i="49"/>
  <c r="H145" i="49"/>
  <c r="H144" i="49"/>
  <c r="H143" i="49"/>
  <c r="H142" i="49"/>
  <c r="H141" i="49"/>
  <c r="D101" i="53"/>
  <c r="H132" i="49"/>
  <c r="D100" i="53"/>
  <c r="H131" i="49"/>
  <c r="D99" i="53"/>
  <c r="H130" i="49"/>
  <c r="D98" i="53"/>
  <c r="H129" i="49"/>
  <c r="D97" i="53"/>
  <c r="H128" i="49"/>
  <c r="D96" i="53"/>
  <c r="H127" i="49"/>
  <c r="D95" i="53"/>
  <c r="H126" i="49"/>
  <c r="D90" i="53"/>
  <c r="H121" i="49"/>
  <c r="D89" i="53"/>
  <c r="H120" i="49"/>
  <c r="D88" i="53"/>
  <c r="H119" i="49"/>
  <c r="D87" i="53"/>
  <c r="H118" i="49"/>
  <c r="D84" i="53"/>
  <c r="H115" i="49"/>
  <c r="D83" i="53"/>
  <c r="H114" i="49"/>
  <c r="D82" i="53"/>
  <c r="H113" i="49"/>
  <c r="D81" i="53"/>
  <c r="H112" i="49"/>
  <c r="D80" i="53"/>
  <c r="H111" i="49"/>
  <c r="H106" i="49"/>
  <c r="D74" i="53"/>
  <c r="H105" i="49"/>
  <c r="D73" i="53"/>
  <c r="H104" i="49"/>
  <c r="D72" i="53"/>
  <c r="H103" i="49"/>
  <c r="D71" i="53"/>
  <c r="H102" i="49"/>
  <c r="D68" i="53"/>
  <c r="H99" i="49"/>
  <c r="D67" i="53"/>
  <c r="H98" i="49"/>
  <c r="D66" i="53"/>
  <c r="H97" i="49"/>
  <c r="D65" i="53"/>
  <c r="H96" i="49"/>
  <c r="D64" i="53"/>
  <c r="H95" i="49"/>
  <c r="D63" i="53"/>
  <c r="H94" i="49"/>
  <c r="D62" i="53"/>
  <c r="H93" i="49"/>
  <c r="D57" i="53"/>
  <c r="H88" i="49"/>
  <c r="D56" i="53"/>
  <c r="H87" i="49"/>
  <c r="D55" i="53"/>
  <c r="H86" i="49"/>
  <c r="D54" i="53"/>
  <c r="H85" i="49"/>
  <c r="D53" i="53"/>
  <c r="H84" i="49"/>
  <c r="D52" i="53"/>
  <c r="H83" i="49"/>
  <c r="D51" i="53"/>
  <c r="H82" i="49"/>
  <c r="D50" i="53"/>
  <c r="H81" i="49"/>
  <c r="D49" i="53"/>
  <c r="H80" i="49"/>
  <c r="H79" i="49"/>
  <c r="D47" i="53"/>
  <c r="H78" i="49"/>
  <c r="D46" i="53"/>
  <c r="H77" i="49"/>
  <c r="D45" i="53"/>
  <c r="H76" i="49"/>
  <c r="D44" i="53"/>
  <c r="H75" i="49"/>
  <c r="D43" i="53"/>
  <c r="H74" i="49"/>
  <c r="D42" i="53"/>
  <c r="H73" i="49"/>
  <c r="D41" i="53"/>
  <c r="H72" i="49"/>
  <c r="D40" i="53"/>
  <c r="H71" i="49"/>
  <c r="H67" i="49"/>
  <c r="D35" i="53"/>
  <c r="H66" i="49"/>
  <c r="D34" i="53"/>
  <c r="H65" i="49"/>
  <c r="D33" i="53"/>
  <c r="H64" i="49"/>
  <c r="D32" i="53"/>
  <c r="H63" i="49"/>
  <c r="D31" i="53"/>
  <c r="H62" i="49"/>
  <c r="D30" i="53"/>
  <c r="H61" i="49"/>
  <c r="D29" i="53"/>
  <c r="H60" i="49"/>
  <c r="D28" i="53"/>
  <c r="H59" i="49"/>
  <c r="H58" i="49"/>
  <c r="D26" i="53"/>
  <c r="H57" i="49"/>
  <c r="D25" i="53"/>
  <c r="H56" i="49"/>
  <c r="D24" i="53"/>
  <c r="H55" i="49"/>
  <c r="D23" i="53"/>
  <c r="H54" i="49"/>
  <c r="D22" i="53"/>
  <c r="H53" i="49"/>
  <c r="D21" i="53"/>
  <c r="H52" i="49"/>
  <c r="D20" i="53"/>
  <c r="H51" i="49"/>
  <c r="D19" i="53"/>
  <c r="H50" i="49"/>
  <c r="D15" i="53"/>
  <c r="H46" i="49"/>
  <c r="D14" i="53"/>
  <c r="H45" i="49"/>
  <c r="D13" i="53"/>
  <c r="H44" i="49"/>
  <c r="D12" i="53"/>
  <c r="H43" i="49"/>
  <c r="D11" i="53"/>
  <c r="H42" i="49"/>
  <c r="D10" i="53"/>
  <c r="H41" i="49"/>
  <c r="D9" i="53"/>
  <c r="H40" i="49"/>
  <c r="D7" i="53"/>
  <c r="H38" i="49"/>
  <c r="D6" i="53"/>
  <c r="H37" i="49"/>
  <c r="D5" i="53"/>
  <c r="H36" i="49"/>
  <c r="D4" i="53"/>
  <c r="H35" i="49"/>
  <c r="E4" i="41"/>
  <c r="E3" i="41"/>
  <c r="B3" i="53"/>
  <c r="B4" i="53"/>
  <c r="B5" i="53"/>
  <c r="B6" i="53"/>
  <c r="B7" i="53"/>
  <c r="B8" i="53"/>
  <c r="B9" i="53"/>
  <c r="B10" i="53"/>
  <c r="B11" i="53"/>
  <c r="B12" i="53"/>
  <c r="B13" i="53"/>
  <c r="B14" i="53"/>
  <c r="B15" i="53"/>
  <c r="B16" i="53"/>
  <c r="B17" i="53"/>
  <c r="B18" i="53"/>
  <c r="B19" i="53"/>
  <c r="B20" i="53"/>
  <c r="B21" i="53"/>
  <c r="B22" i="53"/>
  <c r="B23" i="53"/>
  <c r="B24" i="53"/>
  <c r="B25" i="53"/>
  <c r="B26" i="53"/>
  <c r="B27" i="53"/>
  <c r="B28" i="53"/>
  <c r="B29" i="53"/>
  <c r="B30" i="53"/>
  <c r="B31" i="53"/>
  <c r="B32" i="53"/>
  <c r="B33" i="53"/>
  <c r="B34" i="53"/>
  <c r="B35" i="53"/>
  <c r="B36" i="53"/>
  <c r="B37" i="53"/>
  <c r="B38" i="53"/>
  <c r="B39" i="53"/>
  <c r="B40" i="53"/>
  <c r="B41" i="53"/>
  <c r="B42" i="53"/>
  <c r="B43" i="53"/>
  <c r="B44" i="53"/>
  <c r="B45" i="53"/>
  <c r="B46" i="53"/>
  <c r="B47" i="53"/>
  <c r="B48" i="53"/>
  <c r="B49" i="53"/>
  <c r="B50" i="53"/>
  <c r="B51" i="53"/>
  <c r="B52" i="53"/>
  <c r="B53" i="53"/>
  <c r="B54" i="53"/>
  <c r="B55" i="53"/>
  <c r="B56" i="53"/>
  <c r="B57" i="53"/>
  <c r="B58" i="53"/>
  <c r="B59" i="53"/>
  <c r="B60" i="53"/>
  <c r="B61" i="53"/>
  <c r="B62" i="53"/>
  <c r="B63" i="53"/>
  <c r="B64" i="53"/>
  <c r="B65" i="53"/>
  <c r="B66" i="53"/>
  <c r="B67" i="53"/>
  <c r="B68" i="53"/>
  <c r="B69" i="53"/>
  <c r="B70" i="53"/>
  <c r="B71" i="53"/>
  <c r="B72" i="53"/>
  <c r="B73" i="53"/>
  <c r="B74" i="53"/>
  <c r="B75" i="53"/>
  <c r="B76" i="53"/>
  <c r="B77" i="53"/>
  <c r="B78" i="53"/>
  <c r="B79" i="53"/>
  <c r="B80" i="53"/>
  <c r="B81" i="53"/>
  <c r="B82" i="53"/>
  <c r="B83" i="53"/>
  <c r="B84" i="53"/>
  <c r="B85" i="53"/>
  <c r="B86" i="53"/>
  <c r="B87" i="53"/>
  <c r="B88" i="53"/>
  <c r="B89" i="53"/>
  <c r="B90" i="53"/>
  <c r="B91" i="53"/>
  <c r="B92" i="53"/>
  <c r="B93" i="53"/>
  <c r="B94" i="53"/>
  <c r="B95" i="53"/>
  <c r="B96" i="53"/>
  <c r="B97" i="53"/>
  <c r="B98" i="53"/>
  <c r="B99" i="53"/>
  <c r="B100" i="53"/>
  <c r="B101" i="53"/>
  <c r="B102" i="53"/>
  <c r="B103" i="53"/>
  <c r="B104" i="53"/>
  <c r="B105" i="53"/>
  <c r="B106" i="53"/>
  <c r="B107" i="53"/>
  <c r="B108" i="53"/>
  <c r="B109" i="53"/>
  <c r="B110" i="53"/>
  <c r="B111" i="53"/>
  <c r="B112" i="53"/>
  <c r="B113" i="53"/>
  <c r="B114" i="53"/>
  <c r="B115" i="53"/>
  <c r="B116" i="53"/>
  <c r="B117" i="53"/>
  <c r="B118" i="53"/>
  <c r="B119" i="53"/>
  <c r="B120" i="53"/>
  <c r="B121" i="53"/>
  <c r="B122" i="53"/>
  <c r="B123" i="53"/>
  <c r="B124" i="53"/>
  <c r="B125" i="53"/>
  <c r="D50" i="49"/>
  <c r="C4" i="49"/>
  <c r="K24" i="49"/>
  <c r="C51" i="20"/>
  <c r="D51" i="20"/>
  <c r="D51" i="49"/>
  <c r="C52" i="20"/>
  <c r="D52" i="20"/>
  <c r="D52" i="49"/>
  <c r="C53" i="20"/>
  <c r="D53" i="20"/>
  <c r="K24" i="50"/>
  <c r="K26" i="50"/>
  <c r="L22" i="50"/>
  <c r="G23" i="50"/>
  <c r="D53" i="49"/>
  <c r="C54" i="20"/>
  <c r="D54" i="20"/>
  <c r="G24" i="50"/>
  <c r="D54" i="49"/>
  <c r="C55" i="20"/>
  <c r="D55" i="20"/>
  <c r="D55" i="49"/>
  <c r="K23" i="49"/>
  <c r="C56" i="20"/>
  <c r="D56" i="20"/>
  <c r="D56" i="49"/>
  <c r="C57" i="20"/>
  <c r="D57" i="20"/>
  <c r="C51" i="50"/>
  <c r="D57" i="49"/>
  <c r="C58" i="20"/>
  <c r="D58" i="20"/>
  <c r="D59" i="20"/>
  <c r="E59" i="49"/>
  <c r="D60" i="20"/>
  <c r="G15" i="49"/>
  <c r="D60" i="49"/>
  <c r="E60" i="49"/>
  <c r="D61" i="20"/>
  <c r="E61" i="49"/>
  <c r="D62" i="20"/>
  <c r="D63" i="20"/>
  <c r="D64" i="20"/>
  <c r="D65" i="20"/>
  <c r="D66" i="20"/>
  <c r="D67" i="20"/>
  <c r="D68" i="20"/>
  <c r="D69" i="20"/>
  <c r="D71" i="49"/>
  <c r="C72" i="20"/>
  <c r="C5" i="49"/>
  <c r="G21" i="20"/>
  <c r="C3" i="49"/>
  <c r="C11" i="34"/>
  <c r="C12" i="34"/>
  <c r="C13" i="34"/>
  <c r="C6" i="54"/>
  <c r="C4" i="54"/>
  <c r="C5" i="54"/>
  <c r="D5" i="54"/>
  <c r="D4" i="54"/>
  <c r="D6" i="54"/>
  <c r="D7" i="54"/>
  <c r="BA21" i="20"/>
  <c r="D72" i="49"/>
  <c r="C73" i="20"/>
  <c r="D73" i="49"/>
  <c r="C74" i="20"/>
  <c r="D74" i="49"/>
  <c r="C75" i="20"/>
  <c r="D75" i="49"/>
  <c r="C76" i="20"/>
  <c r="D76" i="49"/>
  <c r="C77" i="20"/>
  <c r="D77" i="49"/>
  <c r="C78" i="20"/>
  <c r="D78" i="49"/>
  <c r="C79" i="20"/>
  <c r="E80" i="49"/>
  <c r="E81" i="49"/>
  <c r="E82" i="49"/>
  <c r="C19" i="49"/>
  <c r="C2" i="50"/>
  <c r="E163" i="49"/>
  <c r="D37" i="50"/>
  <c r="C97" i="50"/>
  <c r="I89" i="50"/>
  <c r="C98" i="50"/>
  <c r="C137" i="49"/>
  <c r="C158" i="49"/>
  <c r="C163" i="49"/>
  <c r="C17" i="49"/>
  <c r="E141" i="49"/>
  <c r="C37" i="50"/>
  <c r="C141" i="49"/>
  <c r="I18" i="7"/>
  <c r="E23" i="7"/>
  <c r="J19" i="7"/>
  <c r="B24" i="7"/>
  <c r="C20" i="29"/>
  <c r="C21" i="29"/>
  <c r="C22" i="29"/>
  <c r="C23" i="29"/>
  <c r="C24" i="29"/>
  <c r="C25" i="29"/>
  <c r="C26" i="29"/>
  <c r="C27" i="29"/>
  <c r="C28" i="29"/>
  <c r="C29" i="29"/>
  <c r="E19" i="29"/>
  <c r="E20" i="29"/>
  <c r="E21" i="29"/>
  <c r="E22" i="29"/>
  <c r="E23" i="29"/>
  <c r="E24" i="29"/>
  <c r="E25" i="29"/>
  <c r="E26" i="29"/>
  <c r="E27" i="29"/>
  <c r="E28" i="29"/>
  <c r="E29" i="29"/>
  <c r="B25" i="7"/>
  <c r="J18" i="7"/>
  <c r="D8" i="51"/>
  <c r="D9" i="51"/>
  <c r="D10" i="51"/>
  <c r="D11" i="51"/>
  <c r="G16" i="20"/>
  <c r="G19" i="49"/>
  <c r="G17" i="49"/>
  <c r="K15" i="49"/>
  <c r="E109" i="49"/>
  <c r="C110" i="49"/>
  <c r="E110" i="49"/>
  <c r="C111" i="49"/>
  <c r="D111" i="49"/>
  <c r="C112" i="49"/>
  <c r="D112" i="49"/>
  <c r="C113" i="49"/>
  <c r="D113" i="49"/>
  <c r="C114" i="49"/>
  <c r="D114" i="49"/>
  <c r="C115" i="49"/>
  <c r="D115" i="49"/>
  <c r="D117" i="20"/>
  <c r="E117" i="49"/>
  <c r="D118" i="49"/>
  <c r="D119" i="49"/>
  <c r="D120" i="49"/>
  <c r="D121" i="49"/>
  <c r="D123" i="20"/>
  <c r="G15" i="20"/>
  <c r="T15" i="49"/>
  <c r="E164" i="49"/>
  <c r="C164" i="49"/>
  <c r="E165" i="49"/>
  <c r="C165" i="49"/>
  <c r="E166" i="49"/>
  <c r="C166" i="49"/>
  <c r="E167" i="49"/>
  <c r="C167" i="49"/>
  <c r="E168" i="49"/>
  <c r="C168" i="49"/>
  <c r="E169" i="49"/>
  <c r="C169" i="49"/>
  <c r="E142" i="49"/>
  <c r="C142" i="49"/>
  <c r="E143" i="49"/>
  <c r="C143" i="49"/>
  <c r="E144" i="49"/>
  <c r="C144" i="49"/>
  <c r="E145" i="49"/>
  <c r="C145" i="49"/>
  <c r="E146" i="49"/>
  <c r="C146" i="49"/>
  <c r="E147" i="49"/>
  <c r="C147" i="49"/>
  <c r="E125" i="49"/>
  <c r="D132" i="49"/>
  <c r="D131" i="49"/>
  <c r="D130" i="49"/>
  <c r="D129" i="49"/>
  <c r="D128" i="49"/>
  <c r="D127" i="49"/>
  <c r="D126" i="49"/>
  <c r="C18" i="49"/>
  <c r="D105" i="49"/>
  <c r="D104" i="49"/>
  <c r="D103" i="49"/>
  <c r="D102" i="49"/>
  <c r="D99" i="49"/>
  <c r="D98" i="49"/>
  <c r="D97" i="49"/>
  <c r="D96" i="49"/>
  <c r="D95" i="49"/>
  <c r="D94" i="49"/>
  <c r="D93" i="49"/>
  <c r="S40" i="53"/>
  <c r="E45" i="49"/>
  <c r="H34" i="50"/>
  <c r="H32" i="50"/>
  <c r="H30" i="50"/>
  <c r="H28" i="50"/>
  <c r="A33" i="20"/>
  <c r="BF37" i="20"/>
  <c r="BF36" i="20"/>
  <c r="H35" i="50"/>
  <c r="H33" i="50"/>
  <c r="H31" i="50"/>
  <c r="H29" i="50"/>
  <c r="BB51" i="20"/>
  <c r="F182" i="43"/>
  <c r="G182" i="43"/>
  <c r="H182" i="43"/>
  <c r="B186" i="20"/>
  <c r="G5" i="1"/>
  <c r="C6" i="55"/>
  <c r="G4" i="1"/>
  <c r="V12" i="1"/>
  <c r="H5" i="1"/>
  <c r="C36" i="7"/>
  <c r="BB210" i="20"/>
  <c r="BB209" i="20"/>
  <c r="BB208" i="20"/>
  <c r="BB207" i="20"/>
  <c r="BB206" i="20"/>
  <c r="BB205" i="20"/>
  <c r="BB204" i="20"/>
  <c r="BB202" i="20"/>
  <c r="BB199" i="20"/>
  <c r="BB198" i="20"/>
  <c r="BB197" i="20"/>
  <c r="BF196" i="20"/>
  <c r="BB196" i="20"/>
  <c r="BF195" i="20"/>
  <c r="BB195" i="20"/>
  <c r="BF194" i="20"/>
  <c r="BB194" i="20"/>
  <c r="BF193" i="20"/>
  <c r="BB193" i="20"/>
  <c r="BF192" i="20"/>
  <c r="BB192" i="20"/>
  <c r="BB190" i="20"/>
  <c r="BE187" i="20"/>
  <c r="BB187" i="20"/>
  <c r="BB185" i="20"/>
  <c r="BB183" i="20"/>
  <c r="BB182" i="20"/>
  <c r="BE180" i="20"/>
  <c r="BB178" i="20"/>
  <c r="BB177" i="20"/>
  <c r="BB176" i="20"/>
  <c r="BB174" i="20"/>
  <c r="BB173" i="20"/>
  <c r="BE172" i="20"/>
  <c r="BE171" i="20"/>
  <c r="BB171" i="20"/>
  <c r="BB172" i="20"/>
  <c r="BB168" i="20"/>
  <c r="BB167" i="20"/>
  <c r="BE166" i="20"/>
  <c r="BB166" i="20"/>
  <c r="BB170" i="20"/>
  <c r="BF157" i="20"/>
  <c r="BF156" i="20"/>
  <c r="BF155" i="20"/>
  <c r="BF154" i="20"/>
  <c r="BF153" i="20"/>
  <c r="BF150" i="20"/>
  <c r="BF149" i="20"/>
  <c r="BF148" i="20"/>
  <c r="BF147" i="20"/>
  <c r="BF146" i="20"/>
  <c r="BF145" i="20"/>
  <c r="BD145" i="20"/>
  <c r="BD151" i="20"/>
  <c r="BF142" i="20"/>
  <c r="BD142" i="20"/>
  <c r="BD159" i="20"/>
  <c r="BF141" i="20"/>
  <c r="BD141" i="20"/>
  <c r="BA139" i="20"/>
  <c r="BF133" i="20"/>
  <c r="BD133" i="20"/>
  <c r="BF132" i="20"/>
  <c r="BD132" i="20"/>
  <c r="BF131" i="20"/>
  <c r="BD131" i="20"/>
  <c r="BF130" i="20"/>
  <c r="BD130" i="20"/>
  <c r="BF129" i="20"/>
  <c r="BD129" i="20"/>
  <c r="BF128" i="20"/>
  <c r="BD128" i="20"/>
  <c r="BF127" i="20"/>
  <c r="BD127" i="20"/>
  <c r="BD134" i="20"/>
  <c r="BA126" i="20"/>
  <c r="BF122" i="20"/>
  <c r="BD122" i="20"/>
  <c r="BF121" i="20"/>
  <c r="BD121" i="20"/>
  <c r="BF120" i="20"/>
  <c r="BD120" i="20"/>
  <c r="BF119" i="20"/>
  <c r="BD119" i="20"/>
  <c r="BD123" i="20"/>
  <c r="BA118" i="20"/>
  <c r="BF116" i="20"/>
  <c r="BD116" i="20"/>
  <c r="BB116" i="20"/>
  <c r="BF115" i="20"/>
  <c r="BD115" i="20"/>
  <c r="BB115" i="20"/>
  <c r="BF114" i="20"/>
  <c r="BD114" i="20"/>
  <c r="BB114" i="20"/>
  <c r="BF113" i="20"/>
  <c r="BD113" i="20"/>
  <c r="BB113" i="20"/>
  <c r="BF112" i="20"/>
  <c r="BD112" i="20"/>
  <c r="BB112" i="20"/>
  <c r="BA110" i="20"/>
  <c r="BF106" i="20"/>
  <c r="BB106" i="20"/>
  <c r="BC106" i="20"/>
  <c r="BD106" i="20"/>
  <c r="BF105" i="20"/>
  <c r="BB105" i="20"/>
  <c r="BC105" i="20"/>
  <c r="BD105" i="20"/>
  <c r="BF104" i="20"/>
  <c r="BB104" i="20"/>
  <c r="BC104" i="20"/>
  <c r="BD104" i="20"/>
  <c r="BF103" i="20"/>
  <c r="BB103" i="20"/>
  <c r="BB107" i="20"/>
  <c r="BF100" i="20"/>
  <c r="BB100" i="20"/>
  <c r="BC100" i="20"/>
  <c r="BD100" i="20"/>
  <c r="BF99" i="20"/>
  <c r="BB99" i="20"/>
  <c r="BC99" i="20"/>
  <c r="BD99" i="20"/>
  <c r="BF98" i="20"/>
  <c r="BB98" i="20"/>
  <c r="BC98" i="20"/>
  <c r="BF97" i="20"/>
  <c r="BB97" i="20"/>
  <c r="BC97" i="20"/>
  <c r="BD97" i="20"/>
  <c r="BF96" i="20"/>
  <c r="BB96" i="20"/>
  <c r="BC96" i="20"/>
  <c r="BD96" i="20"/>
  <c r="BF95" i="20"/>
  <c r="BB95" i="20"/>
  <c r="BC95" i="20"/>
  <c r="BD95" i="20"/>
  <c r="BF94" i="20"/>
  <c r="BB94" i="20"/>
  <c r="BB101" i="20"/>
  <c r="BF89" i="20"/>
  <c r="BC89" i="20"/>
  <c r="BD89" i="20"/>
  <c r="BF88" i="20"/>
  <c r="BC88" i="20"/>
  <c r="BD88" i="20"/>
  <c r="BF87" i="20"/>
  <c r="BC87" i="20"/>
  <c r="BD87" i="20"/>
  <c r="BF86" i="20"/>
  <c r="BC86" i="20"/>
  <c r="BD86" i="20"/>
  <c r="BF85" i="20"/>
  <c r="BC85" i="20"/>
  <c r="BD85" i="20"/>
  <c r="BF84" i="20"/>
  <c r="BC84" i="20"/>
  <c r="BD84" i="20"/>
  <c r="BF83" i="20"/>
  <c r="BC83" i="20"/>
  <c r="BD83" i="20"/>
  <c r="BF82" i="20"/>
  <c r="BC82" i="20"/>
  <c r="BD82" i="20"/>
  <c r="BF81" i="20"/>
  <c r="BC81" i="20"/>
  <c r="BD81" i="20"/>
  <c r="BF80" i="20"/>
  <c r="BC80" i="20"/>
  <c r="BD80" i="20"/>
  <c r="BF79" i="20"/>
  <c r="BB79" i="20"/>
  <c r="BC79" i="20"/>
  <c r="BF78" i="20"/>
  <c r="BB78" i="20"/>
  <c r="BC78" i="20"/>
  <c r="BD78" i="20"/>
  <c r="BF77" i="20"/>
  <c r="BB77" i="20"/>
  <c r="BC77" i="20"/>
  <c r="BD77" i="20"/>
  <c r="BF76" i="20"/>
  <c r="BB76" i="20"/>
  <c r="BF75" i="20"/>
  <c r="BB75" i="20"/>
  <c r="BF74" i="20"/>
  <c r="BB74" i="20"/>
  <c r="BF73" i="20"/>
  <c r="BB73" i="20"/>
  <c r="BF72" i="20"/>
  <c r="BB72" i="20"/>
  <c r="BF68" i="20"/>
  <c r="BC68" i="20"/>
  <c r="BD68" i="20"/>
  <c r="BF67" i="20"/>
  <c r="BC67" i="20"/>
  <c r="BD67" i="20"/>
  <c r="BF66" i="20"/>
  <c r="BC66" i="20"/>
  <c r="BD66" i="20"/>
  <c r="BF65" i="20"/>
  <c r="BC65" i="20"/>
  <c r="BD65" i="20"/>
  <c r="BF64" i="20"/>
  <c r="BC64" i="20"/>
  <c r="BD64" i="20"/>
  <c r="BF63" i="20"/>
  <c r="BC63" i="20"/>
  <c r="BD63" i="20"/>
  <c r="BF62" i="20"/>
  <c r="BC62" i="20"/>
  <c r="BD62" i="20"/>
  <c r="BF61" i="20"/>
  <c r="BC61" i="20"/>
  <c r="BD61" i="20"/>
  <c r="BF60" i="20"/>
  <c r="BC60" i="20"/>
  <c r="BD60" i="20"/>
  <c r="BF59" i="20"/>
  <c r="BC59" i="20"/>
  <c r="BD59" i="20"/>
  <c r="BF58" i="20"/>
  <c r="BB58" i="20"/>
  <c r="BC58" i="20"/>
  <c r="BF57" i="20"/>
  <c r="BB57" i="20"/>
  <c r="BC57" i="20"/>
  <c r="BD57" i="20"/>
  <c r="BF56" i="20"/>
  <c r="BB56" i="20"/>
  <c r="BC56" i="20"/>
  <c r="BD56" i="20"/>
  <c r="BF55" i="20"/>
  <c r="BB55" i="20"/>
  <c r="BF54" i="20"/>
  <c r="BB54" i="20"/>
  <c r="BF53" i="20"/>
  <c r="BB53" i="20"/>
  <c r="BF52" i="20"/>
  <c r="BB52" i="20"/>
  <c r="BF51" i="20"/>
  <c r="BF47" i="20"/>
  <c r="BD47" i="20"/>
  <c r="BF46" i="20"/>
  <c r="BD46" i="20"/>
  <c r="BB46" i="20"/>
  <c r="BF45" i="20"/>
  <c r="BD45" i="20"/>
  <c r="BB45" i="20"/>
  <c r="BF44" i="20"/>
  <c r="BD44" i="20"/>
  <c r="BB44" i="20"/>
  <c r="BF43" i="20"/>
  <c r="BD43" i="20"/>
  <c r="BB43" i="20"/>
  <c r="BF42" i="20"/>
  <c r="BD42" i="20"/>
  <c r="BB42" i="20"/>
  <c r="BF41" i="20"/>
  <c r="BD41" i="20"/>
  <c r="BB41" i="20"/>
  <c r="BF39" i="20"/>
  <c r="BF38" i="20"/>
  <c r="BD38" i="20"/>
  <c r="BD37" i="20"/>
  <c r="BB37" i="20"/>
  <c r="BD36" i="20"/>
  <c r="BB36" i="20"/>
  <c r="A32" i="20"/>
  <c r="C167" i="44"/>
  <c r="R7" i="29"/>
  <c r="Y11" i="7"/>
  <c r="BD117" i="20"/>
  <c r="BD124" i="20"/>
  <c r="BB184" i="20"/>
  <c r="BD39" i="20"/>
  <c r="BD48" i="20"/>
  <c r="BD58" i="20"/>
  <c r="BD79" i="20"/>
  <c r="BD98" i="20"/>
  <c r="BB108" i="20"/>
  <c r="BC107" i="20"/>
  <c r="BC94" i="20"/>
  <c r="BD94" i="20"/>
  <c r="BC103" i="20"/>
  <c r="BD103" i="20"/>
  <c r="BD143" i="20"/>
  <c r="BD153" i="20"/>
  <c r="AS4" i="52"/>
  <c r="I9" i="39"/>
  <c r="BD158" i="20"/>
  <c r="BD107" i="20"/>
  <c r="BD101" i="20"/>
  <c r="BC101" i="20"/>
  <c r="BC108" i="20"/>
  <c r="C4" i="55"/>
  <c r="C3" i="55"/>
  <c r="C3" i="54"/>
  <c r="H88" i="55"/>
  <c r="H87" i="55"/>
  <c r="H86" i="55"/>
  <c r="H85" i="55"/>
  <c r="H84" i="55"/>
  <c r="H83" i="55"/>
  <c r="H82" i="55"/>
  <c r="H81" i="55"/>
  <c r="H80" i="55"/>
  <c r="H79" i="55"/>
  <c r="H78" i="55"/>
  <c r="H77" i="55"/>
  <c r="H76" i="55"/>
  <c r="H75" i="55"/>
  <c r="B75" i="55"/>
  <c r="B76" i="55"/>
  <c r="B77" i="55"/>
  <c r="B78" i="55"/>
  <c r="B79" i="55"/>
  <c r="B80" i="55"/>
  <c r="B81" i="55"/>
  <c r="B82" i="55"/>
  <c r="B83" i="55"/>
  <c r="B84" i="55"/>
  <c r="B85" i="55"/>
  <c r="B86" i="55"/>
  <c r="B87" i="55"/>
  <c r="B88" i="55"/>
  <c r="H74" i="55"/>
  <c r="F66" i="55"/>
  <c r="F65" i="55"/>
  <c r="F64" i="55"/>
  <c r="F63" i="55"/>
  <c r="F62" i="55"/>
  <c r="F61" i="55"/>
  <c r="F60" i="55"/>
  <c r="F59" i="55"/>
  <c r="F58" i="55"/>
  <c r="F57" i="55"/>
  <c r="F56" i="55"/>
  <c r="F55" i="55"/>
  <c r="F54" i="55"/>
  <c r="F53" i="55"/>
  <c r="F52" i="55"/>
  <c r="F51" i="55"/>
  <c r="F50" i="55"/>
  <c r="F49" i="55"/>
  <c r="B49" i="55"/>
  <c r="B50" i="55"/>
  <c r="G48" i="55"/>
  <c r="F48" i="55"/>
  <c r="G45" i="55"/>
  <c r="F45" i="55"/>
  <c r="G44" i="55"/>
  <c r="F44" i="55"/>
  <c r="G43" i="55"/>
  <c r="F43" i="55"/>
  <c r="G42" i="55"/>
  <c r="F42" i="55"/>
  <c r="G41" i="55"/>
  <c r="F41" i="55"/>
  <c r="G40" i="55"/>
  <c r="F40" i="55"/>
  <c r="G39" i="55"/>
  <c r="F39" i="55"/>
  <c r="G38" i="55"/>
  <c r="F38" i="55"/>
  <c r="G37" i="55"/>
  <c r="F37" i="55"/>
  <c r="G36" i="55"/>
  <c r="F36" i="55"/>
  <c r="G35" i="55"/>
  <c r="F35" i="55"/>
  <c r="G34" i="55"/>
  <c r="F34" i="55"/>
  <c r="G33" i="55"/>
  <c r="F33" i="55"/>
  <c r="G32" i="55"/>
  <c r="F32" i="55"/>
  <c r="G31" i="55"/>
  <c r="F31" i="55"/>
  <c r="G30" i="55"/>
  <c r="F30" i="55"/>
  <c r="G29" i="55"/>
  <c r="F29" i="55"/>
  <c r="G28" i="55"/>
  <c r="F28" i="55"/>
  <c r="G25" i="55"/>
  <c r="F25" i="55"/>
  <c r="G24" i="55"/>
  <c r="F24" i="55"/>
  <c r="G23" i="55"/>
  <c r="F23" i="55"/>
  <c r="G22" i="55"/>
  <c r="F22" i="55"/>
  <c r="G21" i="55"/>
  <c r="F21" i="55"/>
  <c r="G20" i="55"/>
  <c r="F20" i="55"/>
  <c r="G19" i="55"/>
  <c r="F19" i="55"/>
  <c r="G18" i="55"/>
  <c r="H18" i="55"/>
  <c r="F18" i="55"/>
  <c r="G17" i="55"/>
  <c r="H17" i="55"/>
  <c r="F17" i="55"/>
  <c r="G16" i="55"/>
  <c r="H16" i="55"/>
  <c r="F16" i="55"/>
  <c r="G15" i="55"/>
  <c r="H15" i="55"/>
  <c r="F15" i="55"/>
  <c r="G14" i="55"/>
  <c r="H14" i="55"/>
  <c r="F14" i="55"/>
  <c r="H85" i="54"/>
  <c r="H84" i="54"/>
  <c r="H83" i="54"/>
  <c r="H82" i="54"/>
  <c r="H81" i="54"/>
  <c r="H80" i="54"/>
  <c r="H79" i="54"/>
  <c r="H78" i="54"/>
  <c r="H77" i="54"/>
  <c r="H76" i="54"/>
  <c r="H75" i="54"/>
  <c r="H74" i="54"/>
  <c r="H73" i="54"/>
  <c r="H72" i="54"/>
  <c r="H71" i="54"/>
  <c r="F64" i="54"/>
  <c r="F63" i="54"/>
  <c r="F62" i="54"/>
  <c r="F61" i="54"/>
  <c r="F60" i="54"/>
  <c r="F59" i="54"/>
  <c r="F58" i="54"/>
  <c r="F57" i="54"/>
  <c r="F56" i="54"/>
  <c r="F55" i="54"/>
  <c r="F54" i="54"/>
  <c r="F53" i="54"/>
  <c r="F52" i="54"/>
  <c r="F51" i="54"/>
  <c r="F50" i="54"/>
  <c r="F49" i="54"/>
  <c r="F48" i="54"/>
  <c r="F47" i="54"/>
  <c r="B47" i="54"/>
  <c r="B48" i="54"/>
  <c r="G46" i="54"/>
  <c r="F46" i="54"/>
  <c r="G43" i="54"/>
  <c r="F43" i="54"/>
  <c r="G42" i="54"/>
  <c r="F42" i="54"/>
  <c r="G41" i="54"/>
  <c r="F41" i="54"/>
  <c r="G40" i="54"/>
  <c r="F40" i="54"/>
  <c r="G39" i="54"/>
  <c r="F39" i="54"/>
  <c r="G38" i="54"/>
  <c r="F38" i="54"/>
  <c r="G37" i="54"/>
  <c r="F37" i="54"/>
  <c r="G36" i="54"/>
  <c r="F36" i="54"/>
  <c r="G35" i="54"/>
  <c r="F35" i="54"/>
  <c r="G34" i="54"/>
  <c r="F34" i="54"/>
  <c r="G33" i="54"/>
  <c r="F33" i="54"/>
  <c r="G32" i="54"/>
  <c r="F32" i="54"/>
  <c r="G31" i="54"/>
  <c r="F31" i="54"/>
  <c r="G30" i="54"/>
  <c r="F30" i="54"/>
  <c r="G29" i="54"/>
  <c r="F29" i="54"/>
  <c r="G26" i="54"/>
  <c r="F26" i="54"/>
  <c r="G25" i="54"/>
  <c r="F25" i="54"/>
  <c r="G24" i="54"/>
  <c r="F24" i="54"/>
  <c r="G23" i="54"/>
  <c r="F23" i="54"/>
  <c r="G22" i="54"/>
  <c r="F22" i="54"/>
  <c r="G21" i="54"/>
  <c r="F21" i="54"/>
  <c r="G20" i="54"/>
  <c r="F20" i="54"/>
  <c r="G19" i="54"/>
  <c r="H19" i="54"/>
  <c r="F19" i="54"/>
  <c r="G18" i="54"/>
  <c r="H18" i="54"/>
  <c r="F18" i="54"/>
  <c r="G17" i="54"/>
  <c r="H17" i="54"/>
  <c r="F17" i="54"/>
  <c r="G16" i="54"/>
  <c r="H16" i="54"/>
  <c r="F16" i="54"/>
  <c r="G15" i="54"/>
  <c r="H15" i="54"/>
  <c r="F15" i="54"/>
  <c r="BD108" i="20"/>
  <c r="BD160" i="20"/>
  <c r="H21" i="54"/>
  <c r="H24" i="54"/>
  <c r="H20" i="55"/>
  <c r="H22" i="55"/>
  <c r="H24" i="55"/>
  <c r="H20" i="54"/>
  <c r="H22" i="54"/>
  <c r="H23" i="54"/>
  <c r="H25" i="54"/>
  <c r="H26" i="54"/>
  <c r="H19" i="55"/>
  <c r="H21" i="55"/>
  <c r="H23" i="55"/>
  <c r="H25" i="55"/>
  <c r="B51" i="55"/>
  <c r="G50" i="55"/>
  <c r="H50" i="55"/>
  <c r="G49" i="55"/>
  <c r="B49" i="54"/>
  <c r="G48" i="54"/>
  <c r="H48" i="54"/>
  <c r="G47" i="54"/>
  <c r="H47" i="54"/>
  <c r="H46" i="54"/>
  <c r="H48" i="55"/>
  <c r="BD161" i="20"/>
  <c r="H49" i="55"/>
  <c r="B52" i="55"/>
  <c r="G51" i="55"/>
  <c r="H51" i="55"/>
  <c r="B50" i="54"/>
  <c r="G49" i="54"/>
  <c r="H49" i="54"/>
  <c r="B53" i="55"/>
  <c r="G52" i="55"/>
  <c r="H52" i="55"/>
  <c r="B51" i="54"/>
  <c r="G50" i="54"/>
  <c r="H50" i="54"/>
  <c r="B54" i="55"/>
  <c r="G53" i="55"/>
  <c r="H53" i="55"/>
  <c r="B52" i="54"/>
  <c r="G51" i="54"/>
  <c r="H51" i="54"/>
  <c r="B55" i="55"/>
  <c r="G54" i="55"/>
  <c r="H54" i="55"/>
  <c r="B53" i="54"/>
  <c r="G52" i="54"/>
  <c r="H52" i="54"/>
  <c r="B56" i="55"/>
  <c r="G55" i="55"/>
  <c r="H55" i="55"/>
  <c r="B54" i="54"/>
  <c r="G53" i="54"/>
  <c r="H53" i="54"/>
  <c r="B57" i="55"/>
  <c r="G56" i="55"/>
  <c r="H56" i="55"/>
  <c r="B55" i="54"/>
  <c r="G54" i="54"/>
  <c r="H54" i="54"/>
  <c r="B58" i="55"/>
  <c r="G57" i="55"/>
  <c r="H57" i="55"/>
  <c r="B56" i="54"/>
  <c r="G55" i="54"/>
  <c r="H55" i="54"/>
  <c r="B59" i="55"/>
  <c r="G58" i="55"/>
  <c r="H58" i="55"/>
  <c r="B57" i="54"/>
  <c r="G56" i="54"/>
  <c r="H56" i="54"/>
  <c r="B60" i="55"/>
  <c r="G59" i="55"/>
  <c r="H59" i="55"/>
  <c r="B58" i="54"/>
  <c r="G57" i="54"/>
  <c r="H57" i="54"/>
  <c r="B61" i="55"/>
  <c r="G60" i="55"/>
  <c r="H60" i="55"/>
  <c r="B59" i="54"/>
  <c r="G58" i="54"/>
  <c r="H58" i="54"/>
  <c r="B62" i="55"/>
  <c r="G61" i="55"/>
  <c r="H61" i="55"/>
  <c r="B60" i="54"/>
  <c r="G59" i="54"/>
  <c r="H59" i="54"/>
  <c r="B63" i="55"/>
  <c r="G62" i="55"/>
  <c r="H62" i="55"/>
  <c r="B61" i="54"/>
  <c r="G60" i="54"/>
  <c r="H60" i="54"/>
  <c r="B64" i="55"/>
  <c r="G63" i="55"/>
  <c r="H63" i="55"/>
  <c r="B62" i="54"/>
  <c r="G61" i="54"/>
  <c r="H61" i="54"/>
  <c r="B65" i="55"/>
  <c r="G64" i="55"/>
  <c r="H64" i="55"/>
  <c r="B63" i="54"/>
  <c r="G62" i="54"/>
  <c r="H62" i="54"/>
  <c r="B66" i="55"/>
  <c r="G66" i="55"/>
  <c r="H66" i="55"/>
  <c r="G65" i="55"/>
  <c r="H65" i="55"/>
  <c r="B64" i="54"/>
  <c r="G64" i="54"/>
  <c r="H64" i="54"/>
  <c r="G63" i="54"/>
  <c r="H63" i="54"/>
  <c r="E78" i="1"/>
  <c r="C78" i="1"/>
  <c r="E77" i="1"/>
  <c r="C77" i="1"/>
  <c r="E76" i="1"/>
  <c r="C76" i="1"/>
  <c r="E75" i="1"/>
  <c r="C75" i="1"/>
  <c r="E74" i="1"/>
  <c r="C74" i="1"/>
  <c r="E73" i="1"/>
  <c r="C73" i="1"/>
  <c r="E72" i="1"/>
  <c r="C72" i="1"/>
  <c r="E71" i="1"/>
  <c r="C71" i="1"/>
  <c r="E70" i="1"/>
  <c r="C70" i="1"/>
  <c r="N65" i="1"/>
  <c r="L65" i="1"/>
  <c r="M65" i="1"/>
  <c r="N64" i="1"/>
  <c r="L64" i="1"/>
  <c r="M64" i="1"/>
  <c r="N63" i="1"/>
  <c r="L63" i="1"/>
  <c r="M63" i="1"/>
  <c r="N62" i="1"/>
  <c r="L62" i="1"/>
  <c r="M62" i="1"/>
  <c r="N61" i="1"/>
  <c r="L61" i="1"/>
  <c r="M61" i="1"/>
  <c r="N60" i="1"/>
  <c r="L60" i="1"/>
  <c r="M60" i="1"/>
  <c r="N59" i="1"/>
  <c r="L59" i="1"/>
  <c r="M59" i="1"/>
  <c r="N58" i="1"/>
  <c r="L58" i="1"/>
  <c r="M58" i="1"/>
  <c r="N57" i="1"/>
  <c r="L57" i="1"/>
  <c r="M57" i="1"/>
  <c r="N56" i="1"/>
  <c r="L56" i="1"/>
  <c r="M56" i="1"/>
  <c r="AA28" i="1"/>
  <c r="AA29" i="1"/>
  <c r="C26" i="1"/>
  <c r="C27" i="1"/>
  <c r="D21" i="1"/>
  <c r="G21" i="1"/>
  <c r="D20" i="1"/>
  <c r="G20" i="1"/>
  <c r="D19" i="1"/>
  <c r="G19" i="1"/>
  <c r="D18" i="1"/>
  <c r="G18" i="1"/>
  <c r="D17" i="1"/>
  <c r="G17" i="1"/>
  <c r="D16" i="1"/>
  <c r="G16" i="1"/>
  <c r="V15" i="1"/>
  <c r="V16" i="1"/>
  <c r="V17" i="1"/>
  <c r="V18" i="1"/>
  <c r="V19" i="1"/>
  <c r="V20" i="1"/>
  <c r="D15" i="1"/>
  <c r="G15" i="1"/>
  <c r="D14" i="1"/>
  <c r="G14" i="1"/>
  <c r="D13" i="1"/>
  <c r="G13" i="1"/>
  <c r="D12" i="1"/>
  <c r="G12" i="1"/>
  <c r="F6" i="1"/>
  <c r="F9" i="1"/>
  <c r="E6" i="1"/>
  <c r="E9" i="1"/>
  <c r="D6" i="1"/>
  <c r="D9" i="1"/>
  <c r="G6" i="1"/>
  <c r="F17" i="7"/>
  <c r="AE88" i="7"/>
  <c r="Z88" i="7"/>
  <c r="U88" i="7"/>
  <c r="AE87" i="7"/>
  <c r="Z87" i="7"/>
  <c r="U87" i="7"/>
  <c r="AE86" i="7"/>
  <c r="Z86" i="7"/>
  <c r="U86" i="7"/>
  <c r="AE85" i="7"/>
  <c r="Z85" i="7"/>
  <c r="U85" i="7"/>
  <c r="AE84" i="7"/>
  <c r="Z84" i="7"/>
  <c r="U84" i="7"/>
  <c r="AE83" i="7"/>
  <c r="Z83" i="7"/>
  <c r="U83" i="7"/>
  <c r="AE79" i="7"/>
  <c r="Z79" i="7"/>
  <c r="U79" i="7"/>
  <c r="AE78" i="7"/>
  <c r="Z78" i="7"/>
  <c r="U78" i="7"/>
  <c r="AE77" i="7"/>
  <c r="Z77" i="7"/>
  <c r="U77" i="7"/>
  <c r="AE76" i="7"/>
  <c r="Z76" i="7"/>
  <c r="U76" i="7"/>
  <c r="AE75" i="7"/>
  <c r="Z75" i="7"/>
  <c r="U75" i="7"/>
  <c r="AE74" i="7"/>
  <c r="Z74" i="7"/>
  <c r="U74" i="7"/>
  <c r="S53" i="7"/>
  <c r="Q54" i="7"/>
  <c r="U49" i="7"/>
  <c r="S49" i="7"/>
  <c r="Q49" i="7"/>
  <c r="O49" i="7"/>
  <c r="M49" i="7"/>
  <c r="K49" i="7"/>
  <c r="U48" i="7"/>
  <c r="S48" i="7"/>
  <c r="Q48" i="7"/>
  <c r="O48" i="7"/>
  <c r="M48" i="7"/>
  <c r="K48" i="7"/>
  <c r="U47" i="7"/>
  <c r="S47" i="7"/>
  <c r="Q47" i="7"/>
  <c r="O47" i="7"/>
  <c r="M47" i="7"/>
  <c r="K47" i="7"/>
  <c r="U46" i="7"/>
  <c r="S46" i="7"/>
  <c r="Q46" i="7"/>
  <c r="O46" i="7"/>
  <c r="M46" i="7"/>
  <c r="K46" i="7"/>
  <c r="U45" i="7"/>
  <c r="S45" i="7"/>
  <c r="Q45" i="7"/>
  <c r="O45" i="7"/>
  <c r="M45" i="7"/>
  <c r="K45" i="7"/>
  <c r="B45" i="7"/>
  <c r="B46" i="7"/>
  <c r="U44" i="7"/>
  <c r="S44" i="7"/>
  <c r="Q44" i="7"/>
  <c r="O44" i="7"/>
  <c r="M44" i="7"/>
  <c r="K44" i="7"/>
  <c r="AA42" i="7"/>
  <c r="AA43" i="7"/>
  <c r="AA44" i="7"/>
  <c r="AA45" i="7"/>
  <c r="AA47" i="7"/>
  <c r="AA48" i="7"/>
  <c r="AA49" i="7"/>
  <c r="AA50" i="7"/>
  <c r="AA51" i="7"/>
  <c r="AA52" i="7"/>
  <c r="AA53" i="7"/>
  <c r="AA54" i="7"/>
  <c r="AA55" i="7"/>
  <c r="AA56" i="7"/>
  <c r="AA57" i="7"/>
  <c r="D19" i="7"/>
  <c r="D20" i="7"/>
  <c r="E18" i="7"/>
  <c r="I87" i="29"/>
  <c r="F87" i="29"/>
  <c r="I86" i="29"/>
  <c r="F86" i="29"/>
  <c r="I85" i="29"/>
  <c r="F85" i="29"/>
  <c r="I84" i="29"/>
  <c r="F84" i="29"/>
  <c r="I83" i="29"/>
  <c r="F83" i="29"/>
  <c r="I82" i="29"/>
  <c r="F82" i="29"/>
  <c r="I81" i="29"/>
  <c r="F81" i="29"/>
  <c r="I80" i="29"/>
  <c r="F80" i="29"/>
  <c r="I79" i="29"/>
  <c r="F79" i="29"/>
  <c r="I78" i="29"/>
  <c r="F78" i="29"/>
  <c r="F77" i="29"/>
  <c r="G77" i="29"/>
  <c r="I77" i="29"/>
  <c r="F76" i="29"/>
  <c r="G76" i="29"/>
  <c r="I76" i="29"/>
  <c r="F75" i="29"/>
  <c r="G75" i="29"/>
  <c r="I75" i="29"/>
  <c r="F74" i="29"/>
  <c r="G74" i="29"/>
  <c r="I74" i="29"/>
  <c r="F73" i="29"/>
  <c r="G73" i="29"/>
  <c r="I73" i="29"/>
  <c r="F72" i="29"/>
  <c r="G72" i="29"/>
  <c r="I72" i="29"/>
  <c r="F71" i="29"/>
  <c r="G71" i="29"/>
  <c r="I71" i="29"/>
  <c r="F70" i="29"/>
  <c r="G70" i="29"/>
  <c r="I70" i="29"/>
  <c r="F69" i="29"/>
  <c r="G69" i="29"/>
  <c r="I69" i="29"/>
  <c r="F68" i="29"/>
  <c r="G68" i="29"/>
  <c r="I68" i="29"/>
  <c r="F67" i="29"/>
  <c r="G67" i="29"/>
  <c r="I67" i="29"/>
  <c r="F66" i="29"/>
  <c r="G66" i="29"/>
  <c r="I66" i="29"/>
  <c r="F65" i="29"/>
  <c r="G65" i="29"/>
  <c r="I65" i="29"/>
  <c r="F64" i="29"/>
  <c r="G64" i="29"/>
  <c r="I64" i="29"/>
  <c r="F63" i="29"/>
  <c r="G63" i="29"/>
  <c r="I63" i="29"/>
  <c r="F62" i="29"/>
  <c r="G62" i="29"/>
  <c r="I62" i="29"/>
  <c r="F61" i="29"/>
  <c r="G61" i="29"/>
  <c r="I61" i="29"/>
  <c r="F60" i="29"/>
  <c r="G60" i="29"/>
  <c r="I60" i="29"/>
  <c r="F59" i="29"/>
  <c r="G59" i="29"/>
  <c r="I59" i="29"/>
  <c r="F58" i="29"/>
  <c r="G58" i="29"/>
  <c r="I58" i="29"/>
  <c r="F57" i="29"/>
  <c r="G57" i="29"/>
  <c r="I57" i="29"/>
  <c r="F56" i="29"/>
  <c r="G56" i="29"/>
  <c r="I56" i="29"/>
  <c r="F55" i="29"/>
  <c r="G55" i="29"/>
  <c r="I55" i="29"/>
  <c r="F54" i="29"/>
  <c r="G54" i="29"/>
  <c r="I54"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F27" i="29"/>
  <c r="F25" i="29"/>
  <c r="F23" i="29"/>
  <c r="F21" i="29"/>
  <c r="F3" i="52"/>
  <c r="J38" i="52"/>
  <c r="F2" i="52"/>
  <c r="B2" i="52"/>
  <c r="AE103" i="52"/>
  <c r="AE104" i="52"/>
  <c r="Y103" i="52"/>
  <c r="Y104" i="52"/>
  <c r="S103" i="52"/>
  <c r="S104" i="52"/>
  <c r="M103" i="52"/>
  <c r="M104" i="52"/>
  <c r="H103" i="52"/>
  <c r="H104" i="52"/>
  <c r="AG102" i="52"/>
  <c r="AF102" i="52"/>
  <c r="AF103" i="52"/>
  <c r="AF104" i="52"/>
  <c r="AF105" i="52"/>
  <c r="AF106" i="52"/>
  <c r="AF107" i="52"/>
  <c r="AF108" i="52"/>
  <c r="AF109" i="52"/>
  <c r="AF110" i="52"/>
  <c r="AF111" i="52"/>
  <c r="AF112" i="52"/>
  <c r="AF113" i="52"/>
  <c r="AF114" i="52"/>
  <c r="AF115" i="52"/>
  <c r="AF116" i="52"/>
  <c r="AF117" i="52"/>
  <c r="AF118" i="52"/>
  <c r="AF119" i="52"/>
  <c r="AF120" i="52"/>
  <c r="AF121" i="52"/>
  <c r="AF122" i="52"/>
  <c r="AF123" i="52"/>
  <c r="AF124" i="52"/>
  <c r="AF125" i="52"/>
  <c r="AF126" i="52"/>
  <c r="AF127" i="52"/>
  <c r="AF128" i="52"/>
  <c r="AF129" i="52"/>
  <c r="AF130" i="52"/>
  <c r="AF131" i="52"/>
  <c r="AF132" i="52"/>
  <c r="AF133" i="52"/>
  <c r="AF134" i="52"/>
  <c r="AF135" i="52"/>
  <c r="AF136" i="52"/>
  <c r="AF137" i="52"/>
  <c r="AF138" i="52"/>
  <c r="AF139" i="52"/>
  <c r="AF140" i="52"/>
  <c r="AF141" i="52"/>
  <c r="AF142" i="52"/>
  <c r="AF143" i="52"/>
  <c r="AF144" i="52"/>
  <c r="AF145" i="52"/>
  <c r="AF146" i="52"/>
  <c r="AF147" i="52"/>
  <c r="AF148" i="52"/>
  <c r="AF149" i="52"/>
  <c r="AF150" i="52"/>
  <c r="AF151" i="52"/>
  <c r="AF152" i="52"/>
  <c r="AF153" i="52"/>
  <c r="AF154" i="52"/>
  <c r="AF155" i="52"/>
  <c r="AF156" i="52"/>
  <c r="AF157" i="52"/>
  <c r="AF158" i="52"/>
  <c r="AF159" i="52"/>
  <c r="AF160" i="52"/>
  <c r="AF161" i="52"/>
  <c r="AF162" i="52"/>
  <c r="AF163" i="52"/>
  <c r="AF164" i="52"/>
  <c r="AF165" i="52"/>
  <c r="AF166" i="52"/>
  <c r="AF167" i="52"/>
  <c r="AF168" i="52"/>
  <c r="AF169" i="52"/>
  <c r="AF170" i="52"/>
  <c r="AF171" i="52"/>
  <c r="AF172" i="52"/>
  <c r="AF173" i="52"/>
  <c r="AF174" i="52"/>
  <c r="AF175" i="52"/>
  <c r="AF176" i="52"/>
  <c r="AF177" i="52"/>
  <c r="AF178" i="52"/>
  <c r="AF179" i="52"/>
  <c r="AF180" i="52"/>
  <c r="AF181" i="52"/>
  <c r="AF182" i="52"/>
  <c r="AF183" i="52"/>
  <c r="AF184" i="52"/>
  <c r="AF185" i="52"/>
  <c r="AF186" i="52"/>
  <c r="AF187" i="52"/>
  <c r="AF188" i="52"/>
  <c r="AF189" i="52"/>
  <c r="AF190" i="52"/>
  <c r="AF191" i="52"/>
  <c r="AF192" i="52"/>
  <c r="AF193" i="52"/>
  <c r="AF194" i="52"/>
  <c r="AF195" i="52"/>
  <c r="AF196" i="52"/>
  <c r="AF197" i="52"/>
  <c r="AA102" i="52"/>
  <c r="Z102" i="52"/>
  <c r="Z103" i="52"/>
  <c r="Z104" i="52"/>
  <c r="Z105" i="52"/>
  <c r="Z106" i="52"/>
  <c r="Z107" i="52"/>
  <c r="Z108" i="52"/>
  <c r="Z109" i="52"/>
  <c r="Z110" i="52"/>
  <c r="Z111" i="52"/>
  <c r="Z112" i="52"/>
  <c r="Z113" i="52"/>
  <c r="Z114" i="52"/>
  <c r="Z115" i="52"/>
  <c r="Z116" i="52"/>
  <c r="Z117" i="52"/>
  <c r="Z118" i="52"/>
  <c r="Z119" i="52"/>
  <c r="Z120" i="52"/>
  <c r="Z121" i="52"/>
  <c r="Z122" i="52"/>
  <c r="Z123" i="52"/>
  <c r="Z124" i="52"/>
  <c r="Z125" i="52"/>
  <c r="Z126" i="52"/>
  <c r="Z127" i="52"/>
  <c r="Z128" i="52"/>
  <c r="Z129" i="52"/>
  <c r="Z130" i="52"/>
  <c r="Z131" i="52"/>
  <c r="Z132" i="52"/>
  <c r="Z133" i="52"/>
  <c r="Z134" i="52"/>
  <c r="Z135" i="52"/>
  <c r="Z136" i="52"/>
  <c r="Z137" i="52"/>
  <c r="Z138" i="52"/>
  <c r="Z139" i="52"/>
  <c r="Z140" i="52"/>
  <c r="Z141" i="52"/>
  <c r="Z142" i="52"/>
  <c r="Z143" i="52"/>
  <c r="Z144" i="52"/>
  <c r="Z145" i="52"/>
  <c r="Z146" i="52"/>
  <c r="Z147" i="52"/>
  <c r="Z148" i="52"/>
  <c r="Z149" i="52"/>
  <c r="Z150" i="52"/>
  <c r="Z151" i="52"/>
  <c r="Z152" i="52"/>
  <c r="Z153" i="52"/>
  <c r="Z154" i="52"/>
  <c r="Z155" i="52"/>
  <c r="Z156" i="52"/>
  <c r="Z157" i="52"/>
  <c r="Z158" i="52"/>
  <c r="Z159" i="52"/>
  <c r="Z160" i="52"/>
  <c r="Z161" i="52"/>
  <c r="Z162" i="52"/>
  <c r="Z163" i="52"/>
  <c r="Z164" i="52"/>
  <c r="Z165" i="52"/>
  <c r="Z166" i="52"/>
  <c r="Z167" i="52"/>
  <c r="Z168" i="52"/>
  <c r="Z169" i="52"/>
  <c r="Z170" i="52"/>
  <c r="Z171" i="52"/>
  <c r="Z172" i="52"/>
  <c r="Z173" i="52"/>
  <c r="Z174" i="52"/>
  <c r="Z175" i="52"/>
  <c r="Z176" i="52"/>
  <c r="Z177" i="52"/>
  <c r="Z178" i="52"/>
  <c r="Z179" i="52"/>
  <c r="Z180" i="52"/>
  <c r="Z181" i="52"/>
  <c r="Z182" i="52"/>
  <c r="Z183" i="52"/>
  <c r="Z184" i="52"/>
  <c r="Z185" i="52"/>
  <c r="Z186" i="52"/>
  <c r="Z187" i="52"/>
  <c r="Z188" i="52"/>
  <c r="Z189" i="52"/>
  <c r="Z190" i="52"/>
  <c r="Z191" i="52"/>
  <c r="Z192" i="52"/>
  <c r="Z193" i="52"/>
  <c r="Z194" i="52"/>
  <c r="Z195" i="52"/>
  <c r="Z196" i="52"/>
  <c r="Z197" i="52"/>
  <c r="U102" i="52"/>
  <c r="T102" i="52"/>
  <c r="T103" i="52"/>
  <c r="T104" i="52"/>
  <c r="T105" i="52"/>
  <c r="T106" i="52"/>
  <c r="T107" i="52"/>
  <c r="T108" i="52"/>
  <c r="T109" i="52"/>
  <c r="T110" i="52"/>
  <c r="T111" i="52"/>
  <c r="T112" i="52"/>
  <c r="T113" i="52"/>
  <c r="T114" i="52"/>
  <c r="T115" i="52"/>
  <c r="T116" i="52"/>
  <c r="T117" i="52"/>
  <c r="T118" i="52"/>
  <c r="T119" i="52"/>
  <c r="T120" i="52"/>
  <c r="T121" i="52"/>
  <c r="T122" i="52"/>
  <c r="T123" i="52"/>
  <c r="T124" i="52"/>
  <c r="T125" i="52"/>
  <c r="T126" i="52"/>
  <c r="T127" i="52"/>
  <c r="T128" i="52"/>
  <c r="T129" i="52"/>
  <c r="T130" i="52"/>
  <c r="T131" i="52"/>
  <c r="T132" i="52"/>
  <c r="T133" i="52"/>
  <c r="T134" i="52"/>
  <c r="T135" i="52"/>
  <c r="T136" i="52"/>
  <c r="T137" i="52"/>
  <c r="T138" i="52"/>
  <c r="T139" i="52"/>
  <c r="T140" i="52"/>
  <c r="T141" i="52"/>
  <c r="T142" i="52"/>
  <c r="T143" i="52"/>
  <c r="T144" i="52"/>
  <c r="T145" i="52"/>
  <c r="T146" i="52"/>
  <c r="T147" i="52"/>
  <c r="T148" i="52"/>
  <c r="T149" i="52"/>
  <c r="T150" i="52"/>
  <c r="T151" i="52"/>
  <c r="T152" i="52"/>
  <c r="T153" i="52"/>
  <c r="T154" i="52"/>
  <c r="T155" i="52"/>
  <c r="T156" i="52"/>
  <c r="T157" i="52"/>
  <c r="T158" i="52"/>
  <c r="T159" i="52"/>
  <c r="T160" i="52"/>
  <c r="T161" i="52"/>
  <c r="T162" i="52"/>
  <c r="T163" i="52"/>
  <c r="T164" i="52"/>
  <c r="T165" i="52"/>
  <c r="T166" i="52"/>
  <c r="T167" i="52"/>
  <c r="T168" i="52"/>
  <c r="T169" i="52"/>
  <c r="T170" i="52"/>
  <c r="T171" i="52"/>
  <c r="T172" i="52"/>
  <c r="T173" i="52"/>
  <c r="T174" i="52"/>
  <c r="T175" i="52"/>
  <c r="T176" i="52"/>
  <c r="T177" i="52"/>
  <c r="T178" i="52"/>
  <c r="T179" i="52"/>
  <c r="T180" i="52"/>
  <c r="T181" i="52"/>
  <c r="T182" i="52"/>
  <c r="T183" i="52"/>
  <c r="T184" i="52"/>
  <c r="T185" i="52"/>
  <c r="T186" i="52"/>
  <c r="T187" i="52"/>
  <c r="T188" i="52"/>
  <c r="T189" i="52"/>
  <c r="T190" i="52"/>
  <c r="T191" i="52"/>
  <c r="T192" i="52"/>
  <c r="T193" i="52"/>
  <c r="T194" i="52"/>
  <c r="T195" i="52"/>
  <c r="T196" i="52"/>
  <c r="T197" i="52"/>
  <c r="O102" i="52"/>
  <c r="N102" i="52"/>
  <c r="N103" i="52"/>
  <c r="N104" i="52"/>
  <c r="N105" i="52"/>
  <c r="N106" i="52"/>
  <c r="N107" i="52"/>
  <c r="N108" i="52"/>
  <c r="N109" i="52"/>
  <c r="N110" i="52"/>
  <c r="N111" i="52"/>
  <c r="N112" i="52"/>
  <c r="N113" i="52"/>
  <c r="N114" i="52"/>
  <c r="N115" i="52"/>
  <c r="N116" i="52"/>
  <c r="N117" i="52"/>
  <c r="N118" i="52"/>
  <c r="N119" i="52"/>
  <c r="N120" i="52"/>
  <c r="N121" i="52"/>
  <c r="N122" i="52"/>
  <c r="N123" i="52"/>
  <c r="N124" i="52"/>
  <c r="N125" i="52"/>
  <c r="N126" i="52"/>
  <c r="N127" i="52"/>
  <c r="N128" i="52"/>
  <c r="N129" i="52"/>
  <c r="N130" i="52"/>
  <c r="N131" i="52"/>
  <c r="N132" i="52"/>
  <c r="N133" i="52"/>
  <c r="N134" i="52"/>
  <c r="N135" i="52"/>
  <c r="N136" i="52"/>
  <c r="N137" i="52"/>
  <c r="N138" i="52"/>
  <c r="N139" i="52"/>
  <c r="N140" i="52"/>
  <c r="N141" i="52"/>
  <c r="N142" i="52"/>
  <c r="N143" i="52"/>
  <c r="N144" i="52"/>
  <c r="N145" i="52"/>
  <c r="N146" i="52"/>
  <c r="N147" i="52"/>
  <c r="N148" i="52"/>
  <c r="N149" i="52"/>
  <c r="N150" i="52"/>
  <c r="N151" i="52"/>
  <c r="N152" i="52"/>
  <c r="N153" i="52"/>
  <c r="N154" i="52"/>
  <c r="N155" i="52"/>
  <c r="N156" i="52"/>
  <c r="N157" i="52"/>
  <c r="N158" i="52"/>
  <c r="N159" i="52"/>
  <c r="N160" i="52"/>
  <c r="N161" i="52"/>
  <c r="N162" i="52"/>
  <c r="N163" i="52"/>
  <c r="N164" i="52"/>
  <c r="N165" i="52"/>
  <c r="N166" i="52"/>
  <c r="N167" i="52"/>
  <c r="N168" i="52"/>
  <c r="N169" i="52"/>
  <c r="N170" i="52"/>
  <c r="N171" i="52"/>
  <c r="N172" i="52"/>
  <c r="N173" i="52"/>
  <c r="N174" i="52"/>
  <c r="N175" i="52"/>
  <c r="N176" i="52"/>
  <c r="N177" i="52"/>
  <c r="N178" i="52"/>
  <c r="N179" i="52"/>
  <c r="N180" i="52"/>
  <c r="N181" i="52"/>
  <c r="N182" i="52"/>
  <c r="N183" i="52"/>
  <c r="N184" i="52"/>
  <c r="N185" i="52"/>
  <c r="N186" i="52"/>
  <c r="N187" i="52"/>
  <c r="N188" i="52"/>
  <c r="N189" i="52"/>
  <c r="N190" i="52"/>
  <c r="N191" i="52"/>
  <c r="N192" i="52"/>
  <c r="N193" i="52"/>
  <c r="N194" i="52"/>
  <c r="N195" i="52"/>
  <c r="N196" i="52"/>
  <c r="N197" i="52"/>
  <c r="J102" i="52"/>
  <c r="I102" i="52"/>
  <c r="I103" i="52"/>
  <c r="I104" i="52"/>
  <c r="I105" i="52"/>
  <c r="I106" i="52"/>
  <c r="I107" i="52"/>
  <c r="I108" i="52"/>
  <c r="I109" i="52"/>
  <c r="I110" i="52"/>
  <c r="I111" i="52"/>
  <c r="I112" i="52"/>
  <c r="I113" i="52"/>
  <c r="I114" i="52"/>
  <c r="I115" i="52"/>
  <c r="I116" i="52"/>
  <c r="I117" i="52"/>
  <c r="I118" i="52"/>
  <c r="I119" i="52"/>
  <c r="I120" i="52"/>
  <c r="I121" i="52"/>
  <c r="I122" i="52"/>
  <c r="I123" i="52"/>
  <c r="I124" i="52"/>
  <c r="I125" i="52"/>
  <c r="I126" i="52"/>
  <c r="I127" i="52"/>
  <c r="I128" i="52"/>
  <c r="I129" i="52"/>
  <c r="I130" i="52"/>
  <c r="I131" i="52"/>
  <c r="I132" i="52"/>
  <c r="I133" i="52"/>
  <c r="I134" i="52"/>
  <c r="I135" i="52"/>
  <c r="I136" i="52"/>
  <c r="I137" i="52"/>
  <c r="I138" i="52"/>
  <c r="I139" i="52"/>
  <c r="I140" i="52"/>
  <c r="I141" i="52"/>
  <c r="I142" i="52"/>
  <c r="I143" i="52"/>
  <c r="I144" i="52"/>
  <c r="I145" i="52"/>
  <c r="I146" i="52"/>
  <c r="I147" i="52"/>
  <c r="I148" i="52"/>
  <c r="I149" i="52"/>
  <c r="I150" i="52"/>
  <c r="I151" i="52"/>
  <c r="I152" i="52"/>
  <c r="I153" i="52"/>
  <c r="I154" i="52"/>
  <c r="I155" i="52"/>
  <c r="I156" i="52"/>
  <c r="I157" i="52"/>
  <c r="I158" i="52"/>
  <c r="I159" i="52"/>
  <c r="I160" i="52"/>
  <c r="I161" i="52"/>
  <c r="I162" i="52"/>
  <c r="I163" i="52"/>
  <c r="I164" i="52"/>
  <c r="I165" i="52"/>
  <c r="I166" i="52"/>
  <c r="I167" i="52"/>
  <c r="I168" i="52"/>
  <c r="I169" i="52"/>
  <c r="I170" i="52"/>
  <c r="I171" i="52"/>
  <c r="I172" i="52"/>
  <c r="I173" i="52"/>
  <c r="I174" i="52"/>
  <c r="I175" i="52"/>
  <c r="I176" i="52"/>
  <c r="I177" i="52"/>
  <c r="I178" i="52"/>
  <c r="I179" i="52"/>
  <c r="I180" i="52"/>
  <c r="I181" i="52"/>
  <c r="I182" i="52"/>
  <c r="I183" i="52"/>
  <c r="I184" i="52"/>
  <c r="I185" i="52"/>
  <c r="I186" i="52"/>
  <c r="I187" i="52"/>
  <c r="I188" i="52"/>
  <c r="I189" i="52"/>
  <c r="I190" i="52"/>
  <c r="I191" i="52"/>
  <c r="I192" i="52"/>
  <c r="I193" i="52"/>
  <c r="I194" i="52"/>
  <c r="I195" i="52"/>
  <c r="I196" i="52"/>
  <c r="I197" i="52"/>
  <c r="H72" i="52"/>
  <c r="H73" i="52"/>
  <c r="H74" i="52"/>
  <c r="H75" i="52"/>
  <c r="H76" i="52"/>
  <c r="H77" i="52"/>
  <c r="H78" i="52"/>
  <c r="H79" i="52"/>
  <c r="H80" i="52"/>
  <c r="H81" i="52"/>
  <c r="H82" i="52"/>
  <c r="H83" i="52"/>
  <c r="H84" i="52"/>
  <c r="H85" i="52"/>
  <c r="H86" i="52"/>
  <c r="H87" i="52"/>
  <c r="H88" i="52"/>
  <c r="M51" i="52"/>
  <c r="M52" i="52"/>
  <c r="M53" i="52"/>
  <c r="M54" i="52"/>
  <c r="M55" i="52"/>
  <c r="M56" i="52"/>
  <c r="M57" i="52"/>
  <c r="M58" i="52"/>
  <c r="M59" i="52"/>
  <c r="M60" i="52"/>
  <c r="M61" i="52"/>
  <c r="M62" i="52"/>
  <c r="M63" i="52"/>
  <c r="M64" i="52"/>
  <c r="M65" i="52"/>
  <c r="M66" i="52"/>
  <c r="M67" i="52"/>
  <c r="BB50" i="52"/>
  <c r="BB51" i="52"/>
  <c r="BA49" i="52"/>
  <c r="BC49" i="52"/>
  <c r="BD49" i="52"/>
  <c r="M29" i="52"/>
  <c r="M30" i="52"/>
  <c r="M31" i="52"/>
  <c r="M32" i="52"/>
  <c r="M33" i="52"/>
  <c r="M34" i="52"/>
  <c r="M35" i="52"/>
  <c r="M36" i="52"/>
  <c r="M37" i="52"/>
  <c r="M38" i="52"/>
  <c r="M39" i="52"/>
  <c r="M40" i="52"/>
  <c r="M41" i="52"/>
  <c r="M42" i="52"/>
  <c r="M43" i="52"/>
  <c r="M44" i="52"/>
  <c r="M45" i="52"/>
  <c r="AL24" i="52"/>
  <c r="AF24" i="52"/>
  <c r="Z24" i="52"/>
  <c r="T24" i="52"/>
  <c r="N24" i="52"/>
  <c r="AS23" i="52"/>
  <c r="AL23" i="52"/>
  <c r="AF23" i="52"/>
  <c r="Z23" i="52"/>
  <c r="T23" i="52"/>
  <c r="N23" i="52"/>
  <c r="AS22" i="52"/>
  <c r="AL22" i="52"/>
  <c r="AF22" i="52"/>
  <c r="Z22" i="52"/>
  <c r="T22" i="52"/>
  <c r="N22" i="52"/>
  <c r="BD21" i="52"/>
  <c r="BD22" i="52"/>
  <c r="BC21" i="52"/>
  <c r="BC22" i="52"/>
  <c r="BC23" i="52"/>
  <c r="BC24" i="52"/>
  <c r="BC25" i="52"/>
  <c r="BC26" i="52"/>
  <c r="BC27" i="52"/>
  <c r="BC28" i="52"/>
  <c r="BC29" i="52"/>
  <c r="BC30" i="52"/>
  <c r="BC31" i="52"/>
  <c r="BC32" i="52"/>
  <c r="BC33" i="52"/>
  <c r="BC34" i="52"/>
  <c r="BC35" i="52"/>
  <c r="BC36" i="52"/>
  <c r="BC37" i="52"/>
  <c r="BC38" i="52"/>
  <c r="BC39" i="52"/>
  <c r="BB21" i="52"/>
  <c r="BB22" i="52"/>
  <c r="BB23" i="52"/>
  <c r="BB24" i="52"/>
  <c r="BB25" i="52"/>
  <c r="BB26" i="52"/>
  <c r="BB27" i="52"/>
  <c r="BB28" i="52"/>
  <c r="BB29" i="52"/>
  <c r="BB30" i="52"/>
  <c r="BB31" i="52"/>
  <c r="BB32" i="52"/>
  <c r="BB33" i="52"/>
  <c r="BB34" i="52"/>
  <c r="BB35" i="52"/>
  <c r="BB36" i="52"/>
  <c r="BB37" i="52"/>
  <c r="BB38" i="52"/>
  <c r="BB39" i="52"/>
  <c r="AS21" i="52"/>
  <c r="AL21" i="52"/>
  <c r="AF21" i="52"/>
  <c r="Z21" i="52"/>
  <c r="T21" i="52"/>
  <c r="N21" i="52"/>
  <c r="BA20" i="52"/>
  <c r="BE20" i="52"/>
  <c r="AS20" i="52"/>
  <c r="AL20" i="52"/>
  <c r="AF20" i="52"/>
  <c r="Z20" i="52"/>
  <c r="T20" i="52"/>
  <c r="N20" i="52"/>
  <c r="AS19" i="52"/>
  <c r="AL19" i="52"/>
  <c r="AF19" i="52"/>
  <c r="Z19" i="52"/>
  <c r="T19" i="52"/>
  <c r="N19" i="52"/>
  <c r="AS18" i="52"/>
  <c r="AL18" i="52"/>
  <c r="AF18" i="52"/>
  <c r="Z18" i="52"/>
  <c r="T18" i="52"/>
  <c r="N18" i="52"/>
  <c r="AS17" i="52"/>
  <c r="AL17" i="52"/>
  <c r="AF17" i="52"/>
  <c r="Z17" i="52"/>
  <c r="T17" i="52"/>
  <c r="N17" i="52"/>
  <c r="AS16" i="52"/>
  <c r="AL16" i="52"/>
  <c r="AF16" i="52"/>
  <c r="Z16" i="52"/>
  <c r="T16" i="52"/>
  <c r="N16" i="52"/>
  <c r="AS15" i="52"/>
  <c r="AL15" i="52"/>
  <c r="AF15" i="52"/>
  <c r="Z15" i="52"/>
  <c r="T15" i="52"/>
  <c r="N15" i="52"/>
  <c r="AS14" i="52"/>
  <c r="AL14" i="52"/>
  <c r="AF14" i="52"/>
  <c r="Z14" i="52"/>
  <c r="T14" i="52"/>
  <c r="N14" i="52"/>
  <c r="AS13" i="52"/>
  <c r="AL13" i="52"/>
  <c r="AF13" i="52"/>
  <c r="Z13" i="52"/>
  <c r="T13" i="52"/>
  <c r="N13" i="52"/>
  <c r="AS12" i="52"/>
  <c r="AL12" i="52"/>
  <c r="AF12" i="52"/>
  <c r="Z12" i="52"/>
  <c r="T12" i="52"/>
  <c r="N12" i="52"/>
  <c r="AS11" i="52"/>
  <c r="AL11" i="52"/>
  <c r="AF11" i="52"/>
  <c r="Z11" i="52"/>
  <c r="T11" i="52"/>
  <c r="N11" i="52"/>
  <c r="AS10" i="52"/>
  <c r="AL10" i="52"/>
  <c r="AF10" i="52"/>
  <c r="Z10" i="52"/>
  <c r="T10" i="52"/>
  <c r="N10" i="52"/>
  <c r="AS9" i="52"/>
  <c r="AL9" i="52"/>
  <c r="AF9" i="52"/>
  <c r="Z9" i="52"/>
  <c r="T9" i="52"/>
  <c r="N9" i="52"/>
  <c r="AS8" i="52"/>
  <c r="AL8" i="52"/>
  <c r="AF8" i="52"/>
  <c r="Z8" i="52"/>
  <c r="T8" i="52"/>
  <c r="N8" i="52"/>
  <c r="AS7" i="52"/>
  <c r="AL7" i="52"/>
  <c r="AF7" i="52"/>
  <c r="Z7" i="52"/>
  <c r="T7" i="52"/>
  <c r="N7" i="52"/>
  <c r="AS6" i="52"/>
  <c r="AS5" i="52"/>
  <c r="AO5" i="52"/>
  <c r="AO6" i="52"/>
  <c r="AO7" i="52"/>
  <c r="AO8" i="52"/>
  <c r="AO9" i="52"/>
  <c r="AO10" i="52"/>
  <c r="AO11" i="52"/>
  <c r="AO12" i="52"/>
  <c r="AO13" i="52"/>
  <c r="BA50" i="52"/>
  <c r="BC50" i="52"/>
  <c r="F19" i="29"/>
  <c r="F20" i="29"/>
  <c r="F22" i="29"/>
  <c r="F24" i="29"/>
  <c r="F26" i="29"/>
  <c r="F28" i="29"/>
  <c r="F44" i="52"/>
  <c r="F35" i="52"/>
  <c r="F9" i="52"/>
  <c r="F17" i="52"/>
  <c r="BA21" i="52"/>
  <c r="BE21" i="52"/>
  <c r="F29" i="29"/>
  <c r="B3" i="52"/>
  <c r="G9" i="1"/>
  <c r="G8" i="1"/>
  <c r="G7" i="1"/>
  <c r="C28" i="1"/>
  <c r="F27" i="1"/>
  <c r="E27" i="1"/>
  <c r="D27" i="1"/>
  <c r="AA30" i="1"/>
  <c r="AD29" i="1"/>
  <c r="AC29" i="1"/>
  <c r="AB29" i="1"/>
  <c r="D7" i="1"/>
  <c r="E7" i="1"/>
  <c r="F7" i="1"/>
  <c r="D8" i="1"/>
  <c r="E8" i="1"/>
  <c r="F8" i="1"/>
  <c r="E12" i="1"/>
  <c r="F12" i="1"/>
  <c r="E13" i="1"/>
  <c r="F13" i="1"/>
  <c r="E14" i="1"/>
  <c r="F14" i="1"/>
  <c r="E15" i="1"/>
  <c r="F15" i="1"/>
  <c r="E16" i="1"/>
  <c r="F16" i="1"/>
  <c r="E17" i="1"/>
  <c r="F17" i="1"/>
  <c r="E18" i="1"/>
  <c r="F18" i="1"/>
  <c r="E19" i="1"/>
  <c r="F19" i="1"/>
  <c r="E20" i="1"/>
  <c r="F20" i="1"/>
  <c r="E21" i="1"/>
  <c r="F21" i="1"/>
  <c r="AB28" i="1"/>
  <c r="AC28" i="1"/>
  <c r="AD28" i="1"/>
  <c r="D21" i="7"/>
  <c r="E20" i="7"/>
  <c r="B47" i="7"/>
  <c r="E19" i="7"/>
  <c r="G29" i="29"/>
  <c r="J1" i="52"/>
  <c r="M24" i="52"/>
  <c r="AL2" i="51"/>
  <c r="R8" i="29"/>
  <c r="F4" i="52"/>
  <c r="J24" i="52"/>
  <c r="T67" i="52"/>
  <c r="K23" i="52"/>
  <c r="L22" i="52"/>
  <c r="AF65" i="52"/>
  <c r="M21" i="52"/>
  <c r="K21" i="52"/>
  <c r="Z42" i="52"/>
  <c r="I21" i="52"/>
  <c r="L20" i="52"/>
  <c r="AF63" i="52"/>
  <c r="J20" i="52"/>
  <c r="I20" i="52"/>
  <c r="N63" i="52"/>
  <c r="M19" i="52"/>
  <c r="L19" i="52"/>
  <c r="AF62" i="52"/>
  <c r="K19" i="52"/>
  <c r="J19" i="52"/>
  <c r="T62" i="52"/>
  <c r="I19" i="52"/>
  <c r="M18" i="52"/>
  <c r="AL61" i="52"/>
  <c r="L18" i="52"/>
  <c r="K18" i="52"/>
  <c r="Z39" i="52"/>
  <c r="J18" i="52"/>
  <c r="I18" i="52"/>
  <c r="N61" i="52"/>
  <c r="M17" i="52"/>
  <c r="L17" i="52"/>
  <c r="AF60" i="52"/>
  <c r="K17" i="52"/>
  <c r="J17" i="52"/>
  <c r="T60" i="52"/>
  <c r="I17" i="52"/>
  <c r="M16" i="52"/>
  <c r="AL59" i="52"/>
  <c r="L16" i="52"/>
  <c r="K16" i="52"/>
  <c r="Z37" i="52"/>
  <c r="J16" i="52"/>
  <c r="I16" i="52"/>
  <c r="N59" i="52"/>
  <c r="M15" i="52"/>
  <c r="L15" i="52"/>
  <c r="AF58" i="52"/>
  <c r="K15" i="52"/>
  <c r="J15" i="52"/>
  <c r="T58" i="52"/>
  <c r="I15" i="52"/>
  <c r="M14" i="52"/>
  <c r="AL57" i="52"/>
  <c r="L14" i="52"/>
  <c r="K14" i="52"/>
  <c r="Z35" i="52"/>
  <c r="J14" i="52"/>
  <c r="I14" i="52"/>
  <c r="N57" i="52"/>
  <c r="M13" i="52"/>
  <c r="L13" i="52"/>
  <c r="AF56" i="52"/>
  <c r="K13" i="52"/>
  <c r="J13" i="52"/>
  <c r="T56" i="52"/>
  <c r="I13" i="52"/>
  <c r="M12" i="52"/>
  <c r="AL55" i="52"/>
  <c r="L12" i="52"/>
  <c r="K12" i="52"/>
  <c r="Z33" i="52"/>
  <c r="J12" i="52"/>
  <c r="I12" i="52"/>
  <c r="N55" i="52"/>
  <c r="J37" i="52"/>
  <c r="K32" i="52"/>
  <c r="K31" i="52"/>
  <c r="K30" i="52"/>
  <c r="K29" i="52"/>
  <c r="K28" i="52"/>
  <c r="F26" i="52"/>
  <c r="BD23" i="52"/>
  <c r="BA22" i="52"/>
  <c r="BE22" i="52"/>
  <c r="BB52" i="52"/>
  <c r="BA51" i="52"/>
  <c r="BC51" i="52"/>
  <c r="BD51" i="52"/>
  <c r="H105" i="52"/>
  <c r="J104" i="52"/>
  <c r="M105" i="52"/>
  <c r="O104" i="52"/>
  <c r="S105" i="52"/>
  <c r="U104" i="52"/>
  <c r="Y105" i="52"/>
  <c r="AA104" i="52"/>
  <c r="AE105" i="52"/>
  <c r="AG104" i="52"/>
  <c r="I7" i="52"/>
  <c r="J7" i="52"/>
  <c r="K7" i="52"/>
  <c r="Z28" i="52"/>
  <c r="L7" i="52"/>
  <c r="M7" i="52"/>
  <c r="I8" i="52"/>
  <c r="J8" i="52"/>
  <c r="K8" i="52"/>
  <c r="Z29" i="52"/>
  <c r="L8" i="52"/>
  <c r="M8" i="52"/>
  <c r="I9" i="52"/>
  <c r="J9" i="52"/>
  <c r="K9" i="52"/>
  <c r="Z30" i="52"/>
  <c r="L9" i="52"/>
  <c r="M9" i="52"/>
  <c r="I10" i="52"/>
  <c r="J10" i="52"/>
  <c r="K10" i="52"/>
  <c r="Z31" i="52"/>
  <c r="L10" i="52"/>
  <c r="M10" i="52"/>
  <c r="I11" i="52"/>
  <c r="J11" i="52"/>
  <c r="K11" i="52"/>
  <c r="Z32" i="52"/>
  <c r="L11" i="52"/>
  <c r="AF32" i="52"/>
  <c r="M11" i="52"/>
  <c r="AL54" i="52"/>
  <c r="AF54" i="52"/>
  <c r="T55" i="52"/>
  <c r="AF55" i="52"/>
  <c r="N56" i="52"/>
  <c r="Z34" i="52"/>
  <c r="AL56" i="52"/>
  <c r="T57" i="52"/>
  <c r="AF57" i="52"/>
  <c r="N58" i="52"/>
  <c r="Z36" i="52"/>
  <c r="AL58" i="52"/>
  <c r="T59" i="52"/>
  <c r="AF59" i="52"/>
  <c r="N60" i="52"/>
  <c r="Z38" i="52"/>
  <c r="AL60" i="52"/>
  <c r="T61" i="52"/>
  <c r="AF61" i="52"/>
  <c r="N62" i="52"/>
  <c r="Z40" i="52"/>
  <c r="AL62" i="52"/>
  <c r="T63" i="52"/>
  <c r="N64" i="52"/>
  <c r="AL64" i="52"/>
  <c r="Z44" i="52"/>
  <c r="BD50" i="52"/>
  <c r="T33" i="52"/>
  <c r="AF33" i="52"/>
  <c r="N34" i="52"/>
  <c r="AL34" i="52"/>
  <c r="T35" i="52"/>
  <c r="AF35" i="52"/>
  <c r="N36" i="52"/>
  <c r="AL36" i="52"/>
  <c r="T37" i="52"/>
  <c r="AF37" i="52"/>
  <c r="N38" i="52"/>
  <c r="AL38" i="52"/>
  <c r="T39" i="52"/>
  <c r="AF39" i="52"/>
  <c r="N40" i="52"/>
  <c r="AL40" i="52"/>
  <c r="T41" i="52"/>
  <c r="AF41" i="52"/>
  <c r="N42" i="52"/>
  <c r="AL42" i="52"/>
  <c r="T45" i="52"/>
  <c r="J103" i="52"/>
  <c r="O103" i="52"/>
  <c r="U103" i="52"/>
  <c r="AA103" i="52"/>
  <c r="AG103" i="52"/>
  <c r="G24" i="29"/>
  <c r="AF43" i="52"/>
  <c r="AL32" i="52"/>
  <c r="K20" i="52"/>
  <c r="Z41" i="52"/>
  <c r="M20" i="52"/>
  <c r="AL63" i="52"/>
  <c r="J21" i="52"/>
  <c r="T64" i="52"/>
  <c r="L21" i="52"/>
  <c r="AF64" i="52"/>
  <c r="J22" i="52"/>
  <c r="T65" i="52"/>
  <c r="I23" i="52"/>
  <c r="N66" i="52"/>
  <c r="M23" i="52"/>
  <c r="L24" i="52"/>
  <c r="G28" i="29"/>
  <c r="G20" i="29"/>
  <c r="T42" i="52"/>
  <c r="AL41" i="52"/>
  <c r="T40" i="52"/>
  <c r="AL39" i="52"/>
  <c r="T38" i="52"/>
  <c r="AL37" i="52"/>
  <c r="T36" i="52"/>
  <c r="AL35" i="52"/>
  <c r="T34" i="52"/>
  <c r="AL33" i="52"/>
  <c r="T43" i="52"/>
  <c r="N41" i="52"/>
  <c r="AF40" i="52"/>
  <c r="N39" i="52"/>
  <c r="AF38" i="52"/>
  <c r="N37" i="52"/>
  <c r="AF36" i="52"/>
  <c r="N35" i="52"/>
  <c r="AF34" i="52"/>
  <c r="N33" i="52"/>
  <c r="AL67" i="52"/>
  <c r="AL45" i="52"/>
  <c r="I22" i="52"/>
  <c r="K22" i="52"/>
  <c r="Z43" i="52"/>
  <c r="M22" i="52"/>
  <c r="J23" i="52"/>
  <c r="L23" i="52"/>
  <c r="I24" i="52"/>
  <c r="K24" i="52"/>
  <c r="Z45" i="52"/>
  <c r="F20" i="7"/>
  <c r="G26" i="29"/>
  <c r="G22" i="29"/>
  <c r="G19" i="29"/>
  <c r="G27" i="29"/>
  <c r="G23" i="29"/>
  <c r="G25" i="29"/>
  <c r="G21" i="29"/>
  <c r="AA31" i="1"/>
  <c r="AD30" i="1"/>
  <c r="AC30" i="1"/>
  <c r="AB30" i="1"/>
  <c r="C29" i="1"/>
  <c r="F28" i="1"/>
  <c r="E28" i="1"/>
  <c r="D28" i="1"/>
  <c r="B48" i="7"/>
  <c r="D22" i="7"/>
  <c r="E21" i="7"/>
  <c r="R54" i="52"/>
  <c r="R32" i="52"/>
  <c r="Q54" i="52"/>
  <c r="Q32" i="52"/>
  <c r="Z54" i="52"/>
  <c r="P54" i="52"/>
  <c r="P32" i="52"/>
  <c r="O54" i="52"/>
  <c r="O32" i="52"/>
  <c r="R53" i="52"/>
  <c r="R31" i="52"/>
  <c r="Q53" i="52"/>
  <c r="Q31" i="52"/>
  <c r="Z53" i="52"/>
  <c r="P53" i="52"/>
  <c r="P31" i="52"/>
  <c r="O53" i="52"/>
  <c r="O31" i="52"/>
  <c r="R52" i="52"/>
  <c r="R30" i="52"/>
  <c r="Q52" i="52"/>
  <c r="Q30" i="52"/>
  <c r="Z52" i="52"/>
  <c r="P52" i="52"/>
  <c r="P30" i="52"/>
  <c r="O52" i="52"/>
  <c r="O30" i="52"/>
  <c r="R51" i="52"/>
  <c r="R29" i="52"/>
  <c r="Q51" i="52"/>
  <c r="Q29" i="52"/>
  <c r="Z51" i="52"/>
  <c r="P51" i="52"/>
  <c r="P29" i="52"/>
  <c r="O51" i="52"/>
  <c r="O29" i="52"/>
  <c r="R50" i="52"/>
  <c r="R28" i="52"/>
  <c r="Q50" i="52"/>
  <c r="Q28" i="52"/>
  <c r="Z50" i="52"/>
  <c r="P50" i="52"/>
  <c r="P28" i="52"/>
  <c r="O50" i="52"/>
  <c r="O28" i="52"/>
  <c r="AE106" i="52"/>
  <c r="AG105" i="52"/>
  <c r="Y106" i="52"/>
  <c r="AA105" i="52"/>
  <c r="S106" i="52"/>
  <c r="U105" i="52"/>
  <c r="M106" i="52"/>
  <c r="O105" i="52"/>
  <c r="H106" i="52"/>
  <c r="J105" i="52"/>
  <c r="BB53" i="52"/>
  <c r="BA52" i="52"/>
  <c r="BC52" i="52"/>
  <c r="BD52" i="52"/>
  <c r="BD24" i="52"/>
  <c r="BA23" i="52"/>
  <c r="BE23" i="52"/>
  <c r="O55" i="52"/>
  <c r="O33" i="52"/>
  <c r="Z55" i="52"/>
  <c r="P55" i="52"/>
  <c r="P33" i="52"/>
  <c r="Q55" i="52"/>
  <c r="Q33" i="52"/>
  <c r="R55" i="52"/>
  <c r="R33" i="52"/>
  <c r="O56" i="52"/>
  <c r="O34" i="52"/>
  <c r="Z56" i="52"/>
  <c r="P56" i="52"/>
  <c r="P34" i="52"/>
  <c r="Q56" i="52"/>
  <c r="Q34" i="52"/>
  <c r="R56" i="52"/>
  <c r="R34" i="52"/>
  <c r="O57" i="52"/>
  <c r="O35" i="52"/>
  <c r="Z57" i="52"/>
  <c r="P57" i="52"/>
  <c r="P35" i="52"/>
  <c r="Q57" i="52"/>
  <c r="Q35" i="52"/>
  <c r="R57" i="52"/>
  <c r="R35" i="52"/>
  <c r="O58" i="52"/>
  <c r="O36" i="52"/>
  <c r="Z58" i="52"/>
  <c r="P58" i="52"/>
  <c r="P36" i="52"/>
  <c r="Q58" i="52"/>
  <c r="Q36" i="52"/>
  <c r="R58" i="52"/>
  <c r="R36" i="52"/>
  <c r="O59" i="52"/>
  <c r="O37" i="52"/>
  <c r="Z59" i="52"/>
  <c r="P59" i="52"/>
  <c r="P37" i="52"/>
  <c r="Q59" i="52"/>
  <c r="Q37" i="52"/>
  <c r="R59" i="52"/>
  <c r="R37" i="52"/>
  <c r="O60" i="52"/>
  <c r="O38" i="52"/>
  <c r="Z60" i="52"/>
  <c r="P60" i="52"/>
  <c r="P38" i="52"/>
  <c r="Q60" i="52"/>
  <c r="Q38" i="52"/>
  <c r="R60" i="52"/>
  <c r="R38" i="52"/>
  <c r="O61" i="52"/>
  <c r="O39" i="52"/>
  <c r="Z61" i="52"/>
  <c r="P61" i="52"/>
  <c r="P39" i="52"/>
  <c r="Q61" i="52"/>
  <c r="Q39" i="52"/>
  <c r="R61" i="52"/>
  <c r="R39" i="52"/>
  <c r="O62" i="52"/>
  <c r="O40" i="52"/>
  <c r="Z62" i="52"/>
  <c r="P62" i="52"/>
  <c r="P40" i="52"/>
  <c r="Q62" i="52"/>
  <c r="Q40" i="52"/>
  <c r="R62" i="52"/>
  <c r="R40" i="52"/>
  <c r="O63" i="52"/>
  <c r="O41" i="52"/>
  <c r="Z63" i="52"/>
  <c r="P63" i="52"/>
  <c r="P41" i="52"/>
  <c r="Q63" i="52"/>
  <c r="Q41" i="52"/>
  <c r="R63" i="52"/>
  <c r="R41" i="52"/>
  <c r="O64" i="52"/>
  <c r="O42" i="52"/>
  <c r="Z64" i="52"/>
  <c r="P64" i="52"/>
  <c r="P42" i="52"/>
  <c r="Q64" i="52"/>
  <c r="Q42" i="52"/>
  <c r="R64" i="52"/>
  <c r="R42" i="52"/>
  <c r="O65" i="52"/>
  <c r="O43" i="52"/>
  <c r="Z65" i="52"/>
  <c r="P65" i="52"/>
  <c r="P43" i="52"/>
  <c r="Q65" i="52"/>
  <c r="Q43" i="52"/>
  <c r="R65" i="52"/>
  <c r="R43" i="52"/>
  <c r="O66" i="52"/>
  <c r="O44" i="52"/>
  <c r="Z66" i="52"/>
  <c r="P66" i="52"/>
  <c r="P44" i="52"/>
  <c r="Q66" i="52"/>
  <c r="Q44" i="52"/>
  <c r="R66" i="52"/>
  <c r="R44" i="52"/>
  <c r="O67" i="52"/>
  <c r="O45" i="52"/>
  <c r="Z67" i="52"/>
  <c r="P67" i="52"/>
  <c r="P45" i="52"/>
  <c r="Q67" i="52"/>
  <c r="Q45" i="52"/>
  <c r="R67" i="52"/>
  <c r="R45" i="52"/>
  <c r="Z46" i="52"/>
  <c r="T32" i="52"/>
  <c r="T54" i="52"/>
  <c r="N32" i="52"/>
  <c r="N54" i="52"/>
  <c r="AL31" i="52"/>
  <c r="AL53" i="52"/>
  <c r="AF31" i="52"/>
  <c r="AF53" i="52"/>
  <c r="T31" i="52"/>
  <c r="T53" i="52"/>
  <c r="N31" i="52"/>
  <c r="N53" i="52"/>
  <c r="AL30" i="52"/>
  <c r="AL52" i="52"/>
  <c r="AF30" i="52"/>
  <c r="AF52" i="52"/>
  <c r="T30" i="52"/>
  <c r="T52" i="52"/>
  <c r="N30" i="52"/>
  <c r="N52" i="52"/>
  <c r="AL29" i="52"/>
  <c r="AL51" i="52"/>
  <c r="AF29" i="52"/>
  <c r="AF51" i="52"/>
  <c r="T29" i="52"/>
  <c r="T51" i="52"/>
  <c r="N29" i="52"/>
  <c r="N51" i="52"/>
  <c r="AL28" i="52"/>
  <c r="AL50" i="52"/>
  <c r="AF28" i="52"/>
  <c r="AF50" i="52"/>
  <c r="T28" i="52"/>
  <c r="T50" i="52"/>
  <c r="N28" i="52"/>
  <c r="N50" i="52"/>
  <c r="F19" i="7"/>
  <c r="AL66" i="52"/>
  <c r="AL44" i="52"/>
  <c r="AF42" i="52"/>
  <c r="N44" i="52"/>
  <c r="AF67" i="52"/>
  <c r="AF45" i="52"/>
  <c r="F21" i="7"/>
  <c r="F18" i="7"/>
  <c r="F23" i="7"/>
  <c r="N67" i="52"/>
  <c r="N45" i="52"/>
  <c r="T66" i="52"/>
  <c r="T44" i="52"/>
  <c r="T46" i="52"/>
  <c r="T68" i="52"/>
  <c r="AF66" i="52"/>
  <c r="AF68" i="52"/>
  <c r="AF44" i="52"/>
  <c r="AF46" i="52"/>
  <c r="AL65" i="52"/>
  <c r="AL68" i="52"/>
  <c r="AL43" i="52"/>
  <c r="AL46" i="52"/>
  <c r="N65" i="52"/>
  <c r="N43" i="52"/>
  <c r="C30" i="1"/>
  <c r="F29" i="1"/>
  <c r="E29" i="1"/>
  <c r="D29" i="1"/>
  <c r="AA32" i="1"/>
  <c r="AD31" i="1"/>
  <c r="AC31" i="1"/>
  <c r="AB31" i="1"/>
  <c r="D24" i="7"/>
  <c r="E22" i="7"/>
  <c r="F22" i="7"/>
  <c r="B49" i="7"/>
  <c r="BD25" i="52"/>
  <c r="BA24" i="52"/>
  <c r="BE24" i="52"/>
  <c r="BB54" i="52"/>
  <c r="BA53" i="52"/>
  <c r="BC53" i="52"/>
  <c r="BD53" i="52"/>
  <c r="H107" i="52"/>
  <c r="J106" i="52"/>
  <c r="M107" i="52"/>
  <c r="O106" i="52"/>
  <c r="S107" i="52"/>
  <c r="U106" i="52"/>
  <c r="Y107" i="52"/>
  <c r="AA106" i="52"/>
  <c r="AE107" i="52"/>
  <c r="AG106" i="52"/>
  <c r="O46" i="52"/>
  <c r="O68" i="52"/>
  <c r="P46" i="52"/>
  <c r="P68" i="52"/>
  <c r="Z68" i="52"/>
  <c r="Q46" i="52"/>
  <c r="Q68" i="52"/>
  <c r="R46" i="52"/>
  <c r="R68" i="52"/>
  <c r="N68" i="52"/>
  <c r="N69" i="52"/>
  <c r="N46" i="52"/>
  <c r="AA33" i="1"/>
  <c r="AD32" i="1"/>
  <c r="AC32" i="1"/>
  <c r="AB32" i="1"/>
  <c r="C31" i="1"/>
  <c r="F30" i="1"/>
  <c r="E30" i="1"/>
  <c r="D30" i="1"/>
  <c r="B50" i="7"/>
  <c r="D25" i="7"/>
  <c r="E24" i="7"/>
  <c r="F24" i="7"/>
  <c r="AE108" i="52"/>
  <c r="AG107" i="52"/>
  <c r="Y108" i="52"/>
  <c r="AA107" i="52"/>
  <c r="S108" i="52"/>
  <c r="U107" i="52"/>
  <c r="M108" i="52"/>
  <c r="O107" i="52"/>
  <c r="H108" i="52"/>
  <c r="J107" i="52"/>
  <c r="BB55" i="52"/>
  <c r="BA54" i="52"/>
  <c r="BC54" i="52"/>
  <c r="BD54" i="52"/>
  <c r="BD26" i="52"/>
  <c r="BA25" i="52"/>
  <c r="BE25" i="52"/>
  <c r="C32" i="1"/>
  <c r="F31" i="1"/>
  <c r="E31" i="1"/>
  <c r="D31" i="1"/>
  <c r="AA34" i="1"/>
  <c r="AD33" i="1"/>
  <c r="AC33" i="1"/>
  <c r="AB33" i="1"/>
  <c r="D26" i="7"/>
  <c r="E25" i="7"/>
  <c r="F25" i="7"/>
  <c r="B51" i="7"/>
  <c r="BD27" i="52"/>
  <c r="BA26" i="52"/>
  <c r="BE26" i="52"/>
  <c r="BB56" i="52"/>
  <c r="BA55" i="52"/>
  <c r="BC55" i="52"/>
  <c r="BD55" i="52"/>
  <c r="H109" i="52"/>
  <c r="J108" i="52"/>
  <c r="M109" i="52"/>
  <c r="O108" i="52"/>
  <c r="S109" i="52"/>
  <c r="U108" i="52"/>
  <c r="Y109" i="52"/>
  <c r="AA108" i="52"/>
  <c r="AE109" i="52"/>
  <c r="AG108" i="52"/>
  <c r="AA35" i="1"/>
  <c r="AD34" i="1"/>
  <c r="AC34" i="1"/>
  <c r="AB34" i="1"/>
  <c r="C33" i="1"/>
  <c r="F32" i="1"/>
  <c r="E32" i="1"/>
  <c r="D32" i="1"/>
  <c r="B52" i="7"/>
  <c r="D27" i="7"/>
  <c r="E26" i="7"/>
  <c r="F26" i="7"/>
  <c r="AE110" i="52"/>
  <c r="AG109" i="52"/>
  <c r="Y110" i="52"/>
  <c r="AA109" i="52"/>
  <c r="S110" i="52"/>
  <c r="U109" i="52"/>
  <c r="M110" i="52"/>
  <c r="O109" i="52"/>
  <c r="H110" i="52"/>
  <c r="J109" i="52"/>
  <c r="BB57" i="52"/>
  <c r="BA56" i="52"/>
  <c r="BC56" i="52"/>
  <c r="BD56" i="52"/>
  <c r="BD28" i="52"/>
  <c r="BA27" i="52"/>
  <c r="BE27" i="52"/>
  <c r="C34" i="1"/>
  <c r="F33" i="1"/>
  <c r="E33" i="1"/>
  <c r="D33" i="1"/>
  <c r="AA36" i="1"/>
  <c r="AD35" i="1"/>
  <c r="AC35" i="1"/>
  <c r="AB35" i="1"/>
  <c r="D28" i="7"/>
  <c r="E27" i="7"/>
  <c r="F27" i="7"/>
  <c r="B53" i="7"/>
  <c r="BD29" i="52"/>
  <c r="BA28" i="52"/>
  <c r="BE28" i="52"/>
  <c r="BB58" i="52"/>
  <c r="BA57" i="52"/>
  <c r="BC57" i="52"/>
  <c r="BD57" i="52"/>
  <c r="H111" i="52"/>
  <c r="J110" i="52"/>
  <c r="M111" i="52"/>
  <c r="O110" i="52"/>
  <c r="S111" i="52"/>
  <c r="U110" i="52"/>
  <c r="Y111" i="52"/>
  <c r="AA110" i="52"/>
  <c r="AE111" i="52"/>
  <c r="AG110" i="52"/>
  <c r="AA37" i="1"/>
  <c r="AD36" i="1"/>
  <c r="AC36" i="1"/>
  <c r="AB36" i="1"/>
  <c r="C35" i="1"/>
  <c r="F34" i="1"/>
  <c r="E34" i="1"/>
  <c r="D34" i="1"/>
  <c r="B54" i="7"/>
  <c r="D29" i="7"/>
  <c r="E28" i="7"/>
  <c r="F28" i="7"/>
  <c r="AE112" i="52"/>
  <c r="AG111" i="52"/>
  <c r="Y112" i="52"/>
  <c r="AA111" i="52"/>
  <c r="S112" i="52"/>
  <c r="U111" i="52"/>
  <c r="M112" i="52"/>
  <c r="O111" i="52"/>
  <c r="H112" i="52"/>
  <c r="J111" i="52"/>
  <c r="BB59" i="52"/>
  <c r="BA58" i="52"/>
  <c r="BC58" i="52"/>
  <c r="BD58" i="52"/>
  <c r="BD30" i="52"/>
  <c r="BA29" i="52"/>
  <c r="BE29" i="52"/>
  <c r="C36" i="1"/>
  <c r="F35" i="1"/>
  <c r="E35" i="1"/>
  <c r="D35" i="1"/>
  <c r="AA38" i="1"/>
  <c r="AD37" i="1"/>
  <c r="AC37" i="1"/>
  <c r="AB37" i="1"/>
  <c r="D30" i="7"/>
  <c r="E29" i="7"/>
  <c r="F29" i="7"/>
  <c r="B55" i="7"/>
  <c r="BD31" i="52"/>
  <c r="BA30" i="52"/>
  <c r="BE30" i="52"/>
  <c r="BB60" i="52"/>
  <c r="BA59" i="52"/>
  <c r="BC59" i="52"/>
  <c r="BD59" i="52"/>
  <c r="H113" i="52"/>
  <c r="J112" i="52"/>
  <c r="M113" i="52"/>
  <c r="O112" i="52"/>
  <c r="S113" i="52"/>
  <c r="U112" i="52"/>
  <c r="Y113" i="52"/>
  <c r="AA112" i="52"/>
  <c r="AE113" i="52"/>
  <c r="AG112" i="52"/>
  <c r="AA39" i="1"/>
  <c r="AD38" i="1"/>
  <c r="AC38" i="1"/>
  <c r="AB38" i="1"/>
  <c r="C37" i="1"/>
  <c r="F36" i="1"/>
  <c r="E36" i="1"/>
  <c r="D36" i="1"/>
  <c r="B56" i="7"/>
  <c r="D31" i="7"/>
  <c r="E30" i="7"/>
  <c r="F30" i="7"/>
  <c r="AE114" i="52"/>
  <c r="AG113" i="52"/>
  <c r="Y114" i="52"/>
  <c r="AA113" i="52"/>
  <c r="S114" i="52"/>
  <c r="U113" i="52"/>
  <c r="M114" i="52"/>
  <c r="O113" i="52"/>
  <c r="H114" i="52"/>
  <c r="J113" i="52"/>
  <c r="BB61" i="52"/>
  <c r="BA60" i="52"/>
  <c r="BC60" i="52"/>
  <c r="BD60" i="52"/>
  <c r="BD32" i="52"/>
  <c r="BA31" i="52"/>
  <c r="BE31" i="52"/>
  <c r="C38" i="1"/>
  <c r="F37" i="1"/>
  <c r="E37" i="1"/>
  <c r="D37" i="1"/>
  <c r="AA40" i="1"/>
  <c r="AD39" i="1"/>
  <c r="AC39" i="1"/>
  <c r="AB39" i="1"/>
  <c r="D32" i="7"/>
  <c r="E31" i="7"/>
  <c r="F31" i="7"/>
  <c r="B57" i="7"/>
  <c r="BD33" i="52"/>
  <c r="BA32" i="52"/>
  <c r="BE32" i="52"/>
  <c r="BB62" i="52"/>
  <c r="BA61" i="52"/>
  <c r="BC61" i="52"/>
  <c r="BD61" i="52"/>
  <c r="H115" i="52"/>
  <c r="J114" i="52"/>
  <c r="M115" i="52"/>
  <c r="O114" i="52"/>
  <c r="S115" i="52"/>
  <c r="U114" i="52"/>
  <c r="Y115" i="52"/>
  <c r="AA114" i="52"/>
  <c r="AE115" i="52"/>
  <c r="AG114" i="52"/>
  <c r="AA41" i="1"/>
  <c r="AD40" i="1"/>
  <c r="AC40" i="1"/>
  <c r="AB40" i="1"/>
  <c r="C39" i="1"/>
  <c r="F38" i="1"/>
  <c r="E38" i="1"/>
  <c r="D38" i="1"/>
  <c r="B58" i="7"/>
  <c r="D33" i="7"/>
  <c r="E32" i="7"/>
  <c r="F32" i="7"/>
  <c r="AE116" i="52"/>
  <c r="AG115" i="52"/>
  <c r="Y116" i="52"/>
  <c r="AA115" i="52"/>
  <c r="S116" i="52"/>
  <c r="U115" i="52"/>
  <c r="M116" i="52"/>
  <c r="O115" i="52"/>
  <c r="H116" i="52"/>
  <c r="J115" i="52"/>
  <c r="BB63" i="52"/>
  <c r="BA62" i="52"/>
  <c r="BC62" i="52"/>
  <c r="BD62" i="52"/>
  <c r="BD34" i="52"/>
  <c r="BA33" i="52"/>
  <c r="BE33" i="52"/>
  <c r="C40" i="1"/>
  <c r="F39" i="1"/>
  <c r="E39" i="1"/>
  <c r="D39" i="1"/>
  <c r="AA42" i="1"/>
  <c r="AD41" i="1"/>
  <c r="AC41" i="1"/>
  <c r="AB41" i="1"/>
  <c r="D34" i="7"/>
  <c r="E34" i="7"/>
  <c r="F34" i="7"/>
  <c r="E33" i="7"/>
  <c r="F33" i="7"/>
  <c r="B59" i="7"/>
  <c r="BD35" i="52"/>
  <c r="BA34" i="52"/>
  <c r="BE34" i="52"/>
  <c r="BB64" i="52"/>
  <c r="BA63" i="52"/>
  <c r="BC63" i="52"/>
  <c r="BD63" i="52"/>
  <c r="H117" i="52"/>
  <c r="J116" i="52"/>
  <c r="M117" i="52"/>
  <c r="O116" i="52"/>
  <c r="S117" i="52"/>
  <c r="U116" i="52"/>
  <c r="Y117" i="52"/>
  <c r="AA116" i="52"/>
  <c r="AE117" i="52"/>
  <c r="AG116" i="52"/>
  <c r="AA43" i="1"/>
  <c r="AD42" i="1"/>
  <c r="AC42" i="1"/>
  <c r="AB42" i="1"/>
  <c r="C41" i="1"/>
  <c r="F40" i="1"/>
  <c r="E40" i="1"/>
  <c r="D40" i="1"/>
  <c r="B60" i="7"/>
  <c r="AE118" i="52"/>
  <c r="AG117" i="52"/>
  <c r="Y118" i="52"/>
  <c r="AA117" i="52"/>
  <c r="S118" i="52"/>
  <c r="U117" i="52"/>
  <c r="M118" i="52"/>
  <c r="O117" i="52"/>
  <c r="H118" i="52"/>
  <c r="J117" i="52"/>
  <c r="BB65" i="52"/>
  <c r="BA64" i="52"/>
  <c r="BC64" i="52"/>
  <c r="BD64" i="52"/>
  <c r="BD36" i="52"/>
  <c r="BA35" i="52"/>
  <c r="BE35" i="52"/>
  <c r="C42" i="1"/>
  <c r="F41" i="1"/>
  <c r="E41" i="1"/>
  <c r="D41" i="1"/>
  <c r="AA44" i="1"/>
  <c r="AD43" i="1"/>
  <c r="AC43" i="1"/>
  <c r="AB43" i="1"/>
  <c r="B61" i="7"/>
  <c r="BD37" i="52"/>
  <c r="BA36" i="52"/>
  <c r="BE36" i="52"/>
  <c r="BB66" i="52"/>
  <c r="BA65" i="52"/>
  <c r="BC65" i="52"/>
  <c r="BD65" i="52"/>
  <c r="H119" i="52"/>
  <c r="J118" i="52"/>
  <c r="M119" i="52"/>
  <c r="O118" i="52"/>
  <c r="S119" i="52"/>
  <c r="U118" i="52"/>
  <c r="Y119" i="52"/>
  <c r="AA118" i="52"/>
  <c r="AE119" i="52"/>
  <c r="AG118" i="52"/>
  <c r="AA45" i="1"/>
  <c r="AD44" i="1"/>
  <c r="AC44" i="1"/>
  <c r="AB44" i="1"/>
  <c r="C43" i="1"/>
  <c r="F42" i="1"/>
  <c r="E42" i="1"/>
  <c r="D42" i="1"/>
  <c r="B62" i="7"/>
  <c r="AE120" i="52"/>
  <c r="AG119" i="52"/>
  <c r="Y120" i="52"/>
  <c r="AA119" i="52"/>
  <c r="S120" i="52"/>
  <c r="U119" i="52"/>
  <c r="M120" i="52"/>
  <c r="O119" i="52"/>
  <c r="H120" i="52"/>
  <c r="J119" i="52"/>
  <c r="BB67" i="52"/>
  <c r="BA66" i="52"/>
  <c r="BC66" i="52"/>
  <c r="BD66" i="52"/>
  <c r="BD38" i="52"/>
  <c r="BA37" i="52"/>
  <c r="BE37" i="52"/>
  <c r="C44" i="1"/>
  <c r="F43" i="1"/>
  <c r="E43" i="1"/>
  <c r="D43" i="1"/>
  <c r="AA46" i="1"/>
  <c r="AD45" i="1"/>
  <c r="AC45" i="1"/>
  <c r="AB45" i="1"/>
  <c r="B63" i="7"/>
  <c r="BD39" i="52"/>
  <c r="BA39" i="52"/>
  <c r="BE39" i="52"/>
  <c r="BA38" i="52"/>
  <c r="BE38" i="52"/>
  <c r="BB68" i="52"/>
  <c r="BA68" i="52"/>
  <c r="BC68" i="52"/>
  <c r="BD68" i="52"/>
  <c r="BA67" i="52"/>
  <c r="BC67" i="52"/>
  <c r="BD67" i="52"/>
  <c r="H121" i="52"/>
  <c r="J120" i="52"/>
  <c r="M121" i="52"/>
  <c r="O120" i="52"/>
  <c r="S121" i="52"/>
  <c r="U120" i="52"/>
  <c r="Y121" i="52"/>
  <c r="AA120" i="52"/>
  <c r="AE121" i="52"/>
  <c r="AG120" i="52"/>
  <c r="AA47" i="1"/>
  <c r="AD46" i="1"/>
  <c r="AC46" i="1"/>
  <c r="AB46" i="1"/>
  <c r="C45" i="1"/>
  <c r="F44" i="1"/>
  <c r="E44" i="1"/>
  <c r="D44" i="1"/>
  <c r="AE122" i="52"/>
  <c r="AG121" i="52"/>
  <c r="Y122" i="52"/>
  <c r="AA121" i="52"/>
  <c r="S122" i="52"/>
  <c r="U121" i="52"/>
  <c r="M122" i="52"/>
  <c r="O121" i="52"/>
  <c r="H122" i="52"/>
  <c r="J121" i="52"/>
  <c r="C46" i="1"/>
  <c r="F45" i="1"/>
  <c r="E45" i="1"/>
  <c r="D45" i="1"/>
  <c r="AA48" i="1"/>
  <c r="AD47" i="1"/>
  <c r="AC47" i="1"/>
  <c r="AB47" i="1"/>
  <c r="H123" i="52"/>
  <c r="J122" i="52"/>
  <c r="M123" i="52"/>
  <c r="O122" i="52"/>
  <c r="P121" i="52"/>
  <c r="S123" i="52"/>
  <c r="U122" i="52"/>
  <c r="Y123" i="52"/>
  <c r="AA122" i="52"/>
  <c r="AE123" i="52"/>
  <c r="AG122" i="52"/>
  <c r="AA49" i="1"/>
  <c r="AD48" i="1"/>
  <c r="AC48" i="1"/>
  <c r="AB48" i="1"/>
  <c r="C47" i="1"/>
  <c r="F46" i="1"/>
  <c r="E46" i="1"/>
  <c r="D46" i="1"/>
  <c r="AE124" i="52"/>
  <c r="AG123" i="52"/>
  <c r="Y124" i="52"/>
  <c r="AA123" i="52"/>
  <c r="S124" i="52"/>
  <c r="U123" i="52"/>
  <c r="P122" i="52"/>
  <c r="P102" i="52"/>
  <c r="P103" i="52"/>
  <c r="P104" i="52"/>
  <c r="P105" i="52"/>
  <c r="P106" i="52"/>
  <c r="P107" i="52"/>
  <c r="P108" i="52"/>
  <c r="P109" i="52"/>
  <c r="P110" i="52"/>
  <c r="P111" i="52"/>
  <c r="P112" i="52"/>
  <c r="P113" i="52"/>
  <c r="P114" i="52"/>
  <c r="P115" i="52"/>
  <c r="P116" i="52"/>
  <c r="P117" i="52"/>
  <c r="P118" i="52"/>
  <c r="P119" i="52"/>
  <c r="P120" i="52"/>
  <c r="M124" i="52"/>
  <c r="O123" i="52"/>
  <c r="P123" i="52"/>
  <c r="H124" i="52"/>
  <c r="J123" i="52"/>
  <c r="C48" i="1"/>
  <c r="F47" i="1"/>
  <c r="E47" i="1"/>
  <c r="D47" i="1"/>
  <c r="AA50" i="1"/>
  <c r="AD49" i="1"/>
  <c r="AC49" i="1"/>
  <c r="AB49" i="1"/>
  <c r="H125" i="52"/>
  <c r="J124" i="52"/>
  <c r="M125" i="52"/>
  <c r="O124" i="52"/>
  <c r="P124" i="52"/>
  <c r="R102" i="52"/>
  <c r="S125" i="52"/>
  <c r="U124" i="52"/>
  <c r="Y125" i="52"/>
  <c r="AA124" i="52"/>
  <c r="AE125" i="52"/>
  <c r="AG124" i="52"/>
  <c r="AA51" i="1"/>
  <c r="AD50" i="1"/>
  <c r="AC50" i="1"/>
  <c r="AB50" i="1"/>
  <c r="C49" i="1"/>
  <c r="F48" i="1"/>
  <c r="E48" i="1"/>
  <c r="D48" i="1"/>
  <c r="AE126" i="52"/>
  <c r="AG125" i="52"/>
  <c r="Y126" i="52"/>
  <c r="AA125" i="52"/>
  <c r="S126" i="52"/>
  <c r="U125" i="52"/>
  <c r="S24" i="52"/>
  <c r="S23" i="52"/>
  <c r="S22" i="52"/>
  <c r="S21" i="52"/>
  <c r="S20" i="52"/>
  <c r="S19" i="52"/>
  <c r="S18" i="52"/>
  <c r="S17" i="52"/>
  <c r="S16" i="52"/>
  <c r="S15" i="52"/>
  <c r="S14" i="52"/>
  <c r="S13" i="52"/>
  <c r="S12" i="52"/>
  <c r="S11" i="52"/>
  <c r="S10" i="52"/>
  <c r="S9" i="52"/>
  <c r="S8" i="52"/>
  <c r="S7" i="52"/>
  <c r="U7" i="52"/>
  <c r="V7" i="52"/>
  <c r="W7" i="52"/>
  <c r="U8" i="52"/>
  <c r="V8" i="52"/>
  <c r="W8" i="52"/>
  <c r="U9" i="52"/>
  <c r="V9" i="52"/>
  <c r="W9" i="52"/>
  <c r="U10" i="52"/>
  <c r="V10" i="52"/>
  <c r="W10" i="52"/>
  <c r="U11" i="52"/>
  <c r="V11" i="52"/>
  <c r="W11" i="52"/>
  <c r="U12" i="52"/>
  <c r="V12" i="52"/>
  <c r="W12" i="52"/>
  <c r="U13" i="52"/>
  <c r="V13" i="52"/>
  <c r="W13" i="52"/>
  <c r="U14" i="52"/>
  <c r="V14" i="52"/>
  <c r="W14" i="52"/>
  <c r="U15" i="52"/>
  <c r="V15" i="52"/>
  <c r="W15" i="52"/>
  <c r="U16" i="52"/>
  <c r="V16" i="52"/>
  <c r="W16" i="52"/>
  <c r="U17" i="52"/>
  <c r="V17" i="52"/>
  <c r="W17" i="52"/>
  <c r="U18" i="52"/>
  <c r="V18" i="52"/>
  <c r="W18" i="52"/>
  <c r="U19" i="52"/>
  <c r="V19" i="52"/>
  <c r="W19" i="52"/>
  <c r="U20" i="52"/>
  <c r="V20" i="52"/>
  <c r="W20" i="52"/>
  <c r="U21" i="52"/>
  <c r="V21" i="52"/>
  <c r="W21" i="52"/>
  <c r="U22" i="52"/>
  <c r="V22" i="52"/>
  <c r="W22" i="52"/>
  <c r="U23" i="52"/>
  <c r="V23" i="52"/>
  <c r="W23" i="52"/>
  <c r="U24" i="52"/>
  <c r="V24" i="52"/>
  <c r="W24" i="52"/>
  <c r="M126" i="52"/>
  <c r="O125" i="52"/>
  <c r="P125" i="52"/>
  <c r="H126" i="52"/>
  <c r="J125" i="52"/>
  <c r="C50" i="1"/>
  <c r="F49" i="1"/>
  <c r="E49" i="1"/>
  <c r="D49" i="1"/>
  <c r="AA52" i="1"/>
  <c r="AD51" i="1"/>
  <c r="AC51" i="1"/>
  <c r="AB51" i="1"/>
  <c r="H127" i="52"/>
  <c r="J126" i="52"/>
  <c r="M127" i="52"/>
  <c r="O126" i="52"/>
  <c r="P126" i="52"/>
  <c r="W67" i="52"/>
  <c r="W45" i="52"/>
  <c r="V67" i="52"/>
  <c r="V45" i="52"/>
  <c r="U67" i="52"/>
  <c r="U45" i="52"/>
  <c r="W66" i="52"/>
  <c r="W44" i="52"/>
  <c r="V66" i="52"/>
  <c r="V44" i="52"/>
  <c r="U66" i="52"/>
  <c r="U44" i="52"/>
  <c r="W65" i="52"/>
  <c r="W43" i="52"/>
  <c r="V65" i="52"/>
  <c r="V43" i="52"/>
  <c r="U65" i="52"/>
  <c r="U43" i="52"/>
  <c r="W64" i="52"/>
  <c r="W42" i="52"/>
  <c r="V64" i="52"/>
  <c r="V42" i="52"/>
  <c r="U64" i="52"/>
  <c r="U42" i="52"/>
  <c r="W63" i="52"/>
  <c r="W41" i="52"/>
  <c r="V63" i="52"/>
  <c r="V41" i="52"/>
  <c r="U63" i="52"/>
  <c r="U41" i="52"/>
  <c r="W62" i="52"/>
  <c r="W40" i="52"/>
  <c r="V62" i="52"/>
  <c r="V40" i="52"/>
  <c r="U62" i="52"/>
  <c r="U40" i="52"/>
  <c r="W61" i="52"/>
  <c r="W39" i="52"/>
  <c r="V61" i="52"/>
  <c r="V39" i="52"/>
  <c r="U61" i="52"/>
  <c r="U39" i="52"/>
  <c r="W60" i="52"/>
  <c r="W38" i="52"/>
  <c r="V60" i="52"/>
  <c r="V38" i="52"/>
  <c r="U60" i="52"/>
  <c r="U38" i="52"/>
  <c r="W59" i="52"/>
  <c r="W37" i="52"/>
  <c r="V59" i="52"/>
  <c r="V37" i="52"/>
  <c r="U59" i="52"/>
  <c r="U37" i="52"/>
  <c r="W58" i="52"/>
  <c r="W36" i="52"/>
  <c r="V58" i="52"/>
  <c r="V36" i="52"/>
  <c r="U58" i="52"/>
  <c r="U36" i="52"/>
  <c r="W57" i="52"/>
  <c r="W35" i="52"/>
  <c r="V57" i="52"/>
  <c r="V35" i="52"/>
  <c r="U57" i="52"/>
  <c r="U35" i="52"/>
  <c r="W56" i="52"/>
  <c r="W34" i="52"/>
  <c r="V56" i="52"/>
  <c r="V34" i="52"/>
  <c r="U56" i="52"/>
  <c r="U34" i="52"/>
  <c r="W55" i="52"/>
  <c r="W33" i="52"/>
  <c r="V55" i="52"/>
  <c r="V33" i="52"/>
  <c r="U55" i="52"/>
  <c r="U33" i="52"/>
  <c r="W54" i="52"/>
  <c r="W32" i="52"/>
  <c r="V54" i="52"/>
  <c r="V32" i="52"/>
  <c r="U54" i="52"/>
  <c r="U32" i="52"/>
  <c r="W53" i="52"/>
  <c r="W31" i="52"/>
  <c r="V53" i="52"/>
  <c r="V31" i="52"/>
  <c r="U53" i="52"/>
  <c r="U31" i="52"/>
  <c r="W52" i="52"/>
  <c r="W30" i="52"/>
  <c r="V52" i="52"/>
  <c r="V30" i="52"/>
  <c r="U52" i="52"/>
  <c r="U30" i="52"/>
  <c r="W51" i="52"/>
  <c r="W29" i="52"/>
  <c r="V51" i="52"/>
  <c r="V29" i="52"/>
  <c r="U51" i="52"/>
  <c r="U29" i="52"/>
  <c r="W50" i="52"/>
  <c r="W68" i="52"/>
  <c r="W28" i="52"/>
  <c r="W46" i="52"/>
  <c r="V50" i="52"/>
  <c r="V68" i="52"/>
  <c r="V28" i="52"/>
  <c r="V46" i="52"/>
  <c r="U50" i="52"/>
  <c r="U68" i="52"/>
  <c r="U28" i="52"/>
  <c r="U46" i="52"/>
  <c r="S50" i="52"/>
  <c r="S28" i="52"/>
  <c r="S51" i="52"/>
  <c r="S29" i="52"/>
  <c r="S52" i="52"/>
  <c r="S30" i="52"/>
  <c r="S53" i="52"/>
  <c r="S31" i="52"/>
  <c r="S54" i="52"/>
  <c r="S32" i="52"/>
  <c r="S55" i="52"/>
  <c r="S33" i="52"/>
  <c r="S56" i="52"/>
  <c r="S34" i="52"/>
  <c r="S57" i="52"/>
  <c r="S35" i="52"/>
  <c r="S58" i="52"/>
  <c r="S36" i="52"/>
  <c r="S59" i="52"/>
  <c r="S37" i="52"/>
  <c r="S60" i="52"/>
  <c r="S38" i="52"/>
  <c r="S61" i="52"/>
  <c r="S39" i="52"/>
  <c r="S62" i="52"/>
  <c r="S40" i="52"/>
  <c r="S63" i="52"/>
  <c r="S41" i="52"/>
  <c r="S64" i="52"/>
  <c r="S42" i="52"/>
  <c r="S65" i="52"/>
  <c r="S43" i="52"/>
  <c r="S66" i="52"/>
  <c r="S44" i="52"/>
  <c r="S67" i="52"/>
  <c r="S45" i="52"/>
  <c r="S127" i="52"/>
  <c r="U126" i="52"/>
  <c r="Y127" i="52"/>
  <c r="AA126" i="52"/>
  <c r="AE127" i="52"/>
  <c r="AG126" i="52"/>
  <c r="AA53" i="1"/>
  <c r="AD52" i="1"/>
  <c r="AC52" i="1"/>
  <c r="AB52" i="1"/>
  <c r="C51" i="1"/>
  <c r="F50" i="1"/>
  <c r="E50" i="1"/>
  <c r="D50" i="1"/>
  <c r="AE128" i="52"/>
  <c r="AG127" i="52"/>
  <c r="Y128" i="52"/>
  <c r="AA127" i="52"/>
  <c r="S128" i="52"/>
  <c r="U127" i="52"/>
  <c r="M128" i="52"/>
  <c r="O127" i="52"/>
  <c r="P127" i="52"/>
  <c r="H128" i="52"/>
  <c r="J127" i="52"/>
  <c r="S46" i="52"/>
  <c r="S68" i="52"/>
  <c r="C52" i="1"/>
  <c r="F51" i="1"/>
  <c r="E51" i="1"/>
  <c r="D51" i="1"/>
  <c r="AA54" i="1"/>
  <c r="AD53" i="1"/>
  <c r="AC53" i="1"/>
  <c r="AB53" i="1"/>
  <c r="S69" i="52"/>
  <c r="H129" i="52"/>
  <c r="J128" i="52"/>
  <c r="M129" i="52"/>
  <c r="O128" i="52"/>
  <c r="P128" i="52"/>
  <c r="S129" i="52"/>
  <c r="U128" i="52"/>
  <c r="Y129" i="52"/>
  <c r="AA128" i="52"/>
  <c r="AE129" i="52"/>
  <c r="AG128" i="52"/>
  <c r="AA55" i="1"/>
  <c r="AD54" i="1"/>
  <c r="AC54" i="1"/>
  <c r="AB54" i="1"/>
  <c r="C53" i="1"/>
  <c r="F52" i="1"/>
  <c r="E52" i="1"/>
  <c r="D52" i="1"/>
  <c r="AE130" i="52"/>
  <c r="AG129" i="52"/>
  <c r="Y130" i="52"/>
  <c r="AA129" i="52"/>
  <c r="S130" i="52"/>
  <c r="U129" i="52"/>
  <c r="M130" i="52"/>
  <c r="O129" i="52"/>
  <c r="P129" i="52"/>
  <c r="H130" i="52"/>
  <c r="J129" i="52"/>
  <c r="C54" i="1"/>
  <c r="F53" i="1"/>
  <c r="E53" i="1"/>
  <c r="D53" i="1"/>
  <c r="AA56" i="1"/>
  <c r="AD55" i="1"/>
  <c r="AC55" i="1"/>
  <c r="AB55" i="1"/>
  <c r="H131" i="52"/>
  <c r="J130" i="52"/>
  <c r="M131" i="52"/>
  <c r="O130" i="52"/>
  <c r="P130" i="52"/>
  <c r="S131" i="52"/>
  <c r="U130" i="52"/>
  <c r="Y131" i="52"/>
  <c r="AA130" i="52"/>
  <c r="AE131" i="52"/>
  <c r="AG130" i="52"/>
  <c r="AA57" i="1"/>
  <c r="AD56" i="1"/>
  <c r="AC56" i="1"/>
  <c r="AB56" i="1"/>
  <c r="C55" i="1"/>
  <c r="F54" i="1"/>
  <c r="E54" i="1"/>
  <c r="D54" i="1"/>
  <c r="AE132" i="52"/>
  <c r="AG131" i="52"/>
  <c r="Y132" i="52"/>
  <c r="AA131" i="52"/>
  <c r="S132" i="52"/>
  <c r="U131" i="52"/>
  <c r="M132" i="52"/>
  <c r="O131" i="52"/>
  <c r="P131" i="52"/>
  <c r="H132" i="52"/>
  <c r="J131" i="52"/>
  <c r="C56" i="1"/>
  <c r="F55" i="1"/>
  <c r="E55" i="1"/>
  <c r="D55" i="1"/>
  <c r="AA58" i="1"/>
  <c r="AD57" i="1"/>
  <c r="AC57" i="1"/>
  <c r="AB57" i="1"/>
  <c r="H133" i="52"/>
  <c r="J132" i="52"/>
  <c r="M133" i="52"/>
  <c r="O132" i="52"/>
  <c r="P132" i="52"/>
  <c r="S133" i="52"/>
  <c r="U132" i="52"/>
  <c r="Y133" i="52"/>
  <c r="AA132" i="52"/>
  <c r="AE133" i="52"/>
  <c r="AG132" i="52"/>
  <c r="AA59" i="1"/>
  <c r="AD58" i="1"/>
  <c r="AC58" i="1"/>
  <c r="AB58" i="1"/>
  <c r="C57" i="1"/>
  <c r="F56" i="1"/>
  <c r="E56" i="1"/>
  <c r="D56" i="1"/>
  <c r="AE134" i="52"/>
  <c r="AG133" i="52"/>
  <c r="Y134" i="52"/>
  <c r="AA133" i="52"/>
  <c r="S134" i="52"/>
  <c r="U133" i="52"/>
  <c r="M134" i="52"/>
  <c r="O133" i="52"/>
  <c r="P133" i="52"/>
  <c r="H134" i="52"/>
  <c r="J133" i="52"/>
  <c r="C58" i="1"/>
  <c r="F57" i="1"/>
  <c r="E57" i="1"/>
  <c r="D57" i="1"/>
  <c r="AA60" i="1"/>
  <c r="AD59" i="1"/>
  <c r="AC59" i="1"/>
  <c r="AB59" i="1"/>
  <c r="H135" i="52"/>
  <c r="J134" i="52"/>
  <c r="M135" i="52"/>
  <c r="O134" i="52"/>
  <c r="P134" i="52"/>
  <c r="S135" i="52"/>
  <c r="U134" i="52"/>
  <c r="Y135" i="52"/>
  <c r="AA134" i="52"/>
  <c r="AE135" i="52"/>
  <c r="AG134" i="52"/>
  <c r="AA61" i="1"/>
  <c r="AD60" i="1"/>
  <c r="AC60" i="1"/>
  <c r="AB60" i="1"/>
  <c r="C59" i="1"/>
  <c r="F58" i="1"/>
  <c r="E58" i="1"/>
  <c r="D58" i="1"/>
  <c r="AE136" i="52"/>
  <c r="AG135" i="52"/>
  <c r="Y136" i="52"/>
  <c r="AA135" i="52"/>
  <c r="S136" i="52"/>
  <c r="U135" i="52"/>
  <c r="M136" i="52"/>
  <c r="O135" i="52"/>
  <c r="P135" i="52"/>
  <c r="H136" i="52"/>
  <c r="J135" i="52"/>
  <c r="C60" i="1"/>
  <c r="F59" i="1"/>
  <c r="E59" i="1"/>
  <c r="D59" i="1"/>
  <c r="AA62" i="1"/>
  <c r="AD61" i="1"/>
  <c r="AC61" i="1"/>
  <c r="AB61" i="1"/>
  <c r="H137" i="52"/>
  <c r="J136" i="52"/>
  <c r="M137" i="52"/>
  <c r="O136" i="52"/>
  <c r="P136" i="52"/>
  <c r="S137" i="52"/>
  <c r="U136" i="52"/>
  <c r="Y137" i="52"/>
  <c r="AA136" i="52"/>
  <c r="AE137" i="52"/>
  <c r="AG136" i="52"/>
  <c r="AA63" i="1"/>
  <c r="AD62" i="1"/>
  <c r="AC62" i="1"/>
  <c r="AB62" i="1"/>
  <c r="C61" i="1"/>
  <c r="F60" i="1"/>
  <c r="E60" i="1"/>
  <c r="D60" i="1"/>
  <c r="AE138" i="52"/>
  <c r="AG137" i="52"/>
  <c r="Y138" i="52"/>
  <c r="AA137" i="52"/>
  <c r="S138" i="52"/>
  <c r="U137" i="52"/>
  <c r="M138" i="52"/>
  <c r="O137" i="52"/>
  <c r="P137" i="52"/>
  <c r="H138" i="52"/>
  <c r="J137" i="52"/>
  <c r="C62" i="1"/>
  <c r="F61" i="1"/>
  <c r="E61" i="1"/>
  <c r="D61" i="1"/>
  <c r="AA64" i="1"/>
  <c r="AD63" i="1"/>
  <c r="AC63" i="1"/>
  <c r="AB63" i="1"/>
  <c r="H139" i="52"/>
  <c r="J138" i="52"/>
  <c r="M139" i="52"/>
  <c r="O138" i="52"/>
  <c r="P138" i="52"/>
  <c r="S139" i="52"/>
  <c r="U138" i="52"/>
  <c r="Y139" i="52"/>
  <c r="AA138" i="52"/>
  <c r="AE139" i="52"/>
  <c r="AG138" i="52"/>
  <c r="AA65" i="1"/>
  <c r="AD64" i="1"/>
  <c r="AC64" i="1"/>
  <c r="AB64" i="1"/>
  <c r="C63" i="1"/>
  <c r="F62" i="1"/>
  <c r="E62" i="1"/>
  <c r="D62" i="1"/>
  <c r="AE140" i="52"/>
  <c r="AG139" i="52"/>
  <c r="Y140" i="52"/>
  <c r="AA139" i="52"/>
  <c r="S140" i="52"/>
  <c r="U139" i="52"/>
  <c r="M140" i="52"/>
  <c r="O139" i="52"/>
  <c r="P139" i="52"/>
  <c r="H140" i="52"/>
  <c r="J139" i="52"/>
  <c r="C64" i="1"/>
  <c r="F63" i="1"/>
  <c r="E63" i="1"/>
  <c r="D63" i="1"/>
  <c r="AA66" i="1"/>
  <c r="AD65" i="1"/>
  <c r="AC65" i="1"/>
  <c r="AB65" i="1"/>
  <c r="H141" i="52"/>
  <c r="J140" i="52"/>
  <c r="M141" i="52"/>
  <c r="O140" i="52"/>
  <c r="P140" i="52"/>
  <c r="S141" i="52"/>
  <c r="U140" i="52"/>
  <c r="Y141" i="52"/>
  <c r="AA140" i="52"/>
  <c r="AE141" i="52"/>
  <c r="AG140" i="52"/>
  <c r="AA67" i="1"/>
  <c r="AD66" i="1"/>
  <c r="AC66" i="1"/>
  <c r="AB66" i="1"/>
  <c r="C65" i="1"/>
  <c r="F64" i="1"/>
  <c r="E64" i="1"/>
  <c r="D64" i="1"/>
  <c r="AE142" i="52"/>
  <c r="AG141" i="52"/>
  <c r="Y142" i="52"/>
  <c r="AA141" i="52"/>
  <c r="S142" i="52"/>
  <c r="U141" i="52"/>
  <c r="M142" i="52"/>
  <c r="O141" i="52"/>
  <c r="P141" i="52"/>
  <c r="H142" i="52"/>
  <c r="J141" i="52"/>
  <c r="F65" i="1"/>
  <c r="E65" i="1"/>
  <c r="D65" i="1"/>
  <c r="AA68" i="1"/>
  <c r="AD67" i="1"/>
  <c r="AC67" i="1"/>
  <c r="AB67" i="1"/>
  <c r="H143" i="52"/>
  <c r="J142" i="52"/>
  <c r="M143" i="52"/>
  <c r="O142" i="52"/>
  <c r="P142" i="52"/>
  <c r="S143" i="52"/>
  <c r="U142" i="52"/>
  <c r="Y143" i="52"/>
  <c r="AA142" i="52"/>
  <c r="AE143" i="52"/>
  <c r="AG142" i="52"/>
  <c r="AA69" i="1"/>
  <c r="AD68" i="1"/>
  <c r="AC68" i="1"/>
  <c r="AB68" i="1"/>
  <c r="AE144" i="52"/>
  <c r="AG143" i="52"/>
  <c r="Y144" i="52"/>
  <c r="AA143" i="52"/>
  <c r="S144" i="52"/>
  <c r="U143" i="52"/>
  <c r="M144" i="52"/>
  <c r="O143" i="52"/>
  <c r="P143" i="52"/>
  <c r="H144" i="52"/>
  <c r="J143" i="52"/>
  <c r="AA70" i="1"/>
  <c r="AD69" i="1"/>
  <c r="AC69" i="1"/>
  <c r="AB69" i="1"/>
  <c r="H145" i="52"/>
  <c r="J144" i="52"/>
  <c r="M145" i="52"/>
  <c r="O144" i="52"/>
  <c r="P144" i="52"/>
  <c r="S145" i="52"/>
  <c r="U144" i="52"/>
  <c r="Y145" i="52"/>
  <c r="AA144" i="52"/>
  <c r="AE145" i="52"/>
  <c r="AG144" i="52"/>
  <c r="AA71" i="1"/>
  <c r="AD70" i="1"/>
  <c r="AC70" i="1"/>
  <c r="AB70" i="1"/>
  <c r="AE146" i="52"/>
  <c r="AG145" i="52"/>
  <c r="Y146" i="52"/>
  <c r="AA145" i="52"/>
  <c r="S146" i="52"/>
  <c r="U145" i="52"/>
  <c r="M146" i="52"/>
  <c r="O145" i="52"/>
  <c r="P145" i="52"/>
  <c r="H146" i="52"/>
  <c r="J145" i="52"/>
  <c r="AA72" i="1"/>
  <c r="AD71" i="1"/>
  <c r="AC71" i="1"/>
  <c r="AB71" i="1"/>
  <c r="H147" i="52"/>
  <c r="J146" i="52"/>
  <c r="M147" i="52"/>
  <c r="O146" i="52"/>
  <c r="P146" i="52"/>
  <c r="S147" i="52"/>
  <c r="U146" i="52"/>
  <c r="Y147" i="52"/>
  <c r="AA146" i="52"/>
  <c r="AE147" i="52"/>
  <c r="AG146" i="52"/>
  <c r="AA73" i="1"/>
  <c r="AD72" i="1"/>
  <c r="AC72" i="1"/>
  <c r="AB72" i="1"/>
  <c r="AE148" i="52"/>
  <c r="AG147" i="52"/>
  <c r="Y148" i="52"/>
  <c r="AA147" i="52"/>
  <c r="S148" i="52"/>
  <c r="U147" i="52"/>
  <c r="V146" i="52"/>
  <c r="M148" i="52"/>
  <c r="O147" i="52"/>
  <c r="P147" i="52"/>
  <c r="H148" i="52"/>
  <c r="J147" i="52"/>
  <c r="AA74" i="1"/>
  <c r="AD73" i="1"/>
  <c r="AC73" i="1"/>
  <c r="AB73" i="1"/>
  <c r="H149" i="52"/>
  <c r="J148" i="52"/>
  <c r="M149" i="52"/>
  <c r="O148" i="52"/>
  <c r="P148" i="52"/>
  <c r="V147" i="52"/>
  <c r="V102" i="52"/>
  <c r="V103" i="52"/>
  <c r="V104" i="52"/>
  <c r="V105" i="52"/>
  <c r="V106" i="52"/>
  <c r="V107" i="52"/>
  <c r="V108" i="52"/>
  <c r="V109" i="52"/>
  <c r="V110" i="52"/>
  <c r="V111" i="52"/>
  <c r="V112" i="52"/>
  <c r="V113" i="52"/>
  <c r="V114" i="52"/>
  <c r="V115" i="52"/>
  <c r="V116" i="52"/>
  <c r="V117" i="52"/>
  <c r="V118" i="52"/>
  <c r="V119" i="52"/>
  <c r="V120" i="52"/>
  <c r="V121" i="52"/>
  <c r="V122" i="52"/>
  <c r="V123" i="52"/>
  <c r="V124" i="52"/>
  <c r="V125" i="52"/>
  <c r="V126" i="52"/>
  <c r="V127" i="52"/>
  <c r="V128" i="52"/>
  <c r="V129" i="52"/>
  <c r="V130" i="52"/>
  <c r="V131" i="52"/>
  <c r="V132" i="52"/>
  <c r="V133" i="52"/>
  <c r="V134" i="52"/>
  <c r="V135" i="52"/>
  <c r="V136" i="52"/>
  <c r="V137" i="52"/>
  <c r="V138" i="52"/>
  <c r="V139" i="52"/>
  <c r="V140" i="52"/>
  <c r="V141" i="52"/>
  <c r="V142" i="52"/>
  <c r="V143" i="52"/>
  <c r="V144" i="52"/>
  <c r="V145" i="52"/>
  <c r="S149" i="52"/>
  <c r="U148" i="52"/>
  <c r="V148" i="52"/>
  <c r="Y149" i="52"/>
  <c r="AA148" i="52"/>
  <c r="AE149" i="52"/>
  <c r="AG148" i="52"/>
  <c r="AA75" i="1"/>
  <c r="AD74" i="1"/>
  <c r="AC74" i="1"/>
  <c r="AB74" i="1"/>
  <c r="AE150" i="52"/>
  <c r="AG149" i="52"/>
  <c r="Y150" i="52"/>
  <c r="AA149" i="52"/>
  <c r="S150" i="52"/>
  <c r="U149" i="52"/>
  <c r="V149" i="52"/>
  <c r="M150" i="52"/>
  <c r="O149" i="52"/>
  <c r="P149" i="52"/>
  <c r="H150" i="52"/>
  <c r="J149" i="52"/>
  <c r="AA76" i="1"/>
  <c r="AD75" i="1"/>
  <c r="AC75" i="1"/>
  <c r="AB75" i="1"/>
  <c r="H151" i="52"/>
  <c r="J150" i="52"/>
  <c r="M151" i="52"/>
  <c r="O150" i="52"/>
  <c r="P150" i="52"/>
  <c r="S151" i="52"/>
  <c r="U150" i="52"/>
  <c r="V150" i="52"/>
  <c r="Y151" i="52"/>
  <c r="AA150" i="52"/>
  <c r="AE151" i="52"/>
  <c r="AG150" i="52"/>
  <c r="AA77" i="1"/>
  <c r="AD76" i="1"/>
  <c r="AC76" i="1"/>
  <c r="AB76" i="1"/>
  <c r="AE152" i="52"/>
  <c r="AG151" i="52"/>
  <c r="Y152" i="52"/>
  <c r="AA151" i="52"/>
  <c r="S152" i="52"/>
  <c r="U151" i="52"/>
  <c r="V151" i="52"/>
  <c r="M152" i="52"/>
  <c r="O151" i="52"/>
  <c r="P151" i="52"/>
  <c r="H152" i="52"/>
  <c r="J151" i="52"/>
  <c r="AA78" i="1"/>
  <c r="AD77" i="1"/>
  <c r="AC77" i="1"/>
  <c r="AB77" i="1"/>
  <c r="H153" i="52"/>
  <c r="J152" i="52"/>
  <c r="M153" i="52"/>
  <c r="O152" i="52"/>
  <c r="P152" i="52"/>
  <c r="S153" i="52"/>
  <c r="U152" i="52"/>
  <c r="V152" i="52"/>
  <c r="Y153" i="52"/>
  <c r="AA152" i="52"/>
  <c r="AE153" i="52"/>
  <c r="AG152" i="52"/>
  <c r="AA79" i="1"/>
  <c r="AD78" i="1"/>
  <c r="AC78" i="1"/>
  <c r="AB78" i="1"/>
  <c r="AE154" i="52"/>
  <c r="AG153" i="52"/>
  <c r="Y154" i="52"/>
  <c r="AA153" i="52"/>
  <c r="S154" i="52"/>
  <c r="U153" i="52"/>
  <c r="V153" i="52"/>
  <c r="M154" i="52"/>
  <c r="O153" i="52"/>
  <c r="P153" i="52"/>
  <c r="H154" i="52"/>
  <c r="J153" i="52"/>
  <c r="AA80" i="1"/>
  <c r="AD79" i="1"/>
  <c r="AC79" i="1"/>
  <c r="AB79" i="1"/>
  <c r="H155" i="52"/>
  <c r="J154" i="52"/>
  <c r="M155" i="52"/>
  <c r="O154" i="52"/>
  <c r="P154" i="52"/>
  <c r="S155" i="52"/>
  <c r="U154" i="52"/>
  <c r="V154" i="52"/>
  <c r="Y155" i="52"/>
  <c r="AA154" i="52"/>
  <c r="AE155" i="52"/>
  <c r="AG154" i="52"/>
  <c r="AA81" i="1"/>
  <c r="AD80" i="1"/>
  <c r="AC80" i="1"/>
  <c r="AB80" i="1"/>
  <c r="AE156" i="52"/>
  <c r="AG155" i="52"/>
  <c r="Y156" i="52"/>
  <c r="AA155" i="52"/>
  <c r="S156" i="52"/>
  <c r="U155" i="52"/>
  <c r="V155" i="52"/>
  <c r="M156" i="52"/>
  <c r="O155" i="52"/>
  <c r="P155" i="52"/>
  <c r="H156" i="52"/>
  <c r="J155" i="52"/>
  <c r="AA82" i="1"/>
  <c r="AD81" i="1"/>
  <c r="AC81" i="1"/>
  <c r="AB81" i="1"/>
  <c r="H157" i="52"/>
  <c r="J156" i="52"/>
  <c r="M157" i="52"/>
  <c r="O156" i="52"/>
  <c r="P156" i="52"/>
  <c r="S157" i="52"/>
  <c r="U156" i="52"/>
  <c r="V156" i="52"/>
  <c r="Y157" i="52"/>
  <c r="AA156" i="52"/>
  <c r="AE157" i="52"/>
  <c r="AG156" i="52"/>
  <c r="AA83" i="1"/>
  <c r="AD82" i="1"/>
  <c r="AC82" i="1"/>
  <c r="AB82" i="1"/>
  <c r="AE158" i="52"/>
  <c r="AG157" i="52"/>
  <c r="Y158" i="52"/>
  <c r="AA157" i="52"/>
  <c r="S158" i="52"/>
  <c r="U157" i="52"/>
  <c r="V157" i="52"/>
  <c r="M158" i="52"/>
  <c r="O157" i="52"/>
  <c r="P157" i="52"/>
  <c r="H158" i="52"/>
  <c r="J157" i="52"/>
  <c r="AA84" i="1"/>
  <c r="AD83" i="1"/>
  <c r="AC83" i="1"/>
  <c r="AB83" i="1"/>
  <c r="H159" i="52"/>
  <c r="J158" i="52"/>
  <c r="M159" i="52"/>
  <c r="O158" i="52"/>
  <c r="P158" i="52"/>
  <c r="S159" i="52"/>
  <c r="U158" i="52"/>
  <c r="V158" i="52"/>
  <c r="Y159" i="52"/>
  <c r="AA158" i="52"/>
  <c r="AE159" i="52"/>
  <c r="AG158" i="52"/>
  <c r="AA85" i="1"/>
  <c r="AD84" i="1"/>
  <c r="AC84" i="1"/>
  <c r="AB84" i="1"/>
  <c r="AE160" i="52"/>
  <c r="AG159" i="52"/>
  <c r="Y160" i="52"/>
  <c r="AA159" i="52"/>
  <c r="S160" i="52"/>
  <c r="U159" i="52"/>
  <c r="V159" i="52"/>
  <c r="M160" i="52"/>
  <c r="O159" i="52"/>
  <c r="P159" i="52"/>
  <c r="H160" i="52"/>
  <c r="J159" i="52"/>
  <c r="AA86" i="1"/>
  <c r="AD85" i="1"/>
  <c r="AC85" i="1"/>
  <c r="AB85" i="1"/>
  <c r="H161" i="52"/>
  <c r="J160" i="52"/>
  <c r="M161" i="52"/>
  <c r="O160" i="52"/>
  <c r="P160" i="52"/>
  <c r="S161" i="52"/>
  <c r="U160" i="52"/>
  <c r="V160" i="52"/>
  <c r="Y161" i="52"/>
  <c r="AA160" i="52"/>
  <c r="AE161" i="52"/>
  <c r="AG160" i="52"/>
  <c r="AA87" i="1"/>
  <c r="AD86" i="1"/>
  <c r="AC86" i="1"/>
  <c r="AB86" i="1"/>
  <c r="AE162" i="52"/>
  <c r="AG161" i="52"/>
  <c r="Y162" i="52"/>
  <c r="AA161" i="52"/>
  <c r="S162" i="52"/>
  <c r="U161" i="52"/>
  <c r="V161" i="52"/>
  <c r="M162" i="52"/>
  <c r="O161" i="52"/>
  <c r="P161" i="52"/>
  <c r="H162" i="52"/>
  <c r="J161" i="52"/>
  <c r="AA88" i="1"/>
  <c r="AD87" i="1"/>
  <c r="AC87" i="1"/>
  <c r="AB87" i="1"/>
  <c r="H163" i="52"/>
  <c r="J162" i="52"/>
  <c r="M163" i="52"/>
  <c r="O162" i="52"/>
  <c r="P162" i="52"/>
  <c r="S163" i="52"/>
  <c r="U162" i="52"/>
  <c r="V162" i="52"/>
  <c r="Y163" i="52"/>
  <c r="AA162" i="52"/>
  <c r="AE163" i="52"/>
  <c r="AG162" i="52"/>
  <c r="AA89" i="1"/>
  <c r="AD88" i="1"/>
  <c r="AC88" i="1"/>
  <c r="AB88" i="1"/>
  <c r="AE164" i="52"/>
  <c r="AG163" i="52"/>
  <c r="Y164" i="52"/>
  <c r="AA163" i="52"/>
  <c r="S164" i="52"/>
  <c r="U163" i="52"/>
  <c r="V163" i="52"/>
  <c r="M164" i="52"/>
  <c r="O163" i="52"/>
  <c r="P163" i="52"/>
  <c r="H164" i="52"/>
  <c r="J163" i="52"/>
  <c r="AA90" i="1"/>
  <c r="AD89" i="1"/>
  <c r="AC89" i="1"/>
  <c r="AB89" i="1"/>
  <c r="H165" i="52"/>
  <c r="J164" i="52"/>
  <c r="M165" i="52"/>
  <c r="O164" i="52"/>
  <c r="P164" i="52"/>
  <c r="S165" i="52"/>
  <c r="U164" i="52"/>
  <c r="V164" i="52"/>
  <c r="Y165" i="52"/>
  <c r="AA164" i="52"/>
  <c r="AE165" i="52"/>
  <c r="AG164" i="52"/>
  <c r="AA91" i="1"/>
  <c r="AD90" i="1"/>
  <c r="AC90" i="1"/>
  <c r="AB90" i="1"/>
  <c r="AE166" i="52"/>
  <c r="AG165" i="52"/>
  <c r="Y166" i="52"/>
  <c r="AA165" i="52"/>
  <c r="S166" i="52"/>
  <c r="U165" i="52"/>
  <c r="V165" i="52"/>
  <c r="M166" i="52"/>
  <c r="O165" i="52"/>
  <c r="P165" i="52"/>
  <c r="H166" i="52"/>
  <c r="J165" i="52"/>
  <c r="AA92" i="1"/>
  <c r="AD91" i="1"/>
  <c r="AC91" i="1"/>
  <c r="AB91" i="1"/>
  <c r="H167" i="52"/>
  <c r="J166" i="52"/>
  <c r="M167" i="52"/>
  <c r="O166" i="52"/>
  <c r="P166" i="52"/>
  <c r="S167" i="52"/>
  <c r="U166" i="52"/>
  <c r="V166" i="52"/>
  <c r="Y167" i="52"/>
  <c r="AA166" i="52"/>
  <c r="AE167" i="52"/>
  <c r="AG166" i="52"/>
  <c r="AA93" i="1"/>
  <c r="AD92" i="1"/>
  <c r="AC92" i="1"/>
  <c r="AB92" i="1"/>
  <c r="AE168" i="52"/>
  <c r="AG167" i="52"/>
  <c r="Y168" i="52"/>
  <c r="AA167" i="52"/>
  <c r="S168" i="52"/>
  <c r="U167" i="52"/>
  <c r="V167" i="52"/>
  <c r="M168" i="52"/>
  <c r="O167" i="52"/>
  <c r="P167" i="52"/>
  <c r="H168" i="52"/>
  <c r="J167" i="52"/>
  <c r="AA94" i="1"/>
  <c r="AD93" i="1"/>
  <c r="AC93" i="1"/>
  <c r="AB93" i="1"/>
  <c r="H169" i="52"/>
  <c r="J168" i="52"/>
  <c r="M169" i="52"/>
  <c r="O168" i="52"/>
  <c r="P168" i="52"/>
  <c r="S169" i="52"/>
  <c r="U168" i="52"/>
  <c r="V168" i="52"/>
  <c r="Y169" i="52"/>
  <c r="AA168" i="52"/>
  <c r="AE169" i="52"/>
  <c r="AG168" i="52"/>
  <c r="AA95" i="1"/>
  <c r="AD94" i="1"/>
  <c r="AC94" i="1"/>
  <c r="AB94" i="1"/>
  <c r="AE170" i="52"/>
  <c r="AG169" i="52"/>
  <c r="Y170" i="52"/>
  <c r="AA169" i="52"/>
  <c r="S170" i="52"/>
  <c r="U169" i="52"/>
  <c r="V169" i="52"/>
  <c r="M170" i="52"/>
  <c r="O169" i="52"/>
  <c r="P169" i="52"/>
  <c r="H170" i="52"/>
  <c r="J169" i="52"/>
  <c r="AA96" i="1"/>
  <c r="AD95" i="1"/>
  <c r="AC95" i="1"/>
  <c r="AB95" i="1"/>
  <c r="H171" i="52"/>
  <c r="J170" i="52"/>
  <c r="M171" i="52"/>
  <c r="O170" i="52"/>
  <c r="P170" i="52"/>
  <c r="S171" i="52"/>
  <c r="U170" i="52"/>
  <c r="V170" i="52"/>
  <c r="Y171" i="52"/>
  <c r="AA170" i="52"/>
  <c r="AE171" i="52"/>
  <c r="AG170" i="52"/>
  <c r="AA97" i="1"/>
  <c r="AD96" i="1"/>
  <c r="AC96" i="1"/>
  <c r="AB96" i="1"/>
  <c r="AE172" i="52"/>
  <c r="AG171" i="52"/>
  <c r="Y172" i="52"/>
  <c r="AA171" i="52"/>
  <c r="S172" i="52"/>
  <c r="U171" i="52"/>
  <c r="V171" i="52"/>
  <c r="M172" i="52"/>
  <c r="O171" i="52"/>
  <c r="P171" i="52"/>
  <c r="H172" i="52"/>
  <c r="J171" i="52"/>
  <c r="AA98" i="1"/>
  <c r="AD97" i="1"/>
  <c r="AC97" i="1"/>
  <c r="AB97" i="1"/>
  <c r="H173" i="52"/>
  <c r="J172" i="52"/>
  <c r="M173" i="52"/>
  <c r="O172" i="52"/>
  <c r="P172" i="52"/>
  <c r="S173" i="52"/>
  <c r="U172" i="52"/>
  <c r="V172" i="52"/>
  <c r="Y173" i="52"/>
  <c r="AA172" i="52"/>
  <c r="AB171" i="52"/>
  <c r="AE173" i="52"/>
  <c r="AG172" i="52"/>
  <c r="AA99" i="1"/>
  <c r="AD98" i="1"/>
  <c r="AC98" i="1"/>
  <c r="AB98" i="1"/>
  <c r="AE174" i="52"/>
  <c r="AG173" i="52"/>
  <c r="AB172" i="52"/>
  <c r="AB102" i="52"/>
  <c r="AB103" i="52"/>
  <c r="AB104" i="52"/>
  <c r="AB105" i="52"/>
  <c r="AB106" i="52"/>
  <c r="AB107" i="52"/>
  <c r="AB108" i="52"/>
  <c r="AB109" i="52"/>
  <c r="AB110" i="52"/>
  <c r="AB111" i="52"/>
  <c r="AB112" i="52"/>
  <c r="AB113" i="52"/>
  <c r="AB114" i="52"/>
  <c r="AB115" i="52"/>
  <c r="AB116" i="52"/>
  <c r="AB117" i="52"/>
  <c r="AB118" i="52"/>
  <c r="AB119" i="52"/>
  <c r="AB120" i="52"/>
  <c r="AB121" i="52"/>
  <c r="AB122" i="52"/>
  <c r="AB123" i="52"/>
  <c r="AB124" i="52"/>
  <c r="AB125" i="52"/>
  <c r="AB126" i="52"/>
  <c r="AB127" i="52"/>
  <c r="AB128" i="52"/>
  <c r="AB129" i="52"/>
  <c r="AB130" i="52"/>
  <c r="AB131" i="52"/>
  <c r="AB132" i="52"/>
  <c r="AB133" i="52"/>
  <c r="AB134" i="52"/>
  <c r="AB135" i="52"/>
  <c r="AB136" i="52"/>
  <c r="AB137" i="52"/>
  <c r="AB138" i="52"/>
  <c r="AB139" i="52"/>
  <c r="AB140" i="52"/>
  <c r="AB141" i="52"/>
  <c r="AB142" i="52"/>
  <c r="AB143" i="52"/>
  <c r="AB144" i="52"/>
  <c r="AB145" i="52"/>
  <c r="AB146" i="52"/>
  <c r="AB147" i="52"/>
  <c r="AB148" i="52"/>
  <c r="AB149" i="52"/>
  <c r="AB150" i="52"/>
  <c r="AB151" i="52"/>
  <c r="AB152" i="52"/>
  <c r="AB153" i="52"/>
  <c r="AB154" i="52"/>
  <c r="AB155" i="52"/>
  <c r="AB156" i="52"/>
  <c r="AB157" i="52"/>
  <c r="AB158" i="52"/>
  <c r="AB159" i="52"/>
  <c r="AB160" i="52"/>
  <c r="AB161" i="52"/>
  <c r="AB162" i="52"/>
  <c r="AB163" i="52"/>
  <c r="AB164" i="52"/>
  <c r="AB165" i="52"/>
  <c r="AB166" i="52"/>
  <c r="AB167" i="52"/>
  <c r="AB168" i="52"/>
  <c r="AB169" i="52"/>
  <c r="AB170" i="52"/>
  <c r="Y174" i="52"/>
  <c r="AA173" i="52"/>
  <c r="AB173" i="52"/>
  <c r="S174" i="52"/>
  <c r="U173" i="52"/>
  <c r="V173" i="52"/>
  <c r="M174" i="52"/>
  <c r="O173" i="52"/>
  <c r="P173" i="52"/>
  <c r="H174" i="52"/>
  <c r="J173" i="52"/>
  <c r="AA100" i="1"/>
  <c r="AD99" i="1"/>
  <c r="AC99" i="1"/>
  <c r="AB99" i="1"/>
  <c r="H175" i="52"/>
  <c r="J174" i="52"/>
  <c r="M175" i="52"/>
  <c r="O174" i="52"/>
  <c r="P174" i="52"/>
  <c r="S175" i="52"/>
  <c r="U174" i="52"/>
  <c r="V174" i="52"/>
  <c r="Y175" i="52"/>
  <c r="AA174" i="52"/>
  <c r="AB174" i="52"/>
  <c r="AD102" i="52"/>
  <c r="AE175" i="52"/>
  <c r="AG174" i="52"/>
  <c r="AA101" i="1"/>
  <c r="AD100" i="1"/>
  <c r="AC100" i="1"/>
  <c r="AB100" i="1"/>
  <c r="AE176" i="52"/>
  <c r="AG175" i="52"/>
  <c r="AE24" i="52"/>
  <c r="AD24" i="52"/>
  <c r="AC24" i="52"/>
  <c r="AE23" i="52"/>
  <c r="AD23" i="52"/>
  <c r="AC23" i="52"/>
  <c r="AE22" i="52"/>
  <c r="AD22" i="52"/>
  <c r="AC22" i="52"/>
  <c r="AE21" i="52"/>
  <c r="AD21" i="52"/>
  <c r="AC21" i="52"/>
  <c r="AE20" i="52"/>
  <c r="AD20" i="52"/>
  <c r="AC20" i="52"/>
  <c r="AE19" i="52"/>
  <c r="AD19" i="52"/>
  <c r="AC19" i="52"/>
  <c r="AE18" i="52"/>
  <c r="AD18" i="52"/>
  <c r="AC18" i="52"/>
  <c r="AE17" i="52"/>
  <c r="AD17" i="52"/>
  <c r="AC17" i="52"/>
  <c r="AE16" i="52"/>
  <c r="AD16" i="52"/>
  <c r="AC16" i="52"/>
  <c r="AE15" i="52"/>
  <c r="AD15" i="52"/>
  <c r="AC15" i="52"/>
  <c r="AE14" i="52"/>
  <c r="AD14" i="52"/>
  <c r="AC14" i="52"/>
  <c r="AE13" i="52"/>
  <c r="AD13" i="52"/>
  <c r="AC13" i="52"/>
  <c r="AE12" i="52"/>
  <c r="AD12" i="52"/>
  <c r="AC12" i="52"/>
  <c r="AE11" i="52"/>
  <c r="AD11" i="52"/>
  <c r="AC11" i="52"/>
  <c r="AE10" i="52"/>
  <c r="AD10" i="52"/>
  <c r="AC10" i="52"/>
  <c r="AE9" i="52"/>
  <c r="AD9" i="52"/>
  <c r="AC9" i="52"/>
  <c r="AE8" i="52"/>
  <c r="AD8" i="52"/>
  <c r="AC8" i="52"/>
  <c r="AE7" i="52"/>
  <c r="AD7" i="52"/>
  <c r="AC7" i="52"/>
  <c r="AG7" i="52"/>
  <c r="AG8" i="52"/>
  <c r="AG9" i="52"/>
  <c r="AG10" i="52"/>
  <c r="AG11" i="52"/>
  <c r="AG12" i="52"/>
  <c r="AG13" i="52"/>
  <c r="AG14" i="52"/>
  <c r="AG15" i="52"/>
  <c r="AG16" i="52"/>
  <c r="AG17" i="52"/>
  <c r="AG18" i="52"/>
  <c r="AG19" i="52"/>
  <c r="AG20" i="52"/>
  <c r="AG21" i="52"/>
  <c r="AG22" i="52"/>
  <c r="AG23" i="52"/>
  <c r="AG24" i="52"/>
  <c r="Y176" i="52"/>
  <c r="AA175" i="52"/>
  <c r="AB175" i="52"/>
  <c r="S176" i="52"/>
  <c r="U175" i="52"/>
  <c r="V175" i="52"/>
  <c r="M176" i="52"/>
  <c r="O175" i="52"/>
  <c r="P175" i="52"/>
  <c r="H176" i="52"/>
  <c r="J175" i="52"/>
  <c r="AA102" i="1"/>
  <c r="AD101" i="1"/>
  <c r="AC101" i="1"/>
  <c r="AB101" i="1"/>
  <c r="H177" i="52"/>
  <c r="J176" i="52"/>
  <c r="M177" i="52"/>
  <c r="O176" i="52"/>
  <c r="P176" i="52"/>
  <c r="S177" i="52"/>
  <c r="U176" i="52"/>
  <c r="V176" i="52"/>
  <c r="Y177" i="52"/>
  <c r="AA176" i="52"/>
  <c r="AB176" i="52"/>
  <c r="AG67" i="52"/>
  <c r="AG45" i="52"/>
  <c r="AG66" i="52"/>
  <c r="AG44" i="52"/>
  <c r="AG65" i="52"/>
  <c r="AG43" i="52"/>
  <c r="AG64" i="52"/>
  <c r="AG42" i="52"/>
  <c r="AG63" i="52"/>
  <c r="AG41" i="52"/>
  <c r="AG62" i="52"/>
  <c r="AG40" i="52"/>
  <c r="AG61" i="52"/>
  <c r="AG39" i="52"/>
  <c r="AG60" i="52"/>
  <c r="AG38" i="52"/>
  <c r="AG59" i="52"/>
  <c r="AG37" i="52"/>
  <c r="AG58" i="52"/>
  <c r="AG36" i="52"/>
  <c r="AG57" i="52"/>
  <c r="AG35" i="52"/>
  <c r="AG56" i="52"/>
  <c r="AG34" i="52"/>
  <c r="AG55" i="52"/>
  <c r="AG33" i="52"/>
  <c r="AG54" i="52"/>
  <c r="AG32" i="52"/>
  <c r="AG53" i="52"/>
  <c r="AG31" i="52"/>
  <c r="AG52" i="52"/>
  <c r="AG30" i="52"/>
  <c r="AG51" i="52"/>
  <c r="AG29" i="52"/>
  <c r="AG50" i="52"/>
  <c r="AG68" i="52"/>
  <c r="AG28" i="52"/>
  <c r="AG46" i="52"/>
  <c r="AC50" i="52"/>
  <c r="AC28" i="52"/>
  <c r="AD50" i="52"/>
  <c r="AD28" i="52"/>
  <c r="AE50" i="52"/>
  <c r="AE28" i="52"/>
  <c r="AC51" i="52"/>
  <c r="AC29" i="52"/>
  <c r="AD51" i="52"/>
  <c r="AD29" i="52"/>
  <c r="AE51" i="52"/>
  <c r="AE29" i="52"/>
  <c r="AC52" i="52"/>
  <c r="AC30" i="52"/>
  <c r="AD52" i="52"/>
  <c r="AD30" i="52"/>
  <c r="AE52" i="52"/>
  <c r="AE30" i="52"/>
  <c r="AC53" i="52"/>
  <c r="AC31" i="52"/>
  <c r="AD53" i="52"/>
  <c r="AD31" i="52"/>
  <c r="AE53" i="52"/>
  <c r="AE31" i="52"/>
  <c r="AC54" i="52"/>
  <c r="AC32" i="52"/>
  <c r="AD54" i="52"/>
  <c r="AD32" i="52"/>
  <c r="AE54" i="52"/>
  <c r="AE32" i="52"/>
  <c r="AC55" i="52"/>
  <c r="AC33" i="52"/>
  <c r="AD55" i="52"/>
  <c r="AD33" i="52"/>
  <c r="AE55" i="52"/>
  <c r="AE33" i="52"/>
  <c r="AC56" i="52"/>
  <c r="AC34" i="52"/>
  <c r="AD56" i="52"/>
  <c r="AD34" i="52"/>
  <c r="AE56" i="52"/>
  <c r="AE34" i="52"/>
  <c r="AC57" i="52"/>
  <c r="AC35" i="52"/>
  <c r="AD57" i="52"/>
  <c r="AD35" i="52"/>
  <c r="AE57" i="52"/>
  <c r="AE35" i="52"/>
  <c r="AC58" i="52"/>
  <c r="AC36" i="52"/>
  <c r="AD58" i="52"/>
  <c r="AD36" i="52"/>
  <c r="AE58" i="52"/>
  <c r="AE36" i="52"/>
  <c r="AC59" i="52"/>
  <c r="AC37" i="52"/>
  <c r="AD59" i="52"/>
  <c r="AD37" i="52"/>
  <c r="AE59" i="52"/>
  <c r="AE37" i="52"/>
  <c r="AC60" i="52"/>
  <c r="AC38" i="52"/>
  <c r="AD60" i="52"/>
  <c r="AD38" i="52"/>
  <c r="AE60" i="52"/>
  <c r="AE38" i="52"/>
  <c r="AC61" i="52"/>
  <c r="AC39" i="52"/>
  <c r="AD61" i="52"/>
  <c r="AD39" i="52"/>
  <c r="AE61" i="52"/>
  <c r="AE39" i="52"/>
  <c r="AC62" i="52"/>
  <c r="AC40" i="52"/>
  <c r="AD62" i="52"/>
  <c r="AD40" i="52"/>
  <c r="AE62" i="52"/>
  <c r="AE40" i="52"/>
  <c r="AC63" i="52"/>
  <c r="AC41" i="52"/>
  <c r="AD63" i="52"/>
  <c r="AD41" i="52"/>
  <c r="AE63" i="52"/>
  <c r="AE41" i="52"/>
  <c r="AC64" i="52"/>
  <c r="AC42" i="52"/>
  <c r="AD64" i="52"/>
  <c r="AD42" i="52"/>
  <c r="AE64" i="52"/>
  <c r="AE42" i="52"/>
  <c r="AC65" i="52"/>
  <c r="AC43" i="52"/>
  <c r="AD65" i="52"/>
  <c r="AD43" i="52"/>
  <c r="AE65" i="52"/>
  <c r="AE43" i="52"/>
  <c r="AC66" i="52"/>
  <c r="AC44" i="52"/>
  <c r="AD66" i="52"/>
  <c r="AD44" i="52"/>
  <c r="AE66" i="52"/>
  <c r="AE44" i="52"/>
  <c r="AC67" i="52"/>
  <c r="AC45" i="52"/>
  <c r="AD67" i="52"/>
  <c r="AD45" i="52"/>
  <c r="AE67" i="52"/>
  <c r="AE45" i="52"/>
  <c r="AE177" i="52"/>
  <c r="AG176" i="52"/>
  <c r="AA103" i="1"/>
  <c r="AD102" i="1"/>
  <c r="AC102" i="1"/>
  <c r="AB102" i="1"/>
  <c r="AE178" i="52"/>
  <c r="AG177" i="52"/>
  <c r="AC69" i="52"/>
  <c r="AC68" i="52"/>
  <c r="Y178" i="52"/>
  <c r="AA177" i="52"/>
  <c r="AB177" i="52"/>
  <c r="S178" i="52"/>
  <c r="U177" i="52"/>
  <c r="V177" i="52"/>
  <c r="M178" i="52"/>
  <c r="O177" i="52"/>
  <c r="P177" i="52"/>
  <c r="H178" i="52"/>
  <c r="J177" i="52"/>
  <c r="AE46" i="52"/>
  <c r="AE68" i="52"/>
  <c r="AD46" i="52"/>
  <c r="AD68" i="52"/>
  <c r="AC46" i="52"/>
  <c r="AA104" i="1"/>
  <c r="AD103" i="1"/>
  <c r="AC103" i="1"/>
  <c r="AB103" i="1"/>
  <c r="H179" i="52"/>
  <c r="J178" i="52"/>
  <c r="M179" i="52"/>
  <c r="O178" i="52"/>
  <c r="P178" i="52"/>
  <c r="S179" i="52"/>
  <c r="U178" i="52"/>
  <c r="V178" i="52"/>
  <c r="Y179" i="52"/>
  <c r="AA178" i="52"/>
  <c r="AB178" i="52"/>
  <c r="AE179" i="52"/>
  <c r="AG178" i="52"/>
  <c r="AA105" i="1"/>
  <c r="AD104" i="1"/>
  <c r="AC104" i="1"/>
  <c r="AB104" i="1"/>
  <c r="AE180" i="52"/>
  <c r="AG179" i="52"/>
  <c r="Y180" i="52"/>
  <c r="AA179" i="52"/>
  <c r="AB179" i="52"/>
  <c r="S180" i="52"/>
  <c r="U179" i="52"/>
  <c r="V179" i="52"/>
  <c r="M180" i="52"/>
  <c r="O179" i="52"/>
  <c r="P179" i="52"/>
  <c r="H180" i="52"/>
  <c r="J179" i="52"/>
  <c r="AA106" i="1"/>
  <c r="AD105" i="1"/>
  <c r="AC105" i="1"/>
  <c r="AB105" i="1"/>
  <c r="H181" i="52"/>
  <c r="J180" i="52"/>
  <c r="M181" i="52"/>
  <c r="O180" i="52"/>
  <c r="P180" i="52"/>
  <c r="S181" i="52"/>
  <c r="U180" i="52"/>
  <c r="V180" i="52"/>
  <c r="Y181" i="52"/>
  <c r="AA180" i="52"/>
  <c r="AB180" i="52"/>
  <c r="AE181" i="52"/>
  <c r="AG180" i="52"/>
  <c r="AA107" i="1"/>
  <c r="AD106" i="1"/>
  <c r="AC106" i="1"/>
  <c r="AB106" i="1"/>
  <c r="AE182" i="52"/>
  <c r="AG181" i="52"/>
  <c r="Y182" i="52"/>
  <c r="AA181" i="52"/>
  <c r="AB181" i="52"/>
  <c r="S182" i="52"/>
  <c r="U181" i="52"/>
  <c r="V181" i="52"/>
  <c r="M182" i="52"/>
  <c r="O181" i="52"/>
  <c r="P181" i="52"/>
  <c r="H182" i="52"/>
  <c r="J181" i="52"/>
  <c r="AA108" i="1"/>
  <c r="AD107" i="1"/>
  <c r="AC107" i="1"/>
  <c r="AB107" i="1"/>
  <c r="H183" i="52"/>
  <c r="J182" i="52"/>
  <c r="M183" i="52"/>
  <c r="O182" i="52"/>
  <c r="P182" i="52"/>
  <c r="S183" i="52"/>
  <c r="U182" i="52"/>
  <c r="V182" i="52"/>
  <c r="Y183" i="52"/>
  <c r="AA182" i="52"/>
  <c r="AB182" i="52"/>
  <c r="AE183" i="52"/>
  <c r="AG182" i="52"/>
  <c r="AA109" i="1"/>
  <c r="AD108" i="1"/>
  <c r="AC108" i="1"/>
  <c r="AB108" i="1"/>
  <c r="AE184" i="52"/>
  <c r="AG183" i="52"/>
  <c r="Y184" i="52"/>
  <c r="AA183" i="52"/>
  <c r="AB183" i="52"/>
  <c r="S184" i="52"/>
  <c r="U183" i="52"/>
  <c r="V183" i="52"/>
  <c r="M184" i="52"/>
  <c r="O183" i="52"/>
  <c r="P183" i="52"/>
  <c r="H184" i="52"/>
  <c r="J183" i="52"/>
  <c r="AA110" i="1"/>
  <c r="AD109" i="1"/>
  <c r="AC109" i="1"/>
  <c r="AB109" i="1"/>
  <c r="H185" i="52"/>
  <c r="J184" i="52"/>
  <c r="M185" i="52"/>
  <c r="O184" i="52"/>
  <c r="P184" i="52"/>
  <c r="S185" i="52"/>
  <c r="U184" i="52"/>
  <c r="V184" i="52"/>
  <c r="Y185" i="52"/>
  <c r="AA184" i="52"/>
  <c r="AB184" i="52"/>
  <c r="AE185" i="52"/>
  <c r="AG184" i="52"/>
  <c r="AA111" i="1"/>
  <c r="AD110" i="1"/>
  <c r="AC110" i="1"/>
  <c r="AB110" i="1"/>
  <c r="AE186" i="52"/>
  <c r="AG185" i="52"/>
  <c r="Y186" i="52"/>
  <c r="AA185" i="52"/>
  <c r="AB185" i="52"/>
  <c r="S186" i="52"/>
  <c r="U185" i="52"/>
  <c r="V185" i="52"/>
  <c r="M186" i="52"/>
  <c r="O185" i="52"/>
  <c r="P185" i="52"/>
  <c r="H186" i="52"/>
  <c r="J185" i="52"/>
  <c r="AA112" i="1"/>
  <c r="AD111" i="1"/>
  <c r="AC111" i="1"/>
  <c r="AB111" i="1"/>
  <c r="H187" i="52"/>
  <c r="J186" i="52"/>
  <c r="M187" i="52"/>
  <c r="O186" i="52"/>
  <c r="P186" i="52"/>
  <c r="S187" i="52"/>
  <c r="U186" i="52"/>
  <c r="V186" i="52"/>
  <c r="Y187" i="52"/>
  <c r="AA186" i="52"/>
  <c r="AB186" i="52"/>
  <c r="AE187" i="52"/>
  <c r="AG186" i="52"/>
  <c r="AA113" i="1"/>
  <c r="AD112" i="1"/>
  <c r="AC112" i="1"/>
  <c r="AB112" i="1"/>
  <c r="AE188" i="52"/>
  <c r="AG187" i="52"/>
  <c r="Y188" i="52"/>
  <c r="AA187" i="52"/>
  <c r="AB187" i="52"/>
  <c r="S188" i="52"/>
  <c r="U187" i="52"/>
  <c r="V187" i="52"/>
  <c r="M188" i="52"/>
  <c r="O187" i="52"/>
  <c r="P187" i="52"/>
  <c r="H188" i="52"/>
  <c r="J187" i="52"/>
  <c r="AA114" i="1"/>
  <c r="AD113" i="1"/>
  <c r="AC113" i="1"/>
  <c r="AB113" i="1"/>
  <c r="H189" i="52"/>
  <c r="J188" i="52"/>
  <c r="M189" i="52"/>
  <c r="O188" i="52"/>
  <c r="P188" i="52"/>
  <c r="S189" i="52"/>
  <c r="U188" i="52"/>
  <c r="V188" i="52"/>
  <c r="Y189" i="52"/>
  <c r="AA188" i="52"/>
  <c r="AB188" i="52"/>
  <c r="AE189" i="52"/>
  <c r="AG188" i="52"/>
  <c r="AA115" i="1"/>
  <c r="AD114" i="1"/>
  <c r="AC114" i="1"/>
  <c r="AB114" i="1"/>
  <c r="AE190" i="52"/>
  <c r="AG189" i="52"/>
  <c r="Y190" i="52"/>
  <c r="AA189" i="52"/>
  <c r="AB189" i="52"/>
  <c r="S190" i="52"/>
  <c r="U189" i="52"/>
  <c r="V189" i="52"/>
  <c r="M190" i="52"/>
  <c r="O189" i="52"/>
  <c r="P189" i="52"/>
  <c r="H190" i="52"/>
  <c r="J189" i="52"/>
  <c r="AA116" i="1"/>
  <c r="AD115" i="1"/>
  <c r="AC115" i="1"/>
  <c r="AB115" i="1"/>
  <c r="H191" i="52"/>
  <c r="J190" i="52"/>
  <c r="M191" i="52"/>
  <c r="O190" i="52"/>
  <c r="P190" i="52"/>
  <c r="S191" i="52"/>
  <c r="U190" i="52"/>
  <c r="V190" i="52"/>
  <c r="Y191" i="52"/>
  <c r="AA190" i="52"/>
  <c r="AB190" i="52"/>
  <c r="AE191" i="52"/>
  <c r="AG190" i="52"/>
  <c r="AA117" i="1"/>
  <c r="AD116" i="1"/>
  <c r="AC116" i="1"/>
  <c r="AB116" i="1"/>
  <c r="AE192" i="52"/>
  <c r="AG191" i="52"/>
  <c r="Y192" i="52"/>
  <c r="AA191" i="52"/>
  <c r="AB191" i="52"/>
  <c r="S192" i="52"/>
  <c r="U191" i="52"/>
  <c r="V191" i="52"/>
  <c r="M192" i="52"/>
  <c r="O191" i="52"/>
  <c r="P191" i="52"/>
  <c r="H192" i="52"/>
  <c r="J191" i="52"/>
  <c r="AA118" i="1"/>
  <c r="AD117" i="1"/>
  <c r="AC117" i="1"/>
  <c r="AB117" i="1"/>
  <c r="H193" i="52"/>
  <c r="J192" i="52"/>
  <c r="M193" i="52"/>
  <c r="O192" i="52"/>
  <c r="P192" i="52"/>
  <c r="S193" i="52"/>
  <c r="U192" i="52"/>
  <c r="V192" i="52"/>
  <c r="Y193" i="52"/>
  <c r="AA192" i="52"/>
  <c r="AB192" i="52"/>
  <c r="AE193" i="52"/>
  <c r="AG192" i="52"/>
  <c r="AA119" i="1"/>
  <c r="AD118" i="1"/>
  <c r="AC118" i="1"/>
  <c r="AB118" i="1"/>
  <c r="AE194" i="52"/>
  <c r="AG193" i="52"/>
  <c r="Y194" i="52"/>
  <c r="AA193" i="52"/>
  <c r="AB193" i="52"/>
  <c r="S194" i="52"/>
  <c r="U193" i="52"/>
  <c r="V193" i="52"/>
  <c r="M194" i="52"/>
  <c r="O193" i="52"/>
  <c r="P193" i="52"/>
  <c r="H194" i="52"/>
  <c r="J193" i="52"/>
  <c r="AA120" i="1"/>
  <c r="AD119" i="1"/>
  <c r="AC119" i="1"/>
  <c r="AB119" i="1"/>
  <c r="H195" i="52"/>
  <c r="J194" i="52"/>
  <c r="M195" i="52"/>
  <c r="O194" i="52"/>
  <c r="P194" i="52"/>
  <c r="S195" i="52"/>
  <c r="U194" i="52"/>
  <c r="V194" i="52"/>
  <c r="Y195" i="52"/>
  <c r="AA194" i="52"/>
  <c r="AB194" i="52"/>
  <c r="AE195" i="52"/>
  <c r="AG194" i="52"/>
  <c r="AA121" i="1"/>
  <c r="AD120" i="1"/>
  <c r="AC120" i="1"/>
  <c r="AB120" i="1"/>
  <c r="AE196" i="52"/>
  <c r="AG195" i="52"/>
  <c r="Y196" i="52"/>
  <c r="AA195" i="52"/>
  <c r="AB195" i="52"/>
  <c r="S196" i="52"/>
  <c r="U195" i="52"/>
  <c r="V195" i="52"/>
  <c r="M196" i="52"/>
  <c r="O195" i="52"/>
  <c r="P195" i="52"/>
  <c r="H196" i="52"/>
  <c r="J195" i="52"/>
  <c r="AA122" i="1"/>
  <c r="AD121" i="1"/>
  <c r="AC121" i="1"/>
  <c r="AB121" i="1"/>
  <c r="H197" i="52"/>
  <c r="J197" i="52"/>
  <c r="J196" i="52"/>
  <c r="M197" i="52"/>
  <c r="O197" i="52"/>
  <c r="P197" i="52"/>
  <c r="O196" i="52"/>
  <c r="P196" i="52"/>
  <c r="S197" i="52"/>
  <c r="U197" i="52"/>
  <c r="V197" i="52"/>
  <c r="U196" i="52"/>
  <c r="V196" i="52"/>
  <c r="Y197" i="52"/>
  <c r="AA197" i="52"/>
  <c r="AB197" i="52"/>
  <c r="AA196" i="52"/>
  <c r="AB196" i="52"/>
  <c r="AE197" i="52"/>
  <c r="AG197" i="52"/>
  <c r="AG196" i="52"/>
  <c r="AH196" i="52"/>
  <c r="AH195" i="52"/>
  <c r="AA123" i="1"/>
  <c r="AD122" i="1"/>
  <c r="AC122" i="1"/>
  <c r="AB122" i="1"/>
  <c r="AH197" i="52"/>
  <c r="AH102" i="52"/>
  <c r="AH103" i="52"/>
  <c r="AH104" i="52"/>
  <c r="AH105" i="52"/>
  <c r="AH106" i="52"/>
  <c r="AH107" i="52"/>
  <c r="AH108" i="52"/>
  <c r="AH109" i="52"/>
  <c r="AH110" i="52"/>
  <c r="AH111" i="52"/>
  <c r="AH112" i="52"/>
  <c r="AH113" i="52"/>
  <c r="AH114" i="52"/>
  <c r="AH115" i="52"/>
  <c r="AH116" i="52"/>
  <c r="AH117" i="52"/>
  <c r="AH118" i="52"/>
  <c r="AH119" i="52"/>
  <c r="AH120" i="52"/>
  <c r="AH121" i="52"/>
  <c r="AH122" i="52"/>
  <c r="AH123" i="52"/>
  <c r="AH124" i="52"/>
  <c r="AH125" i="52"/>
  <c r="AH126" i="52"/>
  <c r="AH127" i="52"/>
  <c r="AH128" i="52"/>
  <c r="AH129" i="52"/>
  <c r="AH130" i="52"/>
  <c r="AH131" i="52"/>
  <c r="AH132" i="52"/>
  <c r="AH133" i="52"/>
  <c r="AH134" i="52"/>
  <c r="AH135" i="52"/>
  <c r="AH136" i="52"/>
  <c r="AH137" i="52"/>
  <c r="AH138" i="52"/>
  <c r="AH139" i="52"/>
  <c r="AH140" i="52"/>
  <c r="AH141" i="52"/>
  <c r="AH142" i="52"/>
  <c r="AH143" i="52"/>
  <c r="AH144" i="52"/>
  <c r="AH145" i="52"/>
  <c r="AH146" i="52"/>
  <c r="AH147" i="52"/>
  <c r="AH148" i="52"/>
  <c r="AH149" i="52"/>
  <c r="AH150" i="52"/>
  <c r="AH151" i="52"/>
  <c r="AH152" i="52"/>
  <c r="AH153" i="52"/>
  <c r="AH154" i="52"/>
  <c r="AH155" i="52"/>
  <c r="AH156" i="52"/>
  <c r="AH157" i="52"/>
  <c r="AH158" i="52"/>
  <c r="AH159" i="52"/>
  <c r="AH160" i="52"/>
  <c r="AH161" i="52"/>
  <c r="AH162" i="52"/>
  <c r="AH163" i="52"/>
  <c r="AH164" i="52"/>
  <c r="AH165" i="52"/>
  <c r="AH166" i="52"/>
  <c r="AH167" i="52"/>
  <c r="AH168" i="52"/>
  <c r="AH169" i="52"/>
  <c r="AH170" i="52"/>
  <c r="AH171" i="52"/>
  <c r="AH172" i="52"/>
  <c r="AH173" i="52"/>
  <c r="AH174" i="52"/>
  <c r="AH175" i="52"/>
  <c r="AH176" i="52"/>
  <c r="AH177" i="52"/>
  <c r="AH178" i="52"/>
  <c r="AH179" i="52"/>
  <c r="AH180" i="52"/>
  <c r="AH181" i="52"/>
  <c r="AH182" i="52"/>
  <c r="AH183" i="52"/>
  <c r="AH184" i="52"/>
  <c r="AH185" i="52"/>
  <c r="AH186" i="52"/>
  <c r="AH187" i="52"/>
  <c r="AH188" i="52"/>
  <c r="AH189" i="52"/>
  <c r="AH190" i="52"/>
  <c r="AH191" i="52"/>
  <c r="AH192" i="52"/>
  <c r="AH193" i="52"/>
  <c r="AH194" i="52"/>
  <c r="AA124" i="1"/>
  <c r="AD123" i="1"/>
  <c r="AC123" i="1"/>
  <c r="AB123" i="1"/>
  <c r="AJ102" i="52"/>
  <c r="AA125" i="1"/>
  <c r="AD124" i="1"/>
  <c r="AC124" i="1"/>
  <c r="AB124" i="1"/>
  <c r="AK24" i="52"/>
  <c r="AJ24" i="52"/>
  <c r="AI24" i="52"/>
  <c r="AH24" i="52"/>
  <c r="AK23" i="52"/>
  <c r="AJ23" i="52"/>
  <c r="AI23" i="52"/>
  <c r="AH23" i="52"/>
  <c r="AK22" i="52"/>
  <c r="AJ22" i="52"/>
  <c r="AI22" i="52"/>
  <c r="AH22" i="52"/>
  <c r="AK21" i="52"/>
  <c r="AJ21" i="52"/>
  <c r="AI21" i="52"/>
  <c r="AH21" i="52"/>
  <c r="AK20" i="52"/>
  <c r="AJ20" i="52"/>
  <c r="AI20" i="52"/>
  <c r="AH20" i="52"/>
  <c r="AK19" i="52"/>
  <c r="AJ19" i="52"/>
  <c r="AI19" i="52"/>
  <c r="AH19" i="52"/>
  <c r="AK18" i="52"/>
  <c r="AJ18" i="52"/>
  <c r="AI18" i="52"/>
  <c r="AH18" i="52"/>
  <c r="AK17" i="52"/>
  <c r="AJ17" i="52"/>
  <c r="AI17" i="52"/>
  <c r="AH17" i="52"/>
  <c r="AK16" i="52"/>
  <c r="AJ16" i="52"/>
  <c r="AI16" i="52"/>
  <c r="AH16" i="52"/>
  <c r="AK15" i="52"/>
  <c r="AJ15" i="52"/>
  <c r="AI15" i="52"/>
  <c r="AH15" i="52"/>
  <c r="AK14" i="52"/>
  <c r="AJ14" i="52"/>
  <c r="AI14" i="52"/>
  <c r="AH14" i="52"/>
  <c r="AK13" i="52"/>
  <c r="AJ13" i="52"/>
  <c r="AI13" i="52"/>
  <c r="AH13" i="52"/>
  <c r="AK12" i="52"/>
  <c r="AJ12" i="52"/>
  <c r="AI12" i="52"/>
  <c r="AH12" i="52"/>
  <c r="AK11" i="52"/>
  <c r="AJ11" i="52"/>
  <c r="AI11" i="52"/>
  <c r="AH11" i="52"/>
  <c r="AK10" i="52"/>
  <c r="AJ10" i="52"/>
  <c r="AI10" i="52"/>
  <c r="AH10" i="52"/>
  <c r="AK9" i="52"/>
  <c r="AJ9" i="52"/>
  <c r="AI9" i="52"/>
  <c r="AH9" i="52"/>
  <c r="AK8" i="52"/>
  <c r="AJ8" i="52"/>
  <c r="AI8" i="52"/>
  <c r="AH8" i="52"/>
  <c r="AK7" i="52"/>
  <c r="AJ7" i="52"/>
  <c r="AI7" i="52"/>
  <c r="AH7" i="52"/>
  <c r="AA126" i="1"/>
  <c r="AD125" i="1"/>
  <c r="AC125" i="1"/>
  <c r="AB125" i="1"/>
  <c r="AH50" i="52"/>
  <c r="AH28" i="52"/>
  <c r="AI50" i="52"/>
  <c r="AI28" i="52"/>
  <c r="AJ50" i="52"/>
  <c r="AJ28" i="52"/>
  <c r="AK50" i="52"/>
  <c r="AK28" i="52"/>
  <c r="AH51" i="52"/>
  <c r="AH29" i="52"/>
  <c r="AI51" i="52"/>
  <c r="AI29" i="52"/>
  <c r="AJ51" i="52"/>
  <c r="AJ29" i="52"/>
  <c r="AK51" i="52"/>
  <c r="AK29" i="52"/>
  <c r="AH52" i="52"/>
  <c r="AH30" i="52"/>
  <c r="AI52" i="52"/>
  <c r="AI30" i="52"/>
  <c r="AJ52" i="52"/>
  <c r="AJ30" i="52"/>
  <c r="AK52" i="52"/>
  <c r="AK30" i="52"/>
  <c r="AH53" i="52"/>
  <c r="AH31" i="52"/>
  <c r="AI53" i="52"/>
  <c r="AI31" i="52"/>
  <c r="AJ53" i="52"/>
  <c r="AJ31" i="52"/>
  <c r="AK53" i="52"/>
  <c r="AK31" i="52"/>
  <c r="AH54" i="52"/>
  <c r="AH32" i="52"/>
  <c r="AI54" i="52"/>
  <c r="AI32" i="52"/>
  <c r="AJ54" i="52"/>
  <c r="AJ32" i="52"/>
  <c r="AK54" i="52"/>
  <c r="AK32" i="52"/>
  <c r="AH55" i="52"/>
  <c r="AH33" i="52"/>
  <c r="AI55" i="52"/>
  <c r="AI33" i="52"/>
  <c r="AJ55" i="52"/>
  <c r="AJ33" i="52"/>
  <c r="AK55" i="52"/>
  <c r="AK33" i="52"/>
  <c r="AH56" i="52"/>
  <c r="AH34" i="52"/>
  <c r="AI56" i="52"/>
  <c r="AI34" i="52"/>
  <c r="AJ56" i="52"/>
  <c r="AJ34" i="52"/>
  <c r="AK56" i="52"/>
  <c r="AK34" i="52"/>
  <c r="AH57" i="52"/>
  <c r="AH35" i="52"/>
  <c r="AI57" i="52"/>
  <c r="AI35" i="52"/>
  <c r="AJ57" i="52"/>
  <c r="AJ35" i="52"/>
  <c r="AK57" i="52"/>
  <c r="AK35" i="52"/>
  <c r="AH58" i="52"/>
  <c r="AH36" i="52"/>
  <c r="AI58" i="52"/>
  <c r="AI36" i="52"/>
  <c r="AJ58" i="52"/>
  <c r="AJ36" i="52"/>
  <c r="AK58" i="52"/>
  <c r="AK36" i="52"/>
  <c r="AH59" i="52"/>
  <c r="AH37" i="52"/>
  <c r="AI59" i="52"/>
  <c r="AI37" i="52"/>
  <c r="AJ59" i="52"/>
  <c r="AJ37" i="52"/>
  <c r="AK59" i="52"/>
  <c r="AK37" i="52"/>
  <c r="AH60" i="52"/>
  <c r="AH38" i="52"/>
  <c r="AI60" i="52"/>
  <c r="AI38" i="52"/>
  <c r="AJ60" i="52"/>
  <c r="AJ38" i="52"/>
  <c r="AK60" i="52"/>
  <c r="AK38" i="52"/>
  <c r="AH61" i="52"/>
  <c r="AH39" i="52"/>
  <c r="AI61" i="52"/>
  <c r="AI39" i="52"/>
  <c r="AJ61" i="52"/>
  <c r="AJ39" i="52"/>
  <c r="AK61" i="52"/>
  <c r="AK39" i="52"/>
  <c r="AH62" i="52"/>
  <c r="AH40" i="52"/>
  <c r="AI62" i="52"/>
  <c r="AI40" i="52"/>
  <c r="AJ62" i="52"/>
  <c r="AJ40" i="52"/>
  <c r="AK62" i="52"/>
  <c r="AK40" i="52"/>
  <c r="AH63" i="52"/>
  <c r="AH41" i="52"/>
  <c r="AI63" i="52"/>
  <c r="AI41" i="52"/>
  <c r="AJ63" i="52"/>
  <c r="AJ41" i="52"/>
  <c r="AK63" i="52"/>
  <c r="AK41" i="52"/>
  <c r="AH64" i="52"/>
  <c r="AH42" i="52"/>
  <c r="AI64" i="52"/>
  <c r="AI42" i="52"/>
  <c r="AJ64" i="52"/>
  <c r="AJ42" i="52"/>
  <c r="AK64" i="52"/>
  <c r="AK42" i="52"/>
  <c r="AH65" i="52"/>
  <c r="AH43" i="52"/>
  <c r="AI65" i="52"/>
  <c r="AI43" i="52"/>
  <c r="AJ65" i="52"/>
  <c r="AJ43" i="52"/>
  <c r="AK65" i="52"/>
  <c r="AK43" i="52"/>
  <c r="AH66" i="52"/>
  <c r="AH44" i="52"/>
  <c r="AI66" i="52"/>
  <c r="AI44" i="52"/>
  <c r="AJ66" i="52"/>
  <c r="AJ44" i="52"/>
  <c r="AK66" i="52"/>
  <c r="AK44" i="52"/>
  <c r="AH67" i="52"/>
  <c r="AH45" i="52"/>
  <c r="AI67" i="52"/>
  <c r="AI45" i="52"/>
  <c r="AJ67" i="52"/>
  <c r="AJ45" i="52"/>
  <c r="AK67" i="52"/>
  <c r="AK45" i="52"/>
  <c r="AA127" i="1"/>
  <c r="AD126" i="1"/>
  <c r="AC126" i="1"/>
  <c r="AB126" i="1"/>
  <c r="AK46" i="52"/>
  <c r="AK68" i="52"/>
  <c r="AJ46" i="52"/>
  <c r="AJ68" i="52"/>
  <c r="AI46" i="52"/>
  <c r="AI68" i="52"/>
  <c r="AH46" i="52"/>
  <c r="AH68" i="52"/>
  <c r="AH69" i="52"/>
  <c r="AD127" i="1"/>
  <c r="AC127" i="1"/>
  <c r="AB127" i="1"/>
  <c r="D1" i="51"/>
  <c r="C9" i="51"/>
  <c r="AF55" i="51"/>
  <c r="AF54" i="51"/>
  <c r="AF53" i="51"/>
  <c r="AF52" i="51"/>
  <c r="AF51" i="51"/>
  <c r="AF50" i="51"/>
  <c r="AF49" i="51"/>
  <c r="AF48" i="51"/>
  <c r="AF47" i="51"/>
  <c r="AF46" i="51"/>
  <c r="AF45" i="51"/>
  <c r="AF44" i="51"/>
  <c r="AF43" i="51"/>
  <c r="AF42" i="51"/>
  <c r="AF41" i="51"/>
  <c r="AF40" i="51"/>
  <c r="C40" i="51"/>
  <c r="C41" i="51"/>
  <c r="AF39" i="51"/>
  <c r="E39" i="51"/>
  <c r="D39" i="51"/>
  <c r="D40" i="51"/>
  <c r="D41" i="51"/>
  <c r="D42" i="51"/>
  <c r="D43" i="51"/>
  <c r="D44" i="51"/>
  <c r="D45" i="51"/>
  <c r="D46" i="51"/>
  <c r="D47" i="51"/>
  <c r="D48" i="51"/>
  <c r="D49" i="51"/>
  <c r="D50" i="51"/>
  <c r="D51" i="51"/>
  <c r="D52" i="51"/>
  <c r="D53" i="51"/>
  <c r="D54" i="51"/>
  <c r="D55" i="51"/>
  <c r="D56" i="51"/>
  <c r="D57" i="51"/>
  <c r="D58" i="51"/>
  <c r="D59" i="51"/>
  <c r="D60" i="51"/>
  <c r="D61" i="51"/>
  <c r="D62" i="51"/>
  <c r="D63" i="51"/>
  <c r="D64" i="51"/>
  <c r="D65" i="51"/>
  <c r="D66" i="51"/>
  <c r="D67" i="51"/>
  <c r="D68" i="51"/>
  <c r="D69" i="51"/>
  <c r="D70" i="51"/>
  <c r="D71" i="51"/>
  <c r="D72" i="51"/>
  <c r="D73" i="51"/>
  <c r="D74" i="51"/>
  <c r="D75" i="51"/>
  <c r="D76" i="51"/>
  <c r="D77" i="51"/>
  <c r="D78" i="51"/>
  <c r="D79" i="51"/>
  <c r="D80" i="51"/>
  <c r="D81" i="51"/>
  <c r="D82" i="51"/>
  <c r="D83" i="51"/>
  <c r="D84" i="51"/>
  <c r="D85" i="51"/>
  <c r="D86" i="51"/>
  <c r="D87" i="51"/>
  <c r="D88" i="51"/>
  <c r="D89" i="51"/>
  <c r="D90" i="51"/>
  <c r="D91" i="51"/>
  <c r="D92" i="51"/>
  <c r="D93" i="51"/>
  <c r="D94" i="51"/>
  <c r="D95" i="51"/>
  <c r="D96" i="51"/>
  <c r="D97" i="51"/>
  <c r="D98" i="51"/>
  <c r="D99" i="51"/>
  <c r="D100" i="51"/>
  <c r="D101" i="51"/>
  <c r="D102" i="51"/>
  <c r="D103" i="51"/>
  <c r="D104" i="51"/>
  <c r="D105" i="51"/>
  <c r="D106" i="51"/>
  <c r="D107" i="51"/>
  <c r="D108" i="51"/>
  <c r="D109" i="51"/>
  <c r="D110" i="51"/>
  <c r="D111" i="51"/>
  <c r="D112" i="51"/>
  <c r="D113" i="51"/>
  <c r="D114" i="51"/>
  <c r="D115" i="51"/>
  <c r="D116" i="51"/>
  <c r="D117" i="51"/>
  <c r="D118" i="51"/>
  <c r="D119" i="51"/>
  <c r="D120" i="51"/>
  <c r="D121" i="51"/>
  <c r="D122" i="51"/>
  <c r="D123" i="51"/>
  <c r="D124" i="51"/>
  <c r="D125" i="51"/>
  <c r="D126" i="51"/>
  <c r="D127" i="51"/>
  <c r="D128" i="51"/>
  <c r="D129" i="51"/>
  <c r="D130" i="51"/>
  <c r="D131" i="51"/>
  <c r="D132" i="51"/>
  <c r="D133" i="51"/>
  <c r="D134" i="51"/>
  <c r="AF38" i="51"/>
  <c r="AF37" i="51"/>
  <c r="AB37" i="51"/>
  <c r="AB38" i="51"/>
  <c r="AB39" i="51"/>
  <c r="AB40" i="51"/>
  <c r="AB41" i="51"/>
  <c r="AB42" i="51"/>
  <c r="AB43" i="51"/>
  <c r="AB44" i="51"/>
  <c r="AB45" i="51"/>
  <c r="AB46" i="51"/>
  <c r="AB47" i="51"/>
  <c r="AB48" i="51"/>
  <c r="AB49" i="51"/>
  <c r="AB50" i="51"/>
  <c r="AB51" i="51"/>
  <c r="AB52" i="51"/>
  <c r="AB53" i="51"/>
  <c r="AB54" i="51"/>
  <c r="AB55" i="51"/>
  <c r="AF36" i="51"/>
  <c r="AF35" i="51"/>
  <c r="AF34" i="51"/>
  <c r="AF33" i="51"/>
  <c r="AF32" i="51"/>
  <c r="AF28" i="51"/>
  <c r="AF27" i="51"/>
  <c r="AF26" i="51"/>
  <c r="AF25" i="51"/>
  <c r="AF24" i="51"/>
  <c r="AF23" i="51"/>
  <c r="AF22" i="51"/>
  <c r="AF21" i="51"/>
  <c r="AF20" i="51"/>
  <c r="AF19" i="51"/>
  <c r="AF18" i="51"/>
  <c r="AF17" i="51"/>
  <c r="AF16" i="51"/>
  <c r="AF15" i="51"/>
  <c r="AF14" i="51"/>
  <c r="AF13" i="51"/>
  <c r="AF12" i="51"/>
  <c r="AF11" i="51"/>
  <c r="AQ10" i="51"/>
  <c r="AQ11" i="51"/>
  <c r="AQ12" i="51"/>
  <c r="AQ13" i="51"/>
  <c r="AQ14" i="51"/>
  <c r="AQ15" i="51"/>
  <c r="AQ16" i="51"/>
  <c r="AQ17" i="51"/>
  <c r="AQ18" i="51"/>
  <c r="AQ19" i="51"/>
  <c r="AQ20" i="51"/>
  <c r="AQ21" i="51"/>
  <c r="AQ22" i="51"/>
  <c r="AQ23" i="51"/>
  <c r="AQ24" i="51"/>
  <c r="AQ25" i="51"/>
  <c r="AQ26" i="51"/>
  <c r="AQ27" i="51"/>
  <c r="AQ28" i="51"/>
  <c r="AJ10" i="51"/>
  <c r="AJ11" i="51"/>
  <c r="AJ12" i="51"/>
  <c r="AJ13" i="51"/>
  <c r="AJ14" i="51"/>
  <c r="AJ15" i="51"/>
  <c r="AJ16" i="51"/>
  <c r="AJ17" i="51"/>
  <c r="AJ18" i="51"/>
  <c r="AJ19" i="51"/>
  <c r="AJ20" i="51"/>
  <c r="AJ21" i="51"/>
  <c r="AJ22" i="51"/>
  <c r="AJ23" i="51"/>
  <c r="AJ24" i="51"/>
  <c r="AJ25" i="51"/>
  <c r="AJ26" i="51"/>
  <c r="AJ27" i="51"/>
  <c r="AJ28" i="51"/>
  <c r="AF10" i="51"/>
  <c r="AB10" i="51"/>
  <c r="AB11" i="51"/>
  <c r="AB12" i="51"/>
  <c r="AB13" i="51"/>
  <c r="AB14" i="51"/>
  <c r="AB15" i="51"/>
  <c r="AB16" i="51"/>
  <c r="AB17" i="51"/>
  <c r="AB18" i="51"/>
  <c r="AB19" i="51"/>
  <c r="AB20" i="51"/>
  <c r="AB21" i="51"/>
  <c r="AB22" i="51"/>
  <c r="AB23" i="51"/>
  <c r="AB24" i="51"/>
  <c r="AB25" i="51"/>
  <c r="AB26" i="51"/>
  <c r="AB27" i="51"/>
  <c r="AB28" i="51"/>
  <c r="AF9" i="51"/>
  <c r="AF8" i="51"/>
  <c r="AF7" i="51"/>
  <c r="AX6" i="51"/>
  <c r="AX7" i="51"/>
  <c r="AX8" i="51"/>
  <c r="AX9" i="51"/>
  <c r="AX10" i="51"/>
  <c r="AX11" i="51"/>
  <c r="AX12" i="51"/>
  <c r="AX13" i="51"/>
  <c r="AX14" i="51"/>
  <c r="AX15" i="51"/>
  <c r="AX16" i="51"/>
  <c r="AX17" i="51"/>
  <c r="AX18" i="51"/>
  <c r="AX19" i="51"/>
  <c r="AX20" i="51"/>
  <c r="AX21" i="51"/>
  <c r="AX22" i="51"/>
  <c r="AX23" i="51"/>
  <c r="AX24" i="51"/>
  <c r="AX25" i="51"/>
  <c r="AX26" i="51"/>
  <c r="AX27" i="51"/>
  <c r="AX28" i="51"/>
  <c r="AX29" i="51"/>
  <c r="AX30" i="51"/>
  <c r="AX31" i="51"/>
  <c r="AX32" i="51"/>
  <c r="AX33" i="51"/>
  <c r="AX34" i="51"/>
  <c r="AX35" i="51"/>
  <c r="AX36" i="51"/>
  <c r="AX37" i="51"/>
  <c r="AX38" i="51"/>
  <c r="AX39" i="51"/>
  <c r="AX40" i="51"/>
  <c r="AX41" i="51"/>
  <c r="AX42" i="51"/>
  <c r="AX43" i="51"/>
  <c r="AX44" i="51"/>
  <c r="AX45" i="51"/>
  <c r="AX46" i="51"/>
  <c r="AX47" i="51"/>
  <c r="AX48" i="51"/>
  <c r="AX49" i="51"/>
  <c r="AX50" i="51"/>
  <c r="AX51" i="51"/>
  <c r="AX52" i="51"/>
  <c r="AX53" i="51"/>
  <c r="AX54" i="51"/>
  <c r="AX55" i="51"/>
  <c r="AX56" i="51"/>
  <c r="AX57" i="51"/>
  <c r="AX58" i="51"/>
  <c r="AX59" i="51"/>
  <c r="AX60" i="51"/>
  <c r="AX61" i="51"/>
  <c r="AX62" i="51"/>
  <c r="AX63" i="51"/>
  <c r="AX64" i="51"/>
  <c r="AX65" i="51"/>
  <c r="AX66" i="51"/>
  <c r="AX67" i="51"/>
  <c r="AX68" i="51"/>
  <c r="AX69" i="51"/>
  <c r="AX70" i="51"/>
  <c r="AX71" i="51"/>
  <c r="AX72" i="51"/>
  <c r="AX73" i="51"/>
  <c r="AX74" i="51"/>
  <c r="AX75" i="51"/>
  <c r="AX76" i="51"/>
  <c r="AX77" i="51"/>
  <c r="AX78" i="51"/>
  <c r="AX79" i="51"/>
  <c r="AX80" i="51"/>
  <c r="AX81" i="51"/>
  <c r="AX82" i="51"/>
  <c r="AX83" i="51"/>
  <c r="AX84" i="51"/>
  <c r="AX85" i="51"/>
  <c r="AX86" i="51"/>
  <c r="AX87" i="51"/>
  <c r="AX88" i="51"/>
  <c r="AX89" i="51"/>
  <c r="AX90" i="51"/>
  <c r="AX91" i="51"/>
  <c r="AX92" i="51"/>
  <c r="AX93" i="51"/>
  <c r="AX94" i="51"/>
  <c r="AX95" i="51"/>
  <c r="AX96" i="51"/>
  <c r="AX97" i="51"/>
  <c r="AX98" i="51"/>
  <c r="AX99" i="51"/>
  <c r="AX100" i="51"/>
  <c r="AX101" i="51"/>
  <c r="AX102" i="51"/>
  <c r="AX103" i="51"/>
  <c r="AX104" i="51"/>
  <c r="AF6" i="51"/>
  <c r="AF5" i="51"/>
  <c r="BA104" i="51"/>
  <c r="BA99" i="51"/>
  <c r="BA94" i="51"/>
  <c r="BA89" i="51"/>
  <c r="BA84" i="51"/>
  <c r="BA79" i="51"/>
  <c r="BA74" i="51"/>
  <c r="BA69" i="51"/>
  <c r="BA64" i="51"/>
  <c r="BA59" i="51"/>
  <c r="BA54" i="51"/>
  <c r="BA49" i="51"/>
  <c r="BA44" i="51"/>
  <c r="BA39" i="51"/>
  <c r="BA34" i="51"/>
  <c r="BA33" i="51"/>
  <c r="BA32" i="51"/>
  <c r="BA31" i="51"/>
  <c r="BA30" i="51"/>
  <c r="BA29" i="51"/>
  <c r="BA28" i="51"/>
  <c r="AS28" i="51"/>
  <c r="AU28" i="51"/>
  <c r="AL28" i="51"/>
  <c r="BA27" i="51"/>
  <c r="AS27" i="51"/>
  <c r="AU27" i="51"/>
  <c r="AL27" i="51"/>
  <c r="BA26" i="51"/>
  <c r="AS26" i="51"/>
  <c r="AU26" i="51"/>
  <c r="AL26" i="51"/>
  <c r="BA25" i="51"/>
  <c r="AS25" i="51"/>
  <c r="AU25" i="51"/>
  <c r="AL25" i="51"/>
  <c r="BA24" i="51"/>
  <c r="AS24" i="51"/>
  <c r="AU24" i="51"/>
  <c r="AL24" i="51"/>
  <c r="BA23" i="51"/>
  <c r="AS23" i="51"/>
  <c r="AU23" i="51"/>
  <c r="AL23" i="51"/>
  <c r="BA22" i="51"/>
  <c r="AS22" i="51"/>
  <c r="AU22" i="51"/>
  <c r="C42" i="51"/>
  <c r="E41" i="51"/>
  <c r="C5" i="51"/>
  <c r="AL5" i="51"/>
  <c r="AS5" i="51"/>
  <c r="AU5" i="51"/>
  <c r="BA5" i="51"/>
  <c r="BC5" i="51"/>
  <c r="AL6" i="51"/>
  <c r="AS6" i="51"/>
  <c r="AU6" i="51"/>
  <c r="BA6" i="51"/>
  <c r="AL7" i="51"/>
  <c r="AS7" i="51"/>
  <c r="AU7" i="51"/>
  <c r="BA7" i="51"/>
  <c r="BC7" i="51"/>
  <c r="C8" i="51"/>
  <c r="AL8" i="51"/>
  <c r="AS8" i="51"/>
  <c r="AU8" i="51"/>
  <c r="BA8" i="51"/>
  <c r="BC8" i="51"/>
  <c r="AL9" i="51"/>
  <c r="AS9" i="51"/>
  <c r="AU9" i="51"/>
  <c r="BA9" i="51"/>
  <c r="AL10" i="51"/>
  <c r="AS10" i="51"/>
  <c r="AU10" i="51"/>
  <c r="BA10" i="51"/>
  <c r="AL11" i="51"/>
  <c r="AS11" i="51"/>
  <c r="AU11" i="51"/>
  <c r="BA11" i="51"/>
  <c r="AL12" i="51"/>
  <c r="AS12" i="51"/>
  <c r="AU12" i="51"/>
  <c r="BA12" i="51"/>
  <c r="AL13" i="51"/>
  <c r="AS13" i="51"/>
  <c r="AU13" i="51"/>
  <c r="BA13" i="51"/>
  <c r="AL14" i="51"/>
  <c r="AS14" i="51"/>
  <c r="AU14" i="51"/>
  <c r="BA14" i="51"/>
  <c r="AL15" i="51"/>
  <c r="AS15" i="51"/>
  <c r="AU15" i="51"/>
  <c r="BA15" i="51"/>
  <c r="AL16" i="51"/>
  <c r="AS16" i="51"/>
  <c r="AU16" i="51"/>
  <c r="BA16" i="51"/>
  <c r="AL17" i="51"/>
  <c r="AS17" i="51"/>
  <c r="AU17" i="51"/>
  <c r="BA17" i="51"/>
  <c r="AL18" i="51"/>
  <c r="AS18" i="51"/>
  <c r="AU18" i="51"/>
  <c r="BA18" i="51"/>
  <c r="AL19" i="51"/>
  <c r="AS19" i="51"/>
  <c r="AU19" i="51"/>
  <c r="BA19" i="51"/>
  <c r="AL20" i="51"/>
  <c r="AS20" i="51"/>
  <c r="AU20" i="51"/>
  <c r="BA20" i="51"/>
  <c r="AL21" i="51"/>
  <c r="AS21" i="51"/>
  <c r="AU21" i="51"/>
  <c r="BA21" i="51"/>
  <c r="AL22" i="51"/>
  <c r="E40" i="51"/>
  <c r="BC6" i="51"/>
  <c r="BD21" i="51"/>
  <c r="BC21" i="51"/>
  <c r="BD20" i="51"/>
  <c r="BC20" i="51"/>
  <c r="BD19" i="51"/>
  <c r="BC19" i="51"/>
  <c r="BD18" i="51"/>
  <c r="BC18" i="51"/>
  <c r="BD17" i="51"/>
  <c r="BC17" i="51"/>
  <c r="BD16" i="51"/>
  <c r="BC16" i="51"/>
  <c r="BD15" i="51"/>
  <c r="BC15" i="51"/>
  <c r="BD14" i="51"/>
  <c r="BC14" i="51"/>
  <c r="BD13" i="51"/>
  <c r="BC13" i="51"/>
  <c r="BD12" i="51"/>
  <c r="BC12" i="51"/>
  <c r="BD11" i="51"/>
  <c r="BC11" i="51"/>
  <c r="BD10" i="51"/>
  <c r="BC10" i="51"/>
  <c r="BD9" i="51"/>
  <c r="BC9" i="51"/>
  <c r="C43" i="51"/>
  <c r="E42" i="51"/>
  <c r="BD22" i="51"/>
  <c r="BC22" i="51"/>
  <c r="BD23" i="51"/>
  <c r="BC23" i="51"/>
  <c r="BD24" i="51"/>
  <c r="BC24" i="51"/>
  <c r="BD25" i="51"/>
  <c r="BC25" i="51"/>
  <c r="BD26" i="51"/>
  <c r="BC26" i="51"/>
  <c r="BD27" i="51"/>
  <c r="BC27" i="51"/>
  <c r="BD28" i="51"/>
  <c r="BC28" i="51"/>
  <c r="BD29" i="51"/>
  <c r="BC29" i="51"/>
  <c r="BD30" i="51"/>
  <c r="BC30" i="51"/>
  <c r="BD31" i="51"/>
  <c r="BC31" i="51"/>
  <c r="BD32" i="51"/>
  <c r="BC32" i="51"/>
  <c r="BD33" i="51"/>
  <c r="BC33" i="51"/>
  <c r="BD34" i="51"/>
  <c r="BC34" i="51"/>
  <c r="BD39" i="51"/>
  <c r="BC39" i="51"/>
  <c r="BD44" i="51"/>
  <c r="BC44" i="51"/>
  <c r="BD49" i="51"/>
  <c r="BC49" i="51"/>
  <c r="BD54" i="51"/>
  <c r="BC54" i="51"/>
  <c r="BD59" i="51"/>
  <c r="BC59" i="51"/>
  <c r="BD64" i="51"/>
  <c r="BC64" i="51"/>
  <c r="BD69" i="51"/>
  <c r="BC69" i="51"/>
  <c r="BD74" i="51"/>
  <c r="BC74" i="51"/>
  <c r="BD79" i="51"/>
  <c r="BC79" i="51"/>
  <c r="BD84" i="51"/>
  <c r="BC84" i="51"/>
  <c r="BD89" i="51"/>
  <c r="BC89" i="51"/>
  <c r="BD94" i="51"/>
  <c r="BC94" i="51"/>
  <c r="BD99" i="51"/>
  <c r="BC99" i="51"/>
  <c r="BD104" i="51"/>
  <c r="BC104" i="51"/>
  <c r="C44" i="51"/>
  <c r="E43" i="51"/>
  <c r="C45" i="51"/>
  <c r="E44" i="51"/>
  <c r="C46" i="51"/>
  <c r="E45" i="51"/>
  <c r="C47" i="51"/>
  <c r="E46" i="51"/>
  <c r="C48" i="51"/>
  <c r="E47" i="51"/>
  <c r="C49" i="51"/>
  <c r="E48" i="51"/>
  <c r="C50" i="51"/>
  <c r="E49" i="51"/>
  <c r="C51" i="51"/>
  <c r="E50" i="51"/>
  <c r="C52" i="51"/>
  <c r="E51" i="51"/>
  <c r="C53" i="51"/>
  <c r="E52" i="51"/>
  <c r="C54" i="51"/>
  <c r="E53" i="51"/>
  <c r="C55" i="51"/>
  <c r="E54" i="51"/>
  <c r="C56" i="51"/>
  <c r="E55" i="51"/>
  <c r="C57" i="51"/>
  <c r="E56" i="51"/>
  <c r="C58" i="51"/>
  <c r="E57" i="51"/>
  <c r="C59" i="51"/>
  <c r="E58" i="51"/>
  <c r="C60" i="51"/>
  <c r="E59" i="51"/>
  <c r="C61" i="51"/>
  <c r="E60" i="51"/>
  <c r="C62" i="51"/>
  <c r="E61" i="51"/>
  <c r="C63" i="51"/>
  <c r="E62" i="51"/>
  <c r="C64" i="51"/>
  <c r="E63" i="51"/>
  <c r="C65" i="51"/>
  <c r="E64" i="51"/>
  <c r="C66" i="51"/>
  <c r="E65" i="51"/>
  <c r="C67" i="51"/>
  <c r="E66" i="51"/>
  <c r="C68" i="51"/>
  <c r="E67" i="51"/>
  <c r="C69" i="51"/>
  <c r="E68" i="51"/>
  <c r="C70" i="51"/>
  <c r="E69" i="51"/>
  <c r="C71" i="51"/>
  <c r="E70" i="51"/>
  <c r="C72" i="51"/>
  <c r="E71" i="51"/>
  <c r="C73" i="51"/>
  <c r="E72" i="51"/>
  <c r="C74" i="51"/>
  <c r="E73" i="51"/>
  <c r="C75" i="51"/>
  <c r="E74" i="51"/>
  <c r="C76" i="51"/>
  <c r="E75" i="51"/>
  <c r="C77" i="51"/>
  <c r="E76" i="51"/>
  <c r="C78" i="51"/>
  <c r="E77" i="51"/>
  <c r="C79" i="51"/>
  <c r="E78" i="51"/>
  <c r="C80" i="51"/>
  <c r="E79" i="51"/>
  <c r="C81" i="51"/>
  <c r="E80" i="51"/>
  <c r="C82" i="51"/>
  <c r="E81" i="51"/>
  <c r="C83" i="51"/>
  <c r="E82" i="51"/>
  <c r="C84" i="51"/>
  <c r="E83" i="51"/>
  <c r="C85" i="51"/>
  <c r="E84" i="51"/>
  <c r="F83" i="51"/>
  <c r="F84" i="51"/>
  <c r="F39" i="51"/>
  <c r="F40" i="51"/>
  <c r="F41" i="51"/>
  <c r="F42" i="51"/>
  <c r="F43" i="51"/>
  <c r="F44" i="51"/>
  <c r="F45" i="51"/>
  <c r="F46" i="51"/>
  <c r="F47" i="51"/>
  <c r="F48" i="51"/>
  <c r="F49" i="51"/>
  <c r="F50" i="51"/>
  <c r="F51" i="51"/>
  <c r="F52" i="51"/>
  <c r="F53" i="51"/>
  <c r="F54" i="51"/>
  <c r="F55" i="51"/>
  <c r="F56" i="51"/>
  <c r="F57" i="51"/>
  <c r="F58" i="51"/>
  <c r="F59" i="51"/>
  <c r="F60" i="51"/>
  <c r="F61" i="51"/>
  <c r="F62" i="51"/>
  <c r="F63" i="51"/>
  <c r="F64" i="51"/>
  <c r="F65" i="51"/>
  <c r="F66" i="51"/>
  <c r="F67" i="51"/>
  <c r="F68" i="51"/>
  <c r="F69" i="51"/>
  <c r="F70" i="51"/>
  <c r="F71" i="51"/>
  <c r="F72" i="51"/>
  <c r="F73" i="51"/>
  <c r="F74" i="51"/>
  <c r="F75" i="51"/>
  <c r="F76" i="51"/>
  <c r="F77" i="51"/>
  <c r="F78" i="51"/>
  <c r="F79" i="51"/>
  <c r="F80" i="51"/>
  <c r="F81" i="51"/>
  <c r="F82" i="51"/>
  <c r="C86" i="51"/>
  <c r="E85" i="51"/>
  <c r="F85" i="51"/>
  <c r="C87" i="51"/>
  <c r="E86" i="51"/>
  <c r="F86" i="51"/>
  <c r="C88" i="51"/>
  <c r="E87" i="51"/>
  <c r="F87" i="51"/>
  <c r="C89" i="51"/>
  <c r="E88" i="51"/>
  <c r="F88" i="51"/>
  <c r="C90" i="51"/>
  <c r="E89" i="51"/>
  <c r="F89" i="51"/>
  <c r="C91" i="51"/>
  <c r="E90" i="51"/>
  <c r="F90" i="51"/>
  <c r="C92" i="51"/>
  <c r="E91" i="51"/>
  <c r="F91" i="51"/>
  <c r="C93" i="51"/>
  <c r="E92" i="51"/>
  <c r="F92" i="51"/>
  <c r="C94" i="51"/>
  <c r="E93" i="51"/>
  <c r="F93" i="51"/>
  <c r="C95" i="51"/>
  <c r="E94" i="51"/>
  <c r="F94" i="51"/>
  <c r="C96" i="51"/>
  <c r="E95" i="51"/>
  <c r="F95" i="51"/>
  <c r="C97" i="51"/>
  <c r="E96" i="51"/>
  <c r="F96" i="51"/>
  <c r="C98" i="51"/>
  <c r="E97" i="51"/>
  <c r="F97" i="51"/>
  <c r="C99" i="51"/>
  <c r="E98" i="51"/>
  <c r="F98" i="51"/>
  <c r="C100" i="51"/>
  <c r="E99" i="51"/>
  <c r="F99" i="51"/>
  <c r="C101" i="51"/>
  <c r="E100" i="51"/>
  <c r="F100" i="51"/>
  <c r="C102" i="51"/>
  <c r="E101" i="51"/>
  <c r="F101" i="51"/>
  <c r="C103" i="51"/>
  <c r="E102" i="51"/>
  <c r="F102" i="51"/>
  <c r="C104" i="51"/>
  <c r="E103" i="51"/>
  <c r="F103" i="51"/>
  <c r="C105" i="51"/>
  <c r="E104" i="51"/>
  <c r="F104" i="51"/>
  <c r="C106" i="51"/>
  <c r="E105" i="51"/>
  <c r="F105" i="51"/>
  <c r="C107" i="51"/>
  <c r="E106" i="51"/>
  <c r="F106" i="51"/>
  <c r="C108" i="51"/>
  <c r="E107" i="51"/>
  <c r="F107" i="51"/>
  <c r="C109" i="51"/>
  <c r="E108" i="51"/>
  <c r="F108" i="51"/>
  <c r="C110" i="51"/>
  <c r="E109" i="51"/>
  <c r="F109" i="51"/>
  <c r="C111" i="51"/>
  <c r="E110" i="51"/>
  <c r="F110" i="51"/>
  <c r="C112" i="51"/>
  <c r="E111" i="51"/>
  <c r="F111" i="51"/>
  <c r="C113" i="51"/>
  <c r="E112" i="51"/>
  <c r="F112" i="51"/>
  <c r="C114" i="51"/>
  <c r="E113" i="51"/>
  <c r="F113" i="51"/>
  <c r="C115" i="51"/>
  <c r="E114" i="51"/>
  <c r="F114" i="51"/>
  <c r="C116" i="51"/>
  <c r="E115" i="51"/>
  <c r="F115" i="51"/>
  <c r="C117" i="51"/>
  <c r="E116" i="51"/>
  <c r="F116" i="51"/>
  <c r="C118" i="51"/>
  <c r="E117" i="51"/>
  <c r="F117" i="51"/>
  <c r="C119" i="51"/>
  <c r="E118" i="51"/>
  <c r="F118" i="51"/>
  <c r="C120" i="51"/>
  <c r="E119" i="51"/>
  <c r="F119" i="51"/>
  <c r="C121" i="51"/>
  <c r="E120" i="51"/>
  <c r="F120" i="51"/>
  <c r="C122" i="51"/>
  <c r="E121" i="51"/>
  <c r="F121" i="51"/>
  <c r="C123" i="51"/>
  <c r="E122" i="51"/>
  <c r="F122" i="51"/>
  <c r="C124" i="51"/>
  <c r="E123" i="51"/>
  <c r="F123" i="51"/>
  <c r="C125" i="51"/>
  <c r="E124" i="51"/>
  <c r="F124" i="51"/>
  <c r="C126" i="51"/>
  <c r="E125" i="51"/>
  <c r="F125" i="51"/>
  <c r="C127" i="51"/>
  <c r="E126" i="51"/>
  <c r="F126" i="51"/>
  <c r="C128" i="51"/>
  <c r="E127" i="51"/>
  <c r="F127" i="51"/>
  <c r="C129" i="51"/>
  <c r="E128" i="51"/>
  <c r="F128" i="51"/>
  <c r="C130" i="51"/>
  <c r="E129" i="51"/>
  <c r="F129" i="51"/>
  <c r="C131" i="51"/>
  <c r="E130" i="51"/>
  <c r="F130" i="51"/>
  <c r="C132" i="51"/>
  <c r="E131" i="51"/>
  <c r="F131" i="51"/>
  <c r="C133" i="51"/>
  <c r="E132" i="51"/>
  <c r="F132" i="51"/>
  <c r="C134" i="51"/>
  <c r="E134" i="51"/>
  <c r="F134" i="51"/>
  <c r="E133" i="51"/>
  <c r="F133" i="51"/>
  <c r="Q13" i="39"/>
  <c r="Q14" i="39"/>
  <c r="C16" i="49"/>
  <c r="E61" i="50"/>
  <c r="B4" i="44"/>
  <c r="BC4" i="44"/>
  <c r="D6" i="44"/>
  <c r="BD21" i="44"/>
  <c r="E186" i="43"/>
  <c r="BE6" i="44"/>
  <c r="C21" i="44"/>
  <c r="D21" i="44"/>
  <c r="I23" i="50"/>
  <c r="H25" i="50"/>
  <c r="N76" i="49"/>
  <c r="H21" i="50"/>
  <c r="N72" i="49"/>
  <c r="H20" i="50"/>
  <c r="N71" i="49"/>
  <c r="N50" i="49"/>
  <c r="N51" i="49"/>
  <c r="N55" i="49"/>
  <c r="M99" i="43"/>
  <c r="K99" i="43"/>
  <c r="J99" i="43"/>
  <c r="I99" i="43"/>
  <c r="M98" i="43"/>
  <c r="K98" i="43"/>
  <c r="J98" i="43"/>
  <c r="I98" i="43"/>
  <c r="M97" i="43"/>
  <c r="K97" i="43"/>
  <c r="J97" i="43"/>
  <c r="I97" i="43"/>
  <c r="M96" i="43"/>
  <c r="K96" i="43"/>
  <c r="J96" i="43"/>
  <c r="I96" i="43"/>
  <c r="M95" i="43"/>
  <c r="K95" i="43"/>
  <c r="J95" i="43"/>
  <c r="I95" i="43"/>
  <c r="M94" i="43"/>
  <c r="K94" i="43"/>
  <c r="J94" i="43"/>
  <c r="I94" i="43"/>
  <c r="M93" i="43"/>
  <c r="K93" i="43"/>
  <c r="J93" i="43"/>
  <c r="I93" i="43"/>
  <c r="M89" i="43"/>
  <c r="K89" i="43"/>
  <c r="J89" i="43"/>
  <c r="I89" i="43"/>
  <c r="M88" i="43"/>
  <c r="K88" i="43"/>
  <c r="J88" i="43"/>
  <c r="I88" i="43"/>
  <c r="M87" i="43"/>
  <c r="K87" i="43"/>
  <c r="J87" i="43"/>
  <c r="I87" i="43"/>
  <c r="M86" i="43"/>
  <c r="K86" i="43"/>
  <c r="J86" i="43"/>
  <c r="I86" i="43"/>
  <c r="M83" i="43"/>
  <c r="L83" i="43"/>
  <c r="K83" i="43"/>
  <c r="M82" i="43"/>
  <c r="L82" i="43"/>
  <c r="K82" i="43"/>
  <c r="M81" i="43"/>
  <c r="L81" i="43"/>
  <c r="K81" i="43"/>
  <c r="M80" i="43"/>
  <c r="L80" i="43"/>
  <c r="K80" i="43"/>
  <c r="M79" i="43"/>
  <c r="L79" i="43"/>
  <c r="K79" i="43"/>
  <c r="M74" i="43"/>
  <c r="L74" i="43"/>
  <c r="K74" i="43"/>
  <c r="J74" i="43"/>
  <c r="I74" i="43"/>
  <c r="M73" i="43"/>
  <c r="I73" i="43"/>
  <c r="M72" i="43"/>
  <c r="I72" i="43"/>
  <c r="M71" i="43"/>
  <c r="I71" i="43"/>
  <c r="M70" i="43"/>
  <c r="J70" i="43"/>
  <c r="M67" i="43"/>
  <c r="I67" i="43"/>
  <c r="M66" i="43"/>
  <c r="J66" i="43"/>
  <c r="M65" i="43"/>
  <c r="I65" i="43"/>
  <c r="M64" i="43"/>
  <c r="L64" i="43"/>
  <c r="K64" i="43"/>
  <c r="M63" i="43"/>
  <c r="J63" i="43"/>
  <c r="M62" i="43"/>
  <c r="J62" i="43"/>
  <c r="M61" i="43"/>
  <c r="J61" i="43"/>
  <c r="M56" i="43"/>
  <c r="J56" i="43"/>
  <c r="M55" i="43"/>
  <c r="I55" i="43"/>
  <c r="M54" i="43"/>
  <c r="I54" i="43"/>
  <c r="M53" i="43"/>
  <c r="J53" i="43"/>
  <c r="I53" i="43"/>
  <c r="M52" i="43"/>
  <c r="J52" i="43"/>
  <c r="M51" i="43"/>
  <c r="J51" i="43"/>
  <c r="M50" i="43"/>
  <c r="J50" i="43"/>
  <c r="M49" i="43"/>
  <c r="I49" i="43"/>
  <c r="M48" i="43"/>
  <c r="I48" i="43"/>
  <c r="M47" i="43"/>
  <c r="J47" i="43"/>
  <c r="M46" i="43"/>
  <c r="I46" i="43"/>
  <c r="M45" i="43"/>
  <c r="L45" i="43"/>
  <c r="K45" i="43"/>
  <c r="M44" i="43"/>
  <c r="J44" i="43"/>
  <c r="M43" i="43"/>
  <c r="J43" i="43"/>
  <c r="M42" i="43"/>
  <c r="I42" i="43"/>
  <c r="M41" i="43"/>
  <c r="J41" i="43"/>
  <c r="M40" i="43"/>
  <c r="J40" i="43"/>
  <c r="M39" i="43"/>
  <c r="J39" i="43"/>
  <c r="M35" i="43"/>
  <c r="J35" i="43"/>
  <c r="M34" i="43"/>
  <c r="I34" i="43"/>
  <c r="M33" i="43"/>
  <c r="I33" i="43"/>
  <c r="M32" i="43"/>
  <c r="J32" i="43"/>
  <c r="I32" i="43"/>
  <c r="M31" i="43"/>
  <c r="J31" i="43"/>
  <c r="M30" i="43"/>
  <c r="J30" i="43"/>
  <c r="M29" i="43"/>
  <c r="J29" i="43"/>
  <c r="M28" i="43"/>
  <c r="I28" i="43"/>
  <c r="M27" i="43"/>
  <c r="I27" i="43"/>
  <c r="M26" i="43"/>
  <c r="J26" i="43"/>
  <c r="M25" i="43"/>
  <c r="I25" i="43"/>
  <c r="M24" i="43"/>
  <c r="L24" i="43"/>
  <c r="K24" i="43"/>
  <c r="M23" i="43"/>
  <c r="J23" i="43"/>
  <c r="M22" i="43"/>
  <c r="J22" i="43"/>
  <c r="M21" i="43"/>
  <c r="I21" i="43"/>
  <c r="M20" i="43"/>
  <c r="J20" i="43"/>
  <c r="M19" i="43"/>
  <c r="J19" i="43"/>
  <c r="M18" i="43"/>
  <c r="J18" i="43"/>
  <c r="M14" i="43"/>
  <c r="J14" i="43"/>
  <c r="M13" i="43"/>
  <c r="J13" i="43"/>
  <c r="M12" i="43"/>
  <c r="J12" i="43"/>
  <c r="M11" i="43"/>
  <c r="J11" i="43"/>
  <c r="M10" i="43"/>
  <c r="J10" i="43"/>
  <c r="M9" i="43"/>
  <c r="J9" i="43"/>
  <c r="M8" i="43"/>
  <c r="J8" i="43"/>
  <c r="M7" i="43"/>
  <c r="L7" i="43"/>
  <c r="K7" i="43"/>
  <c r="J7" i="43"/>
  <c r="I7" i="43"/>
  <c r="L6" i="43"/>
  <c r="J6" i="43"/>
  <c r="M5" i="43"/>
  <c r="J5" i="43"/>
  <c r="M4" i="43"/>
  <c r="J4" i="43"/>
  <c r="M3" i="43"/>
  <c r="J3" i="43"/>
  <c r="P6" i="43"/>
  <c r="C228" i="49"/>
  <c r="C325" i="43"/>
  <c r="B199" i="44"/>
  <c r="BC200" i="44"/>
  <c r="C75" i="50"/>
  <c r="E38" i="49"/>
  <c r="C229" i="49"/>
  <c r="BH125" i="53"/>
  <c r="BH124" i="53"/>
  <c r="BH123" i="53"/>
  <c r="BH122" i="53"/>
  <c r="BH121" i="53"/>
  <c r="BH118" i="53"/>
  <c r="BH117" i="53"/>
  <c r="BH116" i="53"/>
  <c r="BH115" i="53"/>
  <c r="BH114" i="53"/>
  <c r="BH113" i="53"/>
  <c r="BH110" i="53"/>
  <c r="BH109" i="53"/>
  <c r="BH101" i="53"/>
  <c r="BH100" i="53"/>
  <c r="BH99" i="53"/>
  <c r="BH98" i="53"/>
  <c r="BH97" i="53"/>
  <c r="BH96" i="53"/>
  <c r="BH95" i="53"/>
  <c r="BH90" i="53"/>
  <c r="BH89" i="53"/>
  <c r="BH88" i="53"/>
  <c r="BH87" i="53"/>
  <c r="BH84" i="53"/>
  <c r="BH83" i="53"/>
  <c r="BH82" i="53"/>
  <c r="BH81" i="53"/>
  <c r="BH80" i="53"/>
  <c r="BH74" i="53"/>
  <c r="BH73" i="53"/>
  <c r="BH72" i="53"/>
  <c r="BH71" i="53"/>
  <c r="BH68" i="53"/>
  <c r="BH67" i="53"/>
  <c r="BH66" i="53"/>
  <c r="BH65" i="53"/>
  <c r="BH64" i="53"/>
  <c r="BH63" i="53"/>
  <c r="BH62" i="53"/>
  <c r="BH57" i="53"/>
  <c r="BH56" i="53"/>
  <c r="BH55" i="53"/>
  <c r="BH54" i="53"/>
  <c r="BH53" i="53"/>
  <c r="BH52" i="53"/>
  <c r="BH51" i="53"/>
  <c r="BH50" i="53"/>
  <c r="BH49" i="53"/>
  <c r="BH48" i="53"/>
  <c r="BH47" i="53"/>
  <c r="BH46" i="53"/>
  <c r="BH45" i="53"/>
  <c r="BH44" i="53"/>
  <c r="BH43" i="53"/>
  <c r="BH42" i="53"/>
  <c r="BH41" i="53"/>
  <c r="BH35" i="53"/>
  <c r="BH34" i="53"/>
  <c r="BH33" i="53"/>
  <c r="BH32" i="53"/>
  <c r="BH29" i="53"/>
  <c r="BH28" i="53"/>
  <c r="BH26" i="53"/>
  <c r="BH25" i="53"/>
  <c r="BH24" i="53"/>
  <c r="BH23" i="53"/>
  <c r="BH22" i="53"/>
  <c r="BH21" i="53"/>
  <c r="BH20" i="53"/>
  <c r="BH19" i="53"/>
  <c r="BH15" i="53"/>
  <c r="BH14" i="53"/>
  <c r="BH13" i="53"/>
  <c r="BH12" i="53"/>
  <c r="BH11" i="53"/>
  <c r="BH10" i="53"/>
  <c r="BH9" i="53"/>
  <c r="BH7" i="53"/>
  <c r="BH6" i="53"/>
  <c r="BH5" i="53"/>
  <c r="BH4" i="53"/>
  <c r="AT40" i="53"/>
  <c r="F98" i="53"/>
  <c r="F99" i="53"/>
  <c r="F100" i="53"/>
  <c r="F101" i="53"/>
  <c r="F97" i="53"/>
  <c r="F96" i="53"/>
  <c r="F64" i="53"/>
  <c r="F63" i="53"/>
  <c r="F41" i="53"/>
  <c r="F21" i="53"/>
  <c r="F42" i="53"/>
  <c r="F19" i="53"/>
  <c r="F40" i="53"/>
  <c r="E56" i="53"/>
  <c r="E55" i="53"/>
  <c r="E54" i="53"/>
  <c r="E53" i="53"/>
  <c r="E52" i="53"/>
  <c r="E51" i="53"/>
  <c r="E50" i="53"/>
  <c r="E49" i="53"/>
  <c r="E47" i="53"/>
  <c r="E46" i="53"/>
  <c r="E45" i="53"/>
  <c r="E23" i="53"/>
  <c r="E44" i="53"/>
  <c r="E22" i="53"/>
  <c r="E43" i="53"/>
  <c r="E21" i="53"/>
  <c r="E42" i="53"/>
  <c r="E20" i="53"/>
  <c r="E41" i="53"/>
  <c r="E19" i="53"/>
  <c r="E40" i="53"/>
  <c r="E15" i="53"/>
  <c r="E14" i="53"/>
  <c r="BH40" i="53"/>
  <c r="F22" i="53"/>
  <c r="F43" i="53"/>
  <c r="F23" i="53"/>
  <c r="E329" i="43"/>
  <c r="C203" i="44"/>
  <c r="BD204" i="44"/>
  <c r="F44" i="53"/>
  <c r="F24" i="53"/>
  <c r="C230" i="49"/>
  <c r="C227" i="49"/>
  <c r="K16" i="50"/>
  <c r="M16" i="50"/>
  <c r="N16" i="50"/>
  <c r="C16" i="50"/>
  <c r="F65" i="53"/>
  <c r="F45" i="53"/>
  <c r="F25" i="53"/>
  <c r="M23" i="50"/>
  <c r="L23" i="50"/>
  <c r="L24" i="50"/>
  <c r="L25" i="50"/>
  <c r="F66" i="53"/>
  <c r="F46" i="53"/>
  <c r="F47" i="53"/>
  <c r="F26" i="53"/>
  <c r="H23" i="50"/>
  <c r="L26" i="50"/>
  <c r="N74" i="49"/>
  <c r="N53" i="49"/>
  <c r="C327" i="43"/>
  <c r="B201" i="44"/>
  <c r="BC202" i="44"/>
  <c r="F338" i="43"/>
  <c r="D212" i="44"/>
  <c r="BE213" i="44"/>
  <c r="F337" i="43"/>
  <c r="D211" i="44"/>
  <c r="BE212" i="44"/>
  <c r="F336" i="43"/>
  <c r="D210" i="44"/>
  <c r="BE211" i="44"/>
  <c r="F335" i="43"/>
  <c r="D209" i="44"/>
  <c r="BE210" i="44"/>
  <c r="F334" i="43"/>
  <c r="D208" i="44"/>
  <c r="BE209" i="44"/>
  <c r="C341" i="43"/>
  <c r="B215" i="44"/>
  <c r="BC216" i="44"/>
  <c r="C340" i="43"/>
  <c r="B214" i="44"/>
  <c r="BC215" i="44"/>
  <c r="C339" i="43"/>
  <c r="B213" i="44"/>
  <c r="BC214" i="44"/>
  <c r="C338" i="43"/>
  <c r="B212" i="44"/>
  <c r="BC213" i="44"/>
  <c r="C337" i="43"/>
  <c r="B211" i="44"/>
  <c r="BC212" i="44"/>
  <c r="C336" i="43"/>
  <c r="B210" i="44"/>
  <c r="BC211" i="44"/>
  <c r="C335" i="43"/>
  <c r="B209" i="44"/>
  <c r="BC210" i="44"/>
  <c r="C334" i="43"/>
  <c r="B208" i="44"/>
  <c r="BC209" i="44"/>
  <c r="C77" i="50"/>
  <c r="D69" i="50"/>
  <c r="A39" i="44"/>
  <c r="A1" i="44"/>
  <c r="BB1" i="44"/>
  <c r="B15" i="44"/>
  <c r="BC15" i="44"/>
  <c r="A11" i="44"/>
  <c r="A10" i="44"/>
  <c r="B5" i="44"/>
  <c r="BC5" i="44"/>
  <c r="K133" i="43"/>
  <c r="D133" i="43"/>
  <c r="C176" i="44"/>
  <c r="BD177" i="44"/>
  <c r="C231" i="49"/>
  <c r="L133" i="43"/>
  <c r="N264" i="43"/>
  <c r="M264" i="43"/>
  <c r="N263" i="43"/>
  <c r="M263" i="43"/>
  <c r="N262" i="43"/>
  <c r="M262" i="43"/>
  <c r="N261" i="43"/>
  <c r="M261" i="43"/>
  <c r="N260" i="43"/>
  <c r="M260" i="43"/>
  <c r="N259" i="43"/>
  <c r="M259" i="43"/>
  <c r="N258" i="43"/>
  <c r="M258" i="43"/>
  <c r="N257" i="43"/>
  <c r="M257" i="43"/>
  <c r="N256" i="43"/>
  <c r="M256" i="43"/>
  <c r="N255" i="43"/>
  <c r="M255" i="43"/>
  <c r="N254" i="43"/>
  <c r="M254" i="43"/>
  <c r="N253" i="43"/>
  <c r="M253" i="43"/>
  <c r="N252" i="43"/>
  <c r="M252" i="43"/>
  <c r="N251" i="43"/>
  <c r="M251" i="43"/>
  <c r="N250" i="43"/>
  <c r="M250" i="43"/>
  <c r="N249" i="43"/>
  <c r="M249" i="43"/>
  <c r="N248" i="43"/>
  <c r="M248" i="43"/>
  <c r="N247" i="43"/>
  <c r="M247" i="43"/>
  <c r="N246" i="43"/>
  <c r="M246" i="43"/>
  <c r="N245" i="43"/>
  <c r="M245" i="43"/>
  <c r="I264" i="43"/>
  <c r="H264" i="43"/>
  <c r="I263" i="43"/>
  <c r="H263" i="43"/>
  <c r="I262" i="43"/>
  <c r="H262" i="43"/>
  <c r="I261" i="43"/>
  <c r="H261" i="43"/>
  <c r="I260" i="43"/>
  <c r="H260" i="43"/>
  <c r="I259" i="43"/>
  <c r="H259" i="43"/>
  <c r="I258" i="43"/>
  <c r="H258" i="43"/>
  <c r="I257" i="43"/>
  <c r="H257" i="43"/>
  <c r="I256" i="43"/>
  <c r="H256" i="43"/>
  <c r="I255" i="43"/>
  <c r="H255" i="43"/>
  <c r="I254" i="43"/>
  <c r="H254" i="43"/>
  <c r="I253" i="43"/>
  <c r="H253" i="43"/>
  <c r="I252" i="43"/>
  <c r="H252" i="43"/>
  <c r="I251" i="43"/>
  <c r="H251" i="43"/>
  <c r="I250" i="43"/>
  <c r="H250" i="43"/>
  <c r="I249" i="43"/>
  <c r="H249" i="43"/>
  <c r="I248" i="43"/>
  <c r="H248" i="43"/>
  <c r="I247" i="43"/>
  <c r="H247" i="43"/>
  <c r="I246" i="43"/>
  <c r="H246" i="43"/>
  <c r="I245" i="43"/>
  <c r="H245" i="43"/>
  <c r="D264" i="43"/>
  <c r="C264" i="43"/>
  <c r="D263" i="43"/>
  <c r="C263" i="43"/>
  <c r="D262" i="43"/>
  <c r="C262" i="43"/>
  <c r="D261" i="43"/>
  <c r="C261" i="43"/>
  <c r="D260" i="43"/>
  <c r="C260" i="43"/>
  <c r="D259" i="43"/>
  <c r="C259" i="43"/>
  <c r="D258" i="43"/>
  <c r="C258" i="43"/>
  <c r="D257" i="43"/>
  <c r="C257" i="43"/>
  <c r="D256" i="43"/>
  <c r="C256" i="43"/>
  <c r="D255" i="43"/>
  <c r="C255" i="43"/>
  <c r="D254" i="43"/>
  <c r="C254" i="43"/>
  <c r="D253" i="43"/>
  <c r="C253" i="43"/>
  <c r="D252" i="43"/>
  <c r="C252" i="43"/>
  <c r="D251" i="43"/>
  <c r="C251" i="43"/>
  <c r="D250" i="43"/>
  <c r="C250" i="43"/>
  <c r="C320" i="43"/>
  <c r="B194" i="44"/>
  <c r="BC195" i="44"/>
  <c r="C319" i="43"/>
  <c r="B193" i="44"/>
  <c r="BC194" i="44"/>
  <c r="C318" i="43"/>
  <c r="B192" i="44"/>
  <c r="BC193" i="44"/>
  <c r="C315" i="43"/>
  <c r="B189" i="44"/>
  <c r="BC190" i="44"/>
  <c r="C313" i="43"/>
  <c r="B187" i="44"/>
  <c r="BC188" i="44"/>
  <c r="C310" i="43"/>
  <c r="B184" i="44"/>
  <c r="BC185" i="44"/>
  <c r="C308" i="43"/>
  <c r="B182" i="44"/>
  <c r="BC183" i="44"/>
  <c r="C217" i="49"/>
  <c r="C215" i="49"/>
  <c r="B172" i="20"/>
  <c r="C314" i="43"/>
  <c r="B188" i="44"/>
  <c r="BC189" i="44"/>
  <c r="B170" i="20"/>
  <c r="C312" i="43"/>
  <c r="B186" i="44"/>
  <c r="BC187" i="44"/>
  <c r="A35" i="44"/>
  <c r="C38" i="7"/>
  <c r="C40" i="7"/>
  <c r="B12" i="44"/>
  <c r="BC12" i="44"/>
  <c r="B11" i="44"/>
  <c r="BC11" i="44"/>
  <c r="B10" i="44"/>
  <c r="BC10" i="44"/>
  <c r="B9" i="44"/>
  <c r="B8" i="44"/>
  <c r="BC8" i="44"/>
  <c r="B6" i="44"/>
  <c r="BC6" i="44"/>
  <c r="B3" i="44"/>
  <c r="BC3" i="44"/>
  <c r="N62" i="49"/>
  <c r="C123" i="43"/>
  <c r="B166" i="44"/>
  <c r="BC167" i="44"/>
  <c r="C122" i="43"/>
  <c r="B165" i="44"/>
  <c r="BC166" i="44"/>
  <c r="C121" i="43"/>
  <c r="B164" i="44"/>
  <c r="BC165" i="44"/>
  <c r="C120" i="43"/>
  <c r="B163" i="44"/>
  <c r="BC164" i="44"/>
  <c r="C116" i="43"/>
  <c r="B159" i="44"/>
  <c r="BC160" i="44"/>
  <c r="C115" i="43"/>
  <c r="B158" i="44"/>
  <c r="BC159" i="44"/>
  <c r="C114" i="43"/>
  <c r="B157" i="44"/>
  <c r="BC158" i="44"/>
  <c r="C113" i="43"/>
  <c r="B156" i="44"/>
  <c r="BC157" i="44"/>
  <c r="C112" i="43"/>
  <c r="B155" i="44"/>
  <c r="BC156" i="44"/>
  <c r="BC9" i="44"/>
  <c r="BB149" i="44"/>
  <c r="BB136" i="44"/>
  <c r="BB130" i="44"/>
  <c r="BB122" i="44"/>
  <c r="A120" i="44"/>
  <c r="A148" i="44"/>
  <c r="A135" i="44"/>
  <c r="A128" i="44"/>
  <c r="C5" i="55"/>
  <c r="D5" i="55"/>
  <c r="D4" i="55"/>
  <c r="D6" i="55"/>
  <c r="D7" i="55"/>
  <c r="F1" i="52"/>
  <c r="O72" i="49"/>
  <c r="D300" i="43"/>
  <c r="C309" i="43"/>
  <c r="B183" i="44"/>
  <c r="BC184" i="44"/>
  <c r="C316" i="43"/>
  <c r="B190" i="44"/>
  <c r="BC191" i="44"/>
  <c r="D130" i="43"/>
  <c r="C173" i="44"/>
  <c r="BD174" i="44"/>
  <c r="E313" i="43"/>
  <c r="C187" i="44"/>
  <c r="D131" i="43"/>
  <c r="C174" i="44"/>
  <c r="BD175" i="44"/>
  <c r="E314" i="43"/>
  <c r="C188" i="44"/>
  <c r="D129" i="43"/>
  <c r="C172" i="44"/>
  <c r="BD173" i="44"/>
  <c r="E308" i="43"/>
  <c r="C182" i="44"/>
  <c r="BD183" i="44"/>
  <c r="D132" i="43"/>
  <c r="C175" i="44"/>
  <c r="BD176" i="44"/>
  <c r="E322" i="43"/>
  <c r="C196" i="44"/>
  <c r="BD197" i="44"/>
  <c r="C329" i="43"/>
  <c r="B203" i="44"/>
  <c r="BC204" i="44"/>
  <c r="C324" i="43"/>
  <c r="B198" i="44"/>
  <c r="BC199" i="44"/>
  <c r="C37" i="7"/>
  <c r="D63" i="7"/>
  <c r="D62" i="7"/>
  <c r="D61" i="7"/>
  <c r="D60" i="7"/>
  <c r="D59" i="7"/>
  <c r="D58" i="7"/>
  <c r="D57" i="7"/>
  <c r="D56" i="7"/>
  <c r="D55" i="7"/>
  <c r="D54" i="7"/>
  <c r="D53" i="7"/>
  <c r="D52" i="7"/>
  <c r="D51" i="7"/>
  <c r="D50" i="7"/>
  <c r="D49" i="7"/>
  <c r="D48" i="7"/>
  <c r="D47" i="7"/>
  <c r="D46" i="7"/>
  <c r="D45" i="7"/>
  <c r="D44" i="7"/>
  <c r="N133" i="43"/>
  <c r="G133" i="43"/>
  <c r="C291" i="43"/>
  <c r="D291" i="43"/>
  <c r="C292" i="43"/>
  <c r="D292" i="43"/>
  <c r="C293" i="43"/>
  <c r="D293" i="43"/>
  <c r="C294" i="43"/>
  <c r="D294" i="43"/>
  <c r="C295" i="43"/>
  <c r="D295" i="43"/>
  <c r="C296" i="43"/>
  <c r="D296" i="43"/>
  <c r="C297" i="43"/>
  <c r="D297" i="43"/>
  <c r="C298" i="43"/>
  <c r="D298" i="43"/>
  <c r="C299" i="43"/>
  <c r="D299" i="43"/>
  <c r="C300" i="43"/>
  <c r="D8" i="55"/>
  <c r="C9" i="55"/>
  <c r="F41" i="52"/>
  <c r="F32" i="52"/>
  <c r="F7" i="52"/>
  <c r="F14" i="52"/>
  <c r="F23" i="52"/>
  <c r="K34" i="52"/>
  <c r="D8" i="54"/>
  <c r="C9" i="54"/>
  <c r="C133" i="43"/>
  <c r="F133" i="43"/>
  <c r="D16" i="44"/>
  <c r="BE16" i="44"/>
  <c r="C328" i="43"/>
  <c r="B202" i="44"/>
  <c r="BC203" i="44"/>
  <c r="C326" i="43"/>
  <c r="B200" i="44"/>
  <c r="BC201" i="44"/>
  <c r="O133" i="43"/>
  <c r="I133" i="43"/>
  <c r="B176" i="44"/>
  <c r="BC177" i="44"/>
  <c r="AF99" i="52"/>
  <c r="Z99" i="52"/>
  <c r="T99" i="52"/>
  <c r="N99" i="52"/>
  <c r="I99" i="52"/>
  <c r="F42" i="52"/>
  <c r="F24" i="52"/>
  <c r="F15" i="52"/>
  <c r="AT46" i="49"/>
  <c r="AT45" i="49"/>
  <c r="AT44" i="49"/>
  <c r="AT43" i="49"/>
  <c r="AT42" i="49"/>
  <c r="AT41" i="49"/>
  <c r="AT40" i="49"/>
  <c r="AT38" i="49"/>
  <c r="AT37" i="49"/>
  <c r="AT36" i="49"/>
  <c r="AT35" i="49"/>
  <c r="AS105" i="49"/>
  <c r="AS104" i="49"/>
  <c r="AS103" i="49"/>
  <c r="AT102" i="49"/>
  <c r="AS99" i="49"/>
  <c r="AT98" i="49"/>
  <c r="AS97" i="49"/>
  <c r="AT95" i="49"/>
  <c r="AT94" i="49"/>
  <c r="AT93" i="49"/>
  <c r="AT88" i="49"/>
  <c r="AS87" i="49"/>
  <c r="AS86" i="49"/>
  <c r="AT85" i="49"/>
  <c r="AS85" i="49"/>
  <c r="AT84" i="49"/>
  <c r="AT83" i="49"/>
  <c r="AT82" i="49"/>
  <c r="AS81" i="49"/>
  <c r="AS80" i="49"/>
  <c r="AT79" i="49"/>
  <c r="AS78" i="49"/>
  <c r="AT76" i="49"/>
  <c r="AT75" i="49"/>
  <c r="AS74" i="49"/>
  <c r="AT73" i="49"/>
  <c r="AT72" i="49"/>
  <c r="AT71" i="49"/>
  <c r="AT67" i="49"/>
  <c r="AS66" i="49"/>
  <c r="AS65" i="49"/>
  <c r="AT64" i="49"/>
  <c r="AS64" i="49"/>
  <c r="AT63" i="49"/>
  <c r="AT62" i="49"/>
  <c r="AT61" i="49"/>
  <c r="AS60" i="49"/>
  <c r="AS59" i="49"/>
  <c r="AT58" i="49"/>
  <c r="AS57" i="49"/>
  <c r="AT55" i="49"/>
  <c r="AT54" i="49"/>
  <c r="AS53" i="49"/>
  <c r="AT52" i="49"/>
  <c r="AT51" i="49"/>
  <c r="AT50" i="49"/>
  <c r="N7" i="43"/>
  <c r="AO46" i="49"/>
  <c r="K14" i="43"/>
  <c r="AO45" i="49"/>
  <c r="K13" i="43"/>
  <c r="AO44" i="49"/>
  <c r="K12" i="43"/>
  <c r="AO43" i="49"/>
  <c r="K11" i="43"/>
  <c r="AO42" i="49"/>
  <c r="K10" i="43"/>
  <c r="AO41" i="49"/>
  <c r="K9" i="43"/>
  <c r="AO40" i="49"/>
  <c r="K8" i="43"/>
  <c r="AO38" i="49"/>
  <c r="K6" i="43"/>
  <c r="AO37" i="49"/>
  <c r="K5" i="43"/>
  <c r="AO36" i="49"/>
  <c r="K4" i="43"/>
  <c r="AO35" i="49"/>
  <c r="K3" i="43"/>
  <c r="H7" i="43"/>
  <c r="D46" i="43"/>
  <c r="C89" i="44"/>
  <c r="BD91" i="44"/>
  <c r="C96" i="50"/>
  <c r="C94" i="50"/>
  <c r="J88" i="50"/>
  <c r="J89" i="50"/>
  <c r="H89" i="50"/>
  <c r="G89" i="50"/>
  <c r="F89" i="50"/>
  <c r="E89" i="50"/>
  <c r="D89" i="50"/>
  <c r="C89" i="50"/>
  <c r="F33" i="52"/>
  <c r="F8" i="52"/>
  <c r="Q122" i="52"/>
  <c r="F16" i="52"/>
  <c r="F18" i="52"/>
  <c r="F19" i="52"/>
  <c r="W147" i="52"/>
  <c r="AI197" i="52"/>
  <c r="F43" i="52"/>
  <c r="F45" i="52"/>
  <c r="F46" i="52"/>
  <c r="K88" i="50"/>
  <c r="AI195" i="52"/>
  <c r="AI196" i="52"/>
  <c r="AI194" i="52"/>
  <c r="AI193" i="52"/>
  <c r="AI192" i="52"/>
  <c r="AI191" i="52"/>
  <c r="AI190" i="52"/>
  <c r="AI189" i="52"/>
  <c r="AI188" i="52"/>
  <c r="AI187" i="52"/>
  <c r="AI186" i="52"/>
  <c r="AI185" i="52"/>
  <c r="AI184" i="52"/>
  <c r="AI183" i="52"/>
  <c r="AI182" i="52"/>
  <c r="AI181" i="52"/>
  <c r="AI180" i="52"/>
  <c r="AI179" i="52"/>
  <c r="AI178" i="52"/>
  <c r="AI177" i="52"/>
  <c r="AI176" i="52"/>
  <c r="AI175" i="52"/>
  <c r="AI174" i="52"/>
  <c r="AI173" i="52"/>
  <c r="AI172" i="52"/>
  <c r="AI171" i="52"/>
  <c r="AI170" i="52"/>
  <c r="AI169" i="52"/>
  <c r="AI168" i="52"/>
  <c r="AI167" i="52"/>
  <c r="AI166" i="52"/>
  <c r="AI165" i="52"/>
  <c r="AI164" i="52"/>
  <c r="AI163" i="52"/>
  <c r="AI162" i="52"/>
  <c r="AI161" i="52"/>
  <c r="AI160" i="52"/>
  <c r="AI159" i="52"/>
  <c r="AI158" i="52"/>
  <c r="AI157" i="52"/>
  <c r="AI156" i="52"/>
  <c r="AI155" i="52"/>
  <c r="AI154" i="52"/>
  <c r="AI153" i="52"/>
  <c r="AI152" i="52"/>
  <c r="AI151" i="52"/>
  <c r="AI150" i="52"/>
  <c r="AI149" i="52"/>
  <c r="AI148" i="52"/>
  <c r="AI147" i="52"/>
  <c r="AI146" i="52"/>
  <c r="AI145" i="52"/>
  <c r="AI144" i="52"/>
  <c r="AI143" i="52"/>
  <c r="AI142" i="52"/>
  <c r="AI141" i="52"/>
  <c r="AI140" i="52"/>
  <c r="AI139" i="52"/>
  <c r="AI138" i="52"/>
  <c r="AI137" i="52"/>
  <c r="AI136" i="52"/>
  <c r="AI135" i="52"/>
  <c r="AI134" i="52"/>
  <c r="AI133" i="52"/>
  <c r="AI132" i="52"/>
  <c r="AI131" i="52"/>
  <c r="AI130" i="52"/>
  <c r="AI129" i="52"/>
  <c r="AI128" i="52"/>
  <c r="AI127" i="52"/>
  <c r="AI126" i="52"/>
  <c r="AI125" i="52"/>
  <c r="AI124" i="52"/>
  <c r="AI123" i="52"/>
  <c r="AI122" i="52"/>
  <c r="AI121" i="52"/>
  <c r="AI120" i="52"/>
  <c r="AI119" i="52"/>
  <c r="AI118" i="52"/>
  <c r="AI117" i="52"/>
  <c r="AI116" i="52"/>
  <c r="AI115" i="52"/>
  <c r="AI114" i="52"/>
  <c r="AI113" i="52"/>
  <c r="AI112" i="52"/>
  <c r="AI111" i="52"/>
  <c r="AI110" i="52"/>
  <c r="AI109" i="52"/>
  <c r="AI108" i="52"/>
  <c r="AI107" i="52"/>
  <c r="AI106" i="52"/>
  <c r="AI105" i="52"/>
  <c r="AI104" i="52"/>
  <c r="AI103" i="52"/>
  <c r="AI102" i="52"/>
  <c r="W146" i="52"/>
  <c r="W148" i="52"/>
  <c r="W145" i="52"/>
  <c r="W144" i="52"/>
  <c r="W143" i="52"/>
  <c r="W142" i="52"/>
  <c r="W141" i="52"/>
  <c r="W140" i="52"/>
  <c r="W139" i="52"/>
  <c r="W138" i="52"/>
  <c r="W137" i="52"/>
  <c r="W136" i="52"/>
  <c r="W135" i="52"/>
  <c r="W134" i="52"/>
  <c r="W133" i="52"/>
  <c r="W132" i="52"/>
  <c r="W131" i="52"/>
  <c r="W130" i="52"/>
  <c r="W129" i="52"/>
  <c r="W128" i="52"/>
  <c r="W127" i="52"/>
  <c r="W126" i="52"/>
  <c r="W125" i="52"/>
  <c r="W124" i="52"/>
  <c r="W123" i="52"/>
  <c r="W122" i="52"/>
  <c r="W121" i="52"/>
  <c r="W120" i="52"/>
  <c r="W119" i="52"/>
  <c r="W118" i="52"/>
  <c r="W117" i="52"/>
  <c r="W116" i="52"/>
  <c r="W115" i="52"/>
  <c r="W114" i="52"/>
  <c r="W113" i="52"/>
  <c r="W112" i="52"/>
  <c r="W111" i="52"/>
  <c r="W110" i="52"/>
  <c r="W109" i="52"/>
  <c r="W108" i="52"/>
  <c r="W107" i="52"/>
  <c r="W106" i="52"/>
  <c r="W105" i="52"/>
  <c r="W104" i="52"/>
  <c r="W103" i="52"/>
  <c r="W102" i="52"/>
  <c r="X102" i="52"/>
  <c r="K35" i="52"/>
  <c r="K36" i="52"/>
  <c r="K37" i="52"/>
  <c r="K38" i="52"/>
  <c r="W149" i="52"/>
  <c r="W150" i="52"/>
  <c r="W151" i="52"/>
  <c r="W152" i="52"/>
  <c r="W153" i="52"/>
  <c r="W154" i="52"/>
  <c r="W155" i="52"/>
  <c r="W156" i="52"/>
  <c r="W157" i="52"/>
  <c r="W158" i="52"/>
  <c r="W159" i="52"/>
  <c r="W160" i="52"/>
  <c r="W161" i="52"/>
  <c r="W162" i="52"/>
  <c r="W163" i="52"/>
  <c r="W164" i="52"/>
  <c r="W165" i="52"/>
  <c r="W166" i="52"/>
  <c r="W167" i="52"/>
  <c r="W168" i="52"/>
  <c r="W169" i="52"/>
  <c r="W170" i="52"/>
  <c r="W171" i="52"/>
  <c r="W172" i="52"/>
  <c r="W173" i="52"/>
  <c r="W174" i="52"/>
  <c r="W175" i="52"/>
  <c r="W176" i="52"/>
  <c r="W177" i="52"/>
  <c r="W178" i="52"/>
  <c r="W179" i="52"/>
  <c r="W180" i="52"/>
  <c r="W181" i="52"/>
  <c r="W182" i="52"/>
  <c r="W183" i="52"/>
  <c r="W184" i="52"/>
  <c r="W185" i="52"/>
  <c r="W186" i="52"/>
  <c r="W187" i="52"/>
  <c r="W188" i="52"/>
  <c r="W189" i="52"/>
  <c r="W190" i="52"/>
  <c r="W191" i="52"/>
  <c r="W192" i="52"/>
  <c r="W193" i="52"/>
  <c r="W194" i="52"/>
  <c r="W195" i="52"/>
  <c r="W196" i="52"/>
  <c r="W197" i="52"/>
  <c r="Q121" i="52"/>
  <c r="Q123" i="52"/>
  <c r="Q120" i="52"/>
  <c r="Q119" i="52"/>
  <c r="Q118" i="52"/>
  <c r="Q117" i="52"/>
  <c r="Q116" i="52"/>
  <c r="Q115" i="52"/>
  <c r="Q114" i="52"/>
  <c r="Q113" i="52"/>
  <c r="Q112" i="52"/>
  <c r="Q111" i="52"/>
  <c r="Q110" i="52"/>
  <c r="Q109" i="52"/>
  <c r="Q108" i="52"/>
  <c r="Q107" i="52"/>
  <c r="Q106" i="52"/>
  <c r="Q105" i="52"/>
  <c r="Q104" i="52"/>
  <c r="Q103" i="52"/>
  <c r="Q102" i="52"/>
  <c r="Q124" i="52"/>
  <c r="Q125" i="52"/>
  <c r="Q126" i="52"/>
  <c r="Q127" i="52"/>
  <c r="Q128" i="52"/>
  <c r="Q129" i="52"/>
  <c r="Q130" i="52"/>
  <c r="Q131" i="52"/>
  <c r="Q132" i="52"/>
  <c r="Q133" i="52"/>
  <c r="Q134" i="52"/>
  <c r="Q135" i="52"/>
  <c r="Q136" i="52"/>
  <c r="Q137" i="52"/>
  <c r="Q138" i="52"/>
  <c r="Q139" i="52"/>
  <c r="Q140" i="52"/>
  <c r="Q141" i="52"/>
  <c r="Q142" i="52"/>
  <c r="Q143" i="52"/>
  <c r="Q144" i="52"/>
  <c r="Q145" i="52"/>
  <c r="Q146" i="52"/>
  <c r="Q147" i="52"/>
  <c r="Q148" i="52"/>
  <c r="Q149" i="52"/>
  <c r="Q150" i="52"/>
  <c r="Q151" i="52"/>
  <c r="Q152" i="52"/>
  <c r="Q153" i="52"/>
  <c r="Q154" i="52"/>
  <c r="Q155" i="52"/>
  <c r="Q156" i="52"/>
  <c r="Q157" i="52"/>
  <c r="Q158" i="52"/>
  <c r="Q159" i="52"/>
  <c r="Q160" i="52"/>
  <c r="Q161" i="52"/>
  <c r="Q162" i="52"/>
  <c r="Q163" i="52"/>
  <c r="Q164" i="52"/>
  <c r="Q165" i="52"/>
  <c r="Q166" i="52"/>
  <c r="Q167" i="52"/>
  <c r="Q168" i="52"/>
  <c r="Q169" i="52"/>
  <c r="Q170" i="52"/>
  <c r="Q171" i="52"/>
  <c r="Q172" i="52"/>
  <c r="Q173" i="52"/>
  <c r="Q174" i="52"/>
  <c r="Q175" i="52"/>
  <c r="Q176" i="52"/>
  <c r="Q177" i="52"/>
  <c r="Q178" i="52"/>
  <c r="Q179" i="52"/>
  <c r="Q180" i="52"/>
  <c r="Q181" i="52"/>
  <c r="Q182" i="52"/>
  <c r="Q183" i="52"/>
  <c r="Q184" i="52"/>
  <c r="Q185" i="52"/>
  <c r="Q186" i="52"/>
  <c r="Q187" i="52"/>
  <c r="Q188" i="52"/>
  <c r="Q189" i="52"/>
  <c r="Q190" i="52"/>
  <c r="Q191" i="52"/>
  <c r="Q192" i="52"/>
  <c r="Q193" i="52"/>
  <c r="Q194" i="52"/>
  <c r="Q195" i="52"/>
  <c r="Q196" i="52"/>
  <c r="Q197" i="52"/>
  <c r="K102" i="52"/>
  <c r="F10" i="52"/>
  <c r="F11" i="52"/>
  <c r="AC172" i="52"/>
  <c r="F34" i="52"/>
  <c r="F36" i="52"/>
  <c r="F37" i="52"/>
  <c r="K89" i="50"/>
  <c r="L88" i="50"/>
  <c r="AC171" i="52"/>
  <c r="AC173" i="52"/>
  <c r="AC170" i="52"/>
  <c r="AC169" i="52"/>
  <c r="AC168" i="52"/>
  <c r="AC167" i="52"/>
  <c r="AC166" i="52"/>
  <c r="AC165" i="52"/>
  <c r="AC164" i="52"/>
  <c r="AC163" i="52"/>
  <c r="AC162" i="52"/>
  <c r="AC161" i="52"/>
  <c r="AC160" i="52"/>
  <c r="AC159" i="52"/>
  <c r="AC158" i="52"/>
  <c r="AC157" i="52"/>
  <c r="AC156" i="52"/>
  <c r="AC155" i="52"/>
  <c r="AC154" i="52"/>
  <c r="AC153" i="52"/>
  <c r="AC152" i="52"/>
  <c r="AC151" i="52"/>
  <c r="AC150" i="52"/>
  <c r="AC149" i="52"/>
  <c r="AC148" i="52"/>
  <c r="AC147" i="52"/>
  <c r="AC146" i="52"/>
  <c r="AC145" i="52"/>
  <c r="AC144" i="52"/>
  <c r="AC143" i="52"/>
  <c r="AC142" i="52"/>
  <c r="AC141" i="52"/>
  <c r="AC140" i="52"/>
  <c r="AC139" i="52"/>
  <c r="AC138" i="52"/>
  <c r="AC137" i="52"/>
  <c r="AC136" i="52"/>
  <c r="AC135" i="52"/>
  <c r="AC134" i="52"/>
  <c r="AC133" i="52"/>
  <c r="AC132" i="52"/>
  <c r="AC131" i="52"/>
  <c r="AC130" i="52"/>
  <c r="AC129" i="52"/>
  <c r="AC128" i="52"/>
  <c r="AC127" i="52"/>
  <c r="AC126" i="52"/>
  <c r="AC125" i="52"/>
  <c r="AC124" i="52"/>
  <c r="AC123" i="52"/>
  <c r="AC122" i="52"/>
  <c r="AC121" i="52"/>
  <c r="AC120" i="52"/>
  <c r="AC119" i="52"/>
  <c r="AC118" i="52"/>
  <c r="AC117" i="52"/>
  <c r="AC116" i="52"/>
  <c r="AC115" i="52"/>
  <c r="AC114" i="52"/>
  <c r="AC113" i="52"/>
  <c r="AC112" i="52"/>
  <c r="AC111" i="52"/>
  <c r="AC110" i="52"/>
  <c r="AC109" i="52"/>
  <c r="AC108" i="52"/>
  <c r="AC107" i="52"/>
  <c r="AC106" i="52"/>
  <c r="AC105" i="52"/>
  <c r="AC104" i="52"/>
  <c r="AC103" i="52"/>
  <c r="AC102" i="52"/>
  <c r="AC174" i="52"/>
  <c r="AC175" i="52"/>
  <c r="AC176" i="52"/>
  <c r="AC177" i="52"/>
  <c r="AC178" i="52"/>
  <c r="AC179" i="52"/>
  <c r="AC180" i="52"/>
  <c r="AC181" i="52"/>
  <c r="AC182" i="52"/>
  <c r="AC183" i="52"/>
  <c r="AC184" i="52"/>
  <c r="AC185" i="52"/>
  <c r="AC186" i="52"/>
  <c r="AC187" i="52"/>
  <c r="AC188" i="52"/>
  <c r="AC189" i="52"/>
  <c r="AC190" i="52"/>
  <c r="AC191" i="52"/>
  <c r="AC192" i="52"/>
  <c r="AC193" i="52"/>
  <c r="AC194" i="52"/>
  <c r="AC195" i="52"/>
  <c r="AC196" i="52"/>
  <c r="AC197" i="52"/>
  <c r="K105" i="52"/>
  <c r="K103" i="52"/>
  <c r="K104" i="52"/>
  <c r="K106" i="52"/>
  <c r="K107" i="52"/>
  <c r="K108" i="52"/>
  <c r="K109" i="52"/>
  <c r="K110" i="52"/>
  <c r="K111" i="52"/>
  <c r="K112" i="52"/>
  <c r="K113" i="52"/>
  <c r="K114" i="52"/>
  <c r="K115" i="52"/>
  <c r="K116" i="52"/>
  <c r="K117" i="52"/>
  <c r="K118" i="52"/>
  <c r="K119" i="52"/>
  <c r="K120" i="52"/>
  <c r="K121" i="52"/>
  <c r="K122" i="52"/>
  <c r="K123" i="52"/>
  <c r="K124" i="52"/>
  <c r="K125" i="52"/>
  <c r="K126" i="52"/>
  <c r="K127" i="52"/>
  <c r="K128" i="52"/>
  <c r="K129" i="52"/>
  <c r="K130" i="52"/>
  <c r="K131" i="52"/>
  <c r="K132" i="52"/>
  <c r="K133" i="52"/>
  <c r="K134" i="52"/>
  <c r="K135" i="52"/>
  <c r="K136" i="52"/>
  <c r="K137" i="52"/>
  <c r="K138" i="52"/>
  <c r="K139" i="52"/>
  <c r="K140" i="52"/>
  <c r="K141" i="52"/>
  <c r="K142" i="52"/>
  <c r="K143" i="52"/>
  <c r="K144" i="52"/>
  <c r="K145" i="52"/>
  <c r="K146" i="52"/>
  <c r="K147" i="52"/>
  <c r="K148" i="52"/>
  <c r="K149" i="52"/>
  <c r="K150" i="52"/>
  <c r="K151" i="52"/>
  <c r="K152" i="52"/>
  <c r="K153" i="52"/>
  <c r="K154" i="52"/>
  <c r="K155" i="52"/>
  <c r="K156" i="52"/>
  <c r="K157" i="52"/>
  <c r="K158" i="52"/>
  <c r="K159" i="52"/>
  <c r="K160" i="52"/>
  <c r="K161" i="52"/>
  <c r="K162" i="52"/>
  <c r="K163" i="52"/>
  <c r="K164" i="52"/>
  <c r="K165" i="52"/>
  <c r="K166" i="52"/>
  <c r="K167" i="52"/>
  <c r="K168" i="52"/>
  <c r="K169" i="52"/>
  <c r="K170" i="52"/>
  <c r="K171" i="52"/>
  <c r="K172" i="52"/>
  <c r="K173" i="52"/>
  <c r="K174" i="52"/>
  <c r="K175" i="52"/>
  <c r="K176" i="52"/>
  <c r="K177" i="52"/>
  <c r="K178" i="52"/>
  <c r="K179" i="52"/>
  <c r="K180" i="52"/>
  <c r="K181" i="52"/>
  <c r="K182" i="52"/>
  <c r="K183" i="52"/>
  <c r="K184" i="52"/>
  <c r="K185" i="52"/>
  <c r="K186" i="52"/>
  <c r="K187" i="52"/>
  <c r="K188" i="52"/>
  <c r="K189" i="52"/>
  <c r="K190" i="52"/>
  <c r="K191" i="52"/>
  <c r="K192" i="52"/>
  <c r="K193" i="52"/>
  <c r="K194" i="52"/>
  <c r="K195" i="52"/>
  <c r="K196" i="52"/>
  <c r="K197" i="52"/>
  <c r="Y24" i="52"/>
  <c r="X24" i="52"/>
  <c r="Y23" i="52"/>
  <c r="X23" i="52"/>
  <c r="Y22" i="52"/>
  <c r="X22" i="52"/>
  <c r="Y21" i="52"/>
  <c r="X21" i="52"/>
  <c r="Y20" i="52"/>
  <c r="X20" i="52"/>
  <c r="Y19" i="52"/>
  <c r="X19" i="52"/>
  <c r="Y18" i="52"/>
  <c r="X18" i="52"/>
  <c r="Y17" i="52"/>
  <c r="X17" i="52"/>
  <c r="Y16" i="52"/>
  <c r="X16" i="52"/>
  <c r="Y15" i="52"/>
  <c r="X15" i="52"/>
  <c r="Y14" i="52"/>
  <c r="X14" i="52"/>
  <c r="Y13" i="52"/>
  <c r="X13" i="52"/>
  <c r="Y12" i="52"/>
  <c r="X12" i="52"/>
  <c r="Y11" i="52"/>
  <c r="X11" i="52"/>
  <c r="Y10" i="52"/>
  <c r="X10" i="52"/>
  <c r="Y9" i="52"/>
  <c r="X9" i="52"/>
  <c r="Y8" i="52"/>
  <c r="X8" i="52"/>
  <c r="Y7" i="52"/>
  <c r="X7" i="52"/>
  <c r="AA7" i="52"/>
  <c r="AB7" i="52"/>
  <c r="AA8" i="52"/>
  <c r="AB8" i="52"/>
  <c r="AA9" i="52"/>
  <c r="AB9" i="52"/>
  <c r="AA10" i="52"/>
  <c r="AB10" i="52"/>
  <c r="AA11" i="52"/>
  <c r="AB11" i="52"/>
  <c r="AA12" i="52"/>
  <c r="AB12" i="52"/>
  <c r="AA13" i="52"/>
  <c r="AB13" i="52"/>
  <c r="AA14" i="52"/>
  <c r="AB14" i="52"/>
  <c r="AA15" i="52"/>
  <c r="AB15" i="52"/>
  <c r="AA16" i="52"/>
  <c r="AB16" i="52"/>
  <c r="AA17" i="52"/>
  <c r="AB17" i="52"/>
  <c r="AA18" i="52"/>
  <c r="AB18" i="52"/>
  <c r="AA19" i="52"/>
  <c r="AB19" i="52"/>
  <c r="AA20" i="52"/>
  <c r="AB20" i="52"/>
  <c r="AA21" i="52"/>
  <c r="AB21" i="52"/>
  <c r="AA22" i="52"/>
  <c r="AB22" i="52"/>
  <c r="AA23" i="52"/>
  <c r="AB23" i="52"/>
  <c r="AA24" i="52"/>
  <c r="AB24" i="52"/>
  <c r="F25" i="52"/>
  <c r="F27" i="52"/>
  <c r="F28" i="52"/>
  <c r="L89" i="50"/>
  <c r="M88" i="50"/>
  <c r="AB45" i="52"/>
  <c r="AB67" i="52"/>
  <c r="AA45" i="52"/>
  <c r="AA67" i="52"/>
  <c r="AB44" i="52"/>
  <c r="AB66" i="52"/>
  <c r="AA44" i="52"/>
  <c r="AA66" i="52"/>
  <c r="AB43" i="52"/>
  <c r="AB65" i="52"/>
  <c r="AA43" i="52"/>
  <c r="AA65" i="52"/>
  <c r="AB42" i="52"/>
  <c r="AB64" i="52"/>
  <c r="AA42" i="52"/>
  <c r="AA64" i="52"/>
  <c r="AB41" i="52"/>
  <c r="AB63" i="52"/>
  <c r="AA41" i="52"/>
  <c r="AA63" i="52"/>
  <c r="AB40" i="52"/>
  <c r="AB62" i="52"/>
  <c r="AA40" i="52"/>
  <c r="AA62" i="52"/>
  <c r="AB39" i="52"/>
  <c r="AB61" i="52"/>
  <c r="AA39" i="52"/>
  <c r="AA61" i="52"/>
  <c r="AB38" i="52"/>
  <c r="AB60" i="52"/>
  <c r="AA38" i="52"/>
  <c r="AA60" i="52"/>
  <c r="AB37" i="52"/>
  <c r="AB59" i="52"/>
  <c r="AA37" i="52"/>
  <c r="AA59" i="52"/>
  <c r="AB36" i="52"/>
  <c r="AB58" i="52"/>
  <c r="AA36" i="52"/>
  <c r="AA58" i="52"/>
  <c r="AB35" i="52"/>
  <c r="AB57" i="52"/>
  <c r="AA35" i="52"/>
  <c r="AA57" i="52"/>
  <c r="AB34" i="52"/>
  <c r="AB56" i="52"/>
  <c r="AA34" i="52"/>
  <c r="AA56" i="52"/>
  <c r="AB33" i="52"/>
  <c r="AB55" i="52"/>
  <c r="AA33" i="52"/>
  <c r="AA55" i="52"/>
  <c r="AB32" i="52"/>
  <c r="AB54" i="52"/>
  <c r="AA32" i="52"/>
  <c r="AA54" i="52"/>
  <c r="AB31" i="52"/>
  <c r="AB53" i="52"/>
  <c r="AA31" i="52"/>
  <c r="AA53" i="52"/>
  <c r="AB30" i="52"/>
  <c r="AB52" i="52"/>
  <c r="AA30" i="52"/>
  <c r="AA52" i="52"/>
  <c r="AB29" i="52"/>
  <c r="AB51" i="52"/>
  <c r="AA29" i="52"/>
  <c r="AA51" i="52"/>
  <c r="AB28" i="52"/>
  <c r="AB50" i="52"/>
  <c r="AB68" i="52"/>
  <c r="AA28" i="52"/>
  <c r="AA46" i="52"/>
  <c r="AA50" i="52"/>
  <c r="AA68" i="52"/>
  <c r="X28" i="52"/>
  <c r="X50" i="52"/>
  <c r="Y28" i="52"/>
  <c r="Y50" i="52"/>
  <c r="X29" i="52"/>
  <c r="X51" i="52"/>
  <c r="Y29" i="52"/>
  <c r="Y51" i="52"/>
  <c r="X30" i="52"/>
  <c r="X52" i="52"/>
  <c r="Y30" i="52"/>
  <c r="Y52" i="52"/>
  <c r="X31" i="52"/>
  <c r="X53" i="52"/>
  <c r="Y31" i="52"/>
  <c r="Y53" i="52"/>
  <c r="X32" i="52"/>
  <c r="X54" i="52"/>
  <c r="Y32" i="52"/>
  <c r="Y54" i="52"/>
  <c r="X33" i="52"/>
  <c r="X55" i="52"/>
  <c r="Y33" i="52"/>
  <c r="Y55" i="52"/>
  <c r="X34" i="52"/>
  <c r="X56" i="52"/>
  <c r="Y34" i="52"/>
  <c r="Y56" i="52"/>
  <c r="X35" i="52"/>
  <c r="X57" i="52"/>
  <c r="Y35" i="52"/>
  <c r="Y57" i="52"/>
  <c r="X36" i="52"/>
  <c r="X58" i="52"/>
  <c r="Y36" i="52"/>
  <c r="Y58" i="52"/>
  <c r="X37" i="52"/>
  <c r="X59" i="52"/>
  <c r="Y37" i="52"/>
  <c r="Y59" i="52"/>
  <c r="X38" i="52"/>
  <c r="X60" i="52"/>
  <c r="Y38" i="52"/>
  <c r="Y60" i="52"/>
  <c r="X39" i="52"/>
  <c r="X61" i="52"/>
  <c r="Y39" i="52"/>
  <c r="Y61" i="52"/>
  <c r="X40" i="52"/>
  <c r="X62" i="52"/>
  <c r="Y40" i="52"/>
  <c r="Y62" i="52"/>
  <c r="X41" i="52"/>
  <c r="X63" i="52"/>
  <c r="Y41" i="52"/>
  <c r="Y63" i="52"/>
  <c r="X42" i="52"/>
  <c r="X64" i="52"/>
  <c r="Y42" i="52"/>
  <c r="Y64" i="52"/>
  <c r="X43" i="52"/>
  <c r="X65" i="52"/>
  <c r="Y43" i="52"/>
  <c r="Y65" i="52"/>
  <c r="X44" i="52"/>
  <c r="X66" i="52"/>
  <c r="Y44" i="52"/>
  <c r="Y66" i="52"/>
  <c r="X45" i="52"/>
  <c r="X67" i="52"/>
  <c r="Y45" i="52"/>
  <c r="Y67" i="52"/>
  <c r="M89" i="50"/>
  <c r="N88" i="50"/>
  <c r="AB46" i="52"/>
  <c r="Y68" i="52"/>
  <c r="Y46" i="52"/>
  <c r="X68" i="52"/>
  <c r="X46" i="52"/>
  <c r="N89" i="50"/>
  <c r="O88" i="50"/>
  <c r="X69" i="52"/>
  <c r="M68" i="52"/>
  <c r="O89" i="50"/>
  <c r="P88" i="50"/>
  <c r="P89" i="50"/>
  <c r="Q88" i="50"/>
  <c r="Q89" i="50"/>
  <c r="R88" i="50"/>
  <c r="R89" i="50"/>
  <c r="S88" i="50"/>
  <c r="S89" i="50"/>
  <c r="T88" i="50"/>
  <c r="T89" i="50"/>
  <c r="U88" i="50"/>
  <c r="U89" i="50"/>
  <c r="V88" i="50"/>
  <c r="V89" i="50"/>
  <c r="W88" i="50"/>
  <c r="W89" i="50"/>
  <c r="X88" i="50"/>
  <c r="X89" i="50"/>
  <c r="Y88" i="50"/>
  <c r="Y89" i="50"/>
  <c r="Z88" i="50"/>
  <c r="Z89" i="50"/>
  <c r="AA88" i="50"/>
  <c r="AA89" i="50"/>
  <c r="AB88" i="50"/>
  <c r="AB89" i="50"/>
  <c r="AC88" i="50"/>
  <c r="AC89" i="50"/>
  <c r="C138" i="49"/>
  <c r="AN115" i="49"/>
  <c r="AM114" i="49"/>
  <c r="AM113" i="49"/>
  <c r="AM112" i="49"/>
  <c r="AN111" i="49"/>
  <c r="AP104" i="49"/>
  <c r="L72" i="43"/>
  <c r="AO99" i="49"/>
  <c r="K67" i="43"/>
  <c r="AO98" i="49"/>
  <c r="K66" i="43"/>
  <c r="AO97" i="49"/>
  <c r="K65" i="43"/>
  <c r="AO95" i="49"/>
  <c r="K63" i="43"/>
  <c r="AO94" i="49"/>
  <c r="K62" i="43"/>
  <c r="AO93" i="49"/>
  <c r="K61" i="43"/>
  <c r="AP88" i="49"/>
  <c r="L56" i="43"/>
  <c r="AO87" i="49"/>
  <c r="K55" i="43"/>
  <c r="AO86" i="49"/>
  <c r="K54" i="43"/>
  <c r="AP83" i="49"/>
  <c r="L51" i="43"/>
  <c r="AO82" i="49"/>
  <c r="K50" i="43"/>
  <c r="AO81" i="49"/>
  <c r="K49" i="43"/>
  <c r="AO80" i="49"/>
  <c r="K48" i="43"/>
  <c r="AO79" i="49"/>
  <c r="K47" i="43"/>
  <c r="AO78" i="49"/>
  <c r="K46" i="43"/>
  <c r="AO76" i="49"/>
  <c r="K44" i="43"/>
  <c r="AO75" i="49"/>
  <c r="K43" i="43"/>
  <c r="AO74" i="49"/>
  <c r="K42" i="43"/>
  <c r="AO73" i="49"/>
  <c r="K41" i="43"/>
  <c r="AO72" i="49"/>
  <c r="K40" i="43"/>
  <c r="AO71" i="49"/>
  <c r="K39" i="43"/>
  <c r="AP67" i="49"/>
  <c r="L35" i="43"/>
  <c r="AO66" i="49"/>
  <c r="K34" i="43"/>
  <c r="AO65" i="49"/>
  <c r="K33" i="43"/>
  <c r="AP62" i="49"/>
  <c r="L30" i="43"/>
  <c r="AO61" i="49"/>
  <c r="K29" i="43"/>
  <c r="AO60" i="49"/>
  <c r="K28" i="43"/>
  <c r="AO59" i="49"/>
  <c r="K27" i="43"/>
  <c r="AO58" i="49"/>
  <c r="K26" i="43"/>
  <c r="AO57" i="49"/>
  <c r="K25" i="43"/>
  <c r="AO55" i="49"/>
  <c r="K23" i="43"/>
  <c r="AO54" i="49"/>
  <c r="K22" i="43"/>
  <c r="AO53" i="49"/>
  <c r="K21" i="43"/>
  <c r="AO52" i="49"/>
  <c r="K20" i="43"/>
  <c r="AO51" i="49"/>
  <c r="K19" i="43"/>
  <c r="AO50" i="49"/>
  <c r="K18" i="43"/>
  <c r="AG101" i="49"/>
  <c r="AG100" i="49"/>
  <c r="AB99" i="49"/>
  <c r="B56" i="50"/>
  <c r="B57" i="50"/>
  <c r="C64" i="50"/>
  <c r="Q96" i="49"/>
  <c r="AB85" i="49"/>
  <c r="AB87" i="49"/>
  <c r="AB86" i="49"/>
  <c r="AB81" i="49"/>
  <c r="AB80" i="49"/>
  <c r="AB66" i="49"/>
  <c r="AB65" i="49"/>
  <c r="AB60" i="49"/>
  <c r="AB59" i="49"/>
  <c r="D73" i="43"/>
  <c r="C116" i="44"/>
  <c r="BD118" i="44"/>
  <c r="D72" i="43"/>
  <c r="C115" i="44"/>
  <c r="BD117" i="44"/>
  <c r="D71" i="43"/>
  <c r="C114" i="44"/>
  <c r="BD116" i="44"/>
  <c r="D70" i="43"/>
  <c r="C113" i="44"/>
  <c r="BD115" i="44"/>
  <c r="D67" i="43"/>
  <c r="C110" i="44"/>
  <c r="BD112" i="44"/>
  <c r="D66" i="43"/>
  <c r="C109" i="44"/>
  <c r="BD111" i="44"/>
  <c r="D65" i="43"/>
  <c r="C108" i="44"/>
  <c r="BD110" i="44"/>
  <c r="D64" i="43"/>
  <c r="C107" i="44"/>
  <c r="BD109" i="44"/>
  <c r="D63" i="43"/>
  <c r="C106" i="44"/>
  <c r="BD108" i="44"/>
  <c r="D62" i="43"/>
  <c r="C105" i="44"/>
  <c r="BD107" i="44"/>
  <c r="U37" i="49"/>
  <c r="M37" i="49"/>
  <c r="AH84" i="49"/>
  <c r="AH63" i="49"/>
  <c r="AT111" i="49"/>
  <c r="J79" i="43"/>
  <c r="AS113" i="49"/>
  <c r="I81" i="43"/>
  <c r="AT115" i="49"/>
  <c r="J83" i="43"/>
  <c r="AS112" i="49"/>
  <c r="I80" i="43"/>
  <c r="AS114" i="49"/>
  <c r="I82" i="43"/>
  <c r="Y105" i="49"/>
  <c r="A139" i="20"/>
  <c r="B105" i="43"/>
  <c r="N83" i="49"/>
  <c r="V82" i="49"/>
  <c r="V180" i="49"/>
  <c r="V179" i="49"/>
  <c r="V178" i="49"/>
  <c r="V177" i="49"/>
  <c r="V176" i="49"/>
  <c r="V175" i="49"/>
  <c r="V165" i="49"/>
  <c r="V164" i="49"/>
  <c r="V163" i="49"/>
  <c r="V162" i="49"/>
  <c r="V161" i="49"/>
  <c r="V160" i="49"/>
  <c r="V174" i="49"/>
  <c r="V159" i="49"/>
  <c r="Y54" i="49"/>
  <c r="Q54" i="49"/>
  <c r="S68" i="49"/>
  <c r="E139" i="43"/>
  <c r="T273" i="49"/>
  <c r="T272" i="49"/>
  <c r="T271" i="49"/>
  <c r="T270" i="49"/>
  <c r="M269" i="49"/>
  <c r="T269" i="49"/>
  <c r="T268" i="49"/>
  <c r="T267" i="49"/>
  <c r="M266" i="49"/>
  <c r="T266" i="49"/>
  <c r="M265" i="49"/>
  <c r="K265" i="49"/>
  <c r="T264" i="49"/>
  <c r="M263" i="49"/>
  <c r="T263" i="49"/>
  <c r="T262" i="49"/>
  <c r="K261" i="49"/>
  <c r="T261" i="49"/>
  <c r="T260" i="49"/>
  <c r="G166" i="43"/>
  <c r="G191" i="43"/>
  <c r="D61" i="43"/>
  <c r="C104" i="44"/>
  <c r="BD106" i="44"/>
  <c r="C144" i="43"/>
  <c r="C143" i="43"/>
  <c r="F1" i="43"/>
  <c r="J229" i="43"/>
  <c r="E300" i="43"/>
  <c r="E299" i="43"/>
  <c r="E298" i="43"/>
  <c r="E297" i="43"/>
  <c r="E296" i="43"/>
  <c r="E295" i="43"/>
  <c r="E294" i="43"/>
  <c r="E293" i="43"/>
  <c r="E292" i="43"/>
  <c r="E291" i="43"/>
  <c r="O264" i="43"/>
  <c r="J264" i="43"/>
  <c r="E264" i="43"/>
  <c r="O263" i="43"/>
  <c r="J263" i="43"/>
  <c r="E263" i="43"/>
  <c r="O262" i="43"/>
  <c r="J262" i="43"/>
  <c r="E262" i="43"/>
  <c r="O261" i="43"/>
  <c r="J261" i="43"/>
  <c r="E261" i="43"/>
  <c r="O260" i="43"/>
  <c r="J260" i="43"/>
  <c r="E260" i="43"/>
  <c r="O259" i="43"/>
  <c r="J259" i="43"/>
  <c r="E259" i="43"/>
  <c r="O258" i="43"/>
  <c r="J258" i="43"/>
  <c r="E258" i="43"/>
  <c r="O257" i="43"/>
  <c r="J257" i="43"/>
  <c r="E257" i="43"/>
  <c r="O256" i="43"/>
  <c r="J256" i="43"/>
  <c r="E256" i="43"/>
  <c r="O255" i="43"/>
  <c r="J255" i="43"/>
  <c r="E255" i="43"/>
  <c r="O254" i="43"/>
  <c r="J254" i="43"/>
  <c r="E254" i="43"/>
  <c r="O253" i="43"/>
  <c r="J253" i="43"/>
  <c r="E253" i="43"/>
  <c r="O252" i="43"/>
  <c r="J252" i="43"/>
  <c r="E252" i="43"/>
  <c r="O251" i="43"/>
  <c r="J251" i="43"/>
  <c r="E251" i="43"/>
  <c r="O250" i="43"/>
  <c r="J250" i="43"/>
  <c r="E250" i="43"/>
  <c r="O249" i="43"/>
  <c r="J249" i="43"/>
  <c r="O248" i="43"/>
  <c r="J248" i="43"/>
  <c r="O247" i="43"/>
  <c r="J247" i="43"/>
  <c r="O246" i="43"/>
  <c r="J246" i="43"/>
  <c r="O245" i="43"/>
  <c r="J245" i="43"/>
  <c r="AC173" i="43"/>
  <c r="AC172" i="43"/>
  <c r="AC171" i="43"/>
  <c r="AC169" i="43"/>
  <c r="AC168" i="43"/>
  <c r="AC167" i="43"/>
  <c r="AC166" i="43"/>
  <c r="BF237" i="40"/>
  <c r="D1" i="43"/>
  <c r="U226" i="40"/>
  <c r="AF154" i="40"/>
  <c r="AE154" i="40"/>
  <c r="AF153" i="40"/>
  <c r="AE153" i="40"/>
  <c r="AF152" i="40"/>
  <c r="AE152" i="40"/>
  <c r="AF151" i="40"/>
  <c r="AE151" i="40"/>
  <c r="AF150" i="40"/>
  <c r="AE150" i="40"/>
  <c r="AF149" i="40"/>
  <c r="AE149" i="40"/>
  <c r="AF148" i="40"/>
  <c r="AE148" i="40"/>
  <c r="AF147" i="40"/>
  <c r="AE147" i="40"/>
  <c r="AF146" i="40"/>
  <c r="AE146" i="40"/>
  <c r="AF145" i="40"/>
  <c r="AE145" i="40"/>
  <c r="AF144" i="40"/>
  <c r="AE144" i="40"/>
  <c r="AF143" i="40"/>
  <c r="AE143" i="40"/>
  <c r="AF142" i="40"/>
  <c r="AE142" i="40"/>
  <c r="AF141" i="40"/>
  <c r="AE141" i="40"/>
  <c r="AF137" i="40"/>
  <c r="AE137" i="40"/>
  <c r="AF136" i="40"/>
  <c r="AE136" i="40"/>
  <c r="AF135" i="40"/>
  <c r="AE135" i="40"/>
  <c r="AF134" i="40"/>
  <c r="AE134" i="40"/>
  <c r="AF133" i="40"/>
  <c r="AE133" i="40"/>
  <c r="AF132" i="40"/>
  <c r="AE132" i="40"/>
  <c r="AF131" i="40"/>
  <c r="AE131" i="40"/>
  <c r="AF130" i="40"/>
  <c r="AE130" i="40"/>
  <c r="AF129" i="40"/>
  <c r="AE129" i="40"/>
  <c r="AF128" i="40"/>
  <c r="AE128" i="40"/>
  <c r="AF127" i="40"/>
  <c r="AE127" i="40"/>
  <c r="AF126" i="40"/>
  <c r="AE126" i="40"/>
  <c r="AF125" i="40"/>
  <c r="AE125" i="40"/>
  <c r="AF124" i="40"/>
  <c r="AE124" i="40"/>
  <c r="AF120" i="40"/>
  <c r="AE120" i="40"/>
  <c r="AF119" i="40"/>
  <c r="AE119" i="40"/>
  <c r="AF118" i="40"/>
  <c r="AE118" i="40"/>
  <c r="AF117" i="40"/>
  <c r="AE117" i="40"/>
  <c r="AF116" i="40"/>
  <c r="AE116" i="40"/>
  <c r="AF115" i="40"/>
  <c r="AE115" i="40"/>
  <c r="AF114" i="40"/>
  <c r="AE114" i="40"/>
  <c r="AF113" i="40"/>
  <c r="AE113" i="40"/>
  <c r="AF112" i="40"/>
  <c r="AE112" i="40"/>
  <c r="AF111" i="40"/>
  <c r="AE111" i="40"/>
  <c r="AF110" i="40"/>
  <c r="AE110" i="40"/>
  <c r="AF109" i="40"/>
  <c r="AE109" i="40"/>
  <c r="AF108" i="40"/>
  <c r="AE108" i="40"/>
  <c r="AF107" i="40"/>
  <c r="AE107" i="40"/>
  <c r="AF103" i="40"/>
  <c r="AE103" i="40"/>
  <c r="AF102" i="40"/>
  <c r="AE102" i="40"/>
  <c r="AF101" i="40"/>
  <c r="AE101" i="40"/>
  <c r="AF100" i="40"/>
  <c r="AE100" i="40"/>
  <c r="AF99" i="40"/>
  <c r="AE99" i="40"/>
  <c r="AF98" i="40"/>
  <c r="AE98" i="40"/>
  <c r="AF97" i="40"/>
  <c r="AE97" i="40"/>
  <c r="AF96" i="40"/>
  <c r="AE96" i="40"/>
  <c r="AF95" i="40"/>
  <c r="AE95" i="40"/>
  <c r="AF94" i="40"/>
  <c r="AE94" i="40"/>
  <c r="AF93" i="40"/>
  <c r="AE93" i="40"/>
  <c r="AF92" i="40"/>
  <c r="AE92" i="40"/>
  <c r="AF91" i="40"/>
  <c r="AE91" i="40"/>
  <c r="AF90" i="40"/>
  <c r="AE90" i="40"/>
  <c r="AF86" i="40"/>
  <c r="AE86" i="40"/>
  <c r="AF85" i="40"/>
  <c r="AE85" i="40"/>
  <c r="AF84" i="40"/>
  <c r="AE84" i="40"/>
  <c r="AF83" i="40"/>
  <c r="AE83" i="40"/>
  <c r="AF82" i="40"/>
  <c r="AE82" i="40"/>
  <c r="AF81" i="40"/>
  <c r="AE81" i="40"/>
  <c r="AF80" i="40"/>
  <c r="AE80" i="40"/>
  <c r="AF79" i="40"/>
  <c r="AE79" i="40"/>
  <c r="AF78" i="40"/>
  <c r="AE78" i="40"/>
  <c r="AF77" i="40"/>
  <c r="AE77" i="40"/>
  <c r="AF76" i="40"/>
  <c r="AE76" i="40"/>
  <c r="AF75" i="40"/>
  <c r="AE75" i="40"/>
  <c r="AF74" i="40"/>
  <c r="AE74" i="40"/>
  <c r="AF73" i="40"/>
  <c r="AE73" i="40"/>
  <c r="AF69" i="40"/>
  <c r="AE69" i="40"/>
  <c r="AF68" i="40"/>
  <c r="AE68" i="40"/>
  <c r="AF67" i="40"/>
  <c r="AE67" i="40"/>
  <c r="AF66" i="40"/>
  <c r="AE66" i="40"/>
  <c r="AF65" i="40"/>
  <c r="AE65" i="40"/>
  <c r="AF64" i="40"/>
  <c r="AE64" i="40"/>
  <c r="AF63" i="40"/>
  <c r="AE63" i="40"/>
  <c r="AF62" i="40"/>
  <c r="AE62" i="40"/>
  <c r="AF61" i="40"/>
  <c r="AE61" i="40"/>
  <c r="AF60" i="40"/>
  <c r="AE60" i="40"/>
  <c r="AF59" i="40"/>
  <c r="AE59" i="40"/>
  <c r="AF58" i="40"/>
  <c r="AE58" i="40"/>
  <c r="AF57" i="40"/>
  <c r="AE57" i="40"/>
  <c r="AF56" i="40"/>
  <c r="AE56" i="40"/>
  <c r="AF52" i="40"/>
  <c r="AE52" i="40"/>
  <c r="AF51" i="40"/>
  <c r="AE51" i="40"/>
  <c r="AF50" i="40"/>
  <c r="AE50" i="40"/>
  <c r="AF49" i="40"/>
  <c r="AE49" i="40"/>
  <c r="AF48" i="40"/>
  <c r="AE48" i="40"/>
  <c r="AF47" i="40"/>
  <c r="AE47" i="40"/>
  <c r="AF46" i="40"/>
  <c r="AE46" i="40"/>
  <c r="AF45" i="40"/>
  <c r="AE45" i="40"/>
  <c r="AF44" i="40"/>
  <c r="AE44" i="40"/>
  <c r="AF43" i="40"/>
  <c r="AE43" i="40"/>
  <c r="AF42" i="40"/>
  <c r="AE42" i="40"/>
  <c r="AF41" i="40"/>
  <c r="AE41" i="40"/>
  <c r="AF40" i="40"/>
  <c r="AE40" i="40"/>
  <c r="AF39" i="40"/>
  <c r="AE39" i="40"/>
  <c r="AF35" i="40"/>
  <c r="AE35" i="40"/>
  <c r="AF34" i="40"/>
  <c r="AE34" i="40"/>
  <c r="AF33" i="40"/>
  <c r="AE33" i="40"/>
  <c r="AF32" i="40"/>
  <c r="AE32" i="40"/>
  <c r="AF31" i="40"/>
  <c r="AE31" i="40"/>
  <c r="AF30" i="40"/>
  <c r="AE30" i="40"/>
  <c r="AF29" i="40"/>
  <c r="AE29" i="40"/>
  <c r="AF28" i="40"/>
  <c r="AE28" i="40"/>
  <c r="AF27" i="40"/>
  <c r="AE27" i="40"/>
  <c r="AF26" i="40"/>
  <c r="AE26" i="40"/>
  <c r="AF25" i="40"/>
  <c r="AE25" i="40"/>
  <c r="AF24" i="40"/>
  <c r="AE24" i="40"/>
  <c r="AF23" i="40"/>
  <c r="AE23" i="40"/>
  <c r="AF22" i="40"/>
  <c r="AE22" i="40"/>
  <c r="AF18" i="40"/>
  <c r="AE18" i="40"/>
  <c r="AF17" i="40"/>
  <c r="AE17" i="40"/>
  <c r="AF16" i="40"/>
  <c r="AE16" i="40"/>
  <c r="AF15" i="40"/>
  <c r="AE15" i="40"/>
  <c r="AF14" i="40"/>
  <c r="AE14" i="40"/>
  <c r="AF13" i="40"/>
  <c r="AE13" i="40"/>
  <c r="AF12" i="40"/>
  <c r="AE12" i="40"/>
  <c r="AF11" i="40"/>
  <c r="AE11" i="40"/>
  <c r="AF10" i="40"/>
  <c r="AE10" i="40"/>
  <c r="AF9" i="40"/>
  <c r="AE9" i="40"/>
  <c r="AF8" i="40"/>
  <c r="AE8" i="40"/>
  <c r="AF7" i="40"/>
  <c r="AE7" i="40"/>
  <c r="AF6" i="40"/>
  <c r="AE6" i="40"/>
  <c r="AF5" i="40"/>
  <c r="AE5" i="40"/>
  <c r="I4" i="45"/>
  <c r="AB159" i="43"/>
  <c r="E144" i="43"/>
  <c r="D213" i="40"/>
  <c r="T265" i="49"/>
  <c r="D180" i="43"/>
  <c r="E140" i="43"/>
  <c r="H159" i="43"/>
  <c r="C139" i="43"/>
  <c r="E213" i="40"/>
  <c r="F213" i="40"/>
  <c r="H213" i="40"/>
  <c r="I213" i="40"/>
  <c r="J213" i="40"/>
  <c r="L213" i="40"/>
  <c r="M213" i="40"/>
  <c r="N213" i="40"/>
  <c r="U213" i="40"/>
  <c r="D214" i="40"/>
  <c r="E214" i="40"/>
  <c r="F214" i="40"/>
  <c r="H214" i="40"/>
  <c r="I214" i="40"/>
  <c r="J214" i="40"/>
  <c r="L214" i="40"/>
  <c r="M214" i="40"/>
  <c r="N214" i="40"/>
  <c r="U214" i="40"/>
  <c r="D215" i="40"/>
  <c r="E215" i="40"/>
  <c r="F215" i="40"/>
  <c r="H215" i="40"/>
  <c r="I215" i="40"/>
  <c r="J215" i="40"/>
  <c r="L215" i="40"/>
  <c r="M215" i="40"/>
  <c r="N215" i="40"/>
  <c r="U215" i="40"/>
  <c r="D216" i="40"/>
  <c r="E216" i="40"/>
  <c r="F216" i="40"/>
  <c r="H216" i="40"/>
  <c r="I216" i="40"/>
  <c r="J216" i="40"/>
  <c r="L216" i="40"/>
  <c r="M216" i="40"/>
  <c r="N216" i="40"/>
  <c r="U216" i="40"/>
  <c r="D217" i="40"/>
  <c r="E217" i="40"/>
  <c r="F217" i="40"/>
  <c r="H217" i="40"/>
  <c r="I217" i="40"/>
  <c r="J217" i="40"/>
  <c r="L217" i="40"/>
  <c r="M217" i="40"/>
  <c r="N217" i="40"/>
  <c r="U217" i="40"/>
  <c r="D218" i="40"/>
  <c r="E218" i="40"/>
  <c r="F218" i="40"/>
  <c r="H218" i="40"/>
  <c r="I218" i="40"/>
  <c r="J218" i="40"/>
  <c r="L218" i="40"/>
  <c r="M218" i="40"/>
  <c r="N218" i="40"/>
  <c r="U218" i="40"/>
  <c r="D219" i="40"/>
  <c r="E219" i="40"/>
  <c r="F219" i="40"/>
  <c r="H219" i="40"/>
  <c r="I219" i="40"/>
  <c r="J219" i="40"/>
  <c r="L219" i="40"/>
  <c r="M219" i="40"/>
  <c r="N219" i="40"/>
  <c r="U219" i="40"/>
  <c r="D220" i="40"/>
  <c r="E220" i="40"/>
  <c r="F220" i="40"/>
  <c r="H220" i="40"/>
  <c r="I220" i="40"/>
  <c r="J220" i="40"/>
  <c r="L220" i="40"/>
  <c r="M220" i="40"/>
  <c r="N220" i="40"/>
  <c r="U220" i="40"/>
  <c r="D221" i="40"/>
  <c r="E221" i="40"/>
  <c r="F221" i="40"/>
  <c r="H221" i="40"/>
  <c r="I221" i="40"/>
  <c r="J221" i="40"/>
  <c r="L221" i="40"/>
  <c r="M221" i="40"/>
  <c r="N221" i="40"/>
  <c r="U221" i="40"/>
  <c r="D222" i="40"/>
  <c r="E222" i="40"/>
  <c r="F222" i="40"/>
  <c r="H222" i="40"/>
  <c r="I222" i="40"/>
  <c r="J222" i="40"/>
  <c r="L222" i="40"/>
  <c r="M222" i="40"/>
  <c r="N222" i="40"/>
  <c r="U222" i="40"/>
  <c r="D223" i="40"/>
  <c r="E223" i="40"/>
  <c r="F223" i="40"/>
  <c r="H223" i="40"/>
  <c r="I223" i="40"/>
  <c r="J223" i="40"/>
  <c r="L223" i="40"/>
  <c r="M223" i="40"/>
  <c r="N223" i="40"/>
  <c r="U223" i="40"/>
  <c r="D224" i="40"/>
  <c r="E224" i="40"/>
  <c r="F224" i="40"/>
  <c r="H224" i="40"/>
  <c r="I224" i="40"/>
  <c r="J224" i="40"/>
  <c r="L224" i="40"/>
  <c r="M224" i="40"/>
  <c r="N224" i="40"/>
  <c r="U224" i="40"/>
  <c r="D225" i="40"/>
  <c r="E225" i="40"/>
  <c r="F225" i="40"/>
  <c r="H225" i="40"/>
  <c r="I225" i="40"/>
  <c r="J225" i="40"/>
  <c r="L225" i="40"/>
  <c r="M225" i="40"/>
  <c r="N225" i="40"/>
  <c r="U225" i="40"/>
  <c r="D226" i="40"/>
  <c r="E226" i="40"/>
  <c r="F226" i="40"/>
  <c r="H226" i="40"/>
  <c r="I226" i="40"/>
  <c r="J226" i="40"/>
  <c r="L226" i="40"/>
  <c r="M226" i="40"/>
  <c r="N226" i="40"/>
  <c r="E143" i="43"/>
  <c r="D121" i="43"/>
  <c r="C164" i="44"/>
  <c r="BD165" i="44"/>
  <c r="D119" i="43"/>
  <c r="C162" i="44"/>
  <c r="BD163" i="44"/>
  <c r="D115" i="43"/>
  <c r="C158" i="44"/>
  <c r="BD159" i="44"/>
  <c r="D114" i="43"/>
  <c r="C157" i="44"/>
  <c r="BD158" i="44"/>
  <c r="D111" i="43"/>
  <c r="C154" i="44"/>
  <c r="BD155" i="44"/>
  <c r="D108" i="43"/>
  <c r="C151" i="44"/>
  <c r="BD152" i="44"/>
  <c r="D107" i="43"/>
  <c r="C150" i="44"/>
  <c r="BD151" i="44"/>
  <c r="D99" i="43"/>
  <c r="C142" i="44"/>
  <c r="BD143" i="44"/>
  <c r="D98" i="43"/>
  <c r="C141" i="44"/>
  <c r="BD142" i="44"/>
  <c r="D97" i="43"/>
  <c r="C140" i="44"/>
  <c r="BD141" i="44"/>
  <c r="D96" i="43"/>
  <c r="C139" i="44"/>
  <c r="BD140" i="44"/>
  <c r="D95" i="43"/>
  <c r="C138" i="44"/>
  <c r="BD139" i="44"/>
  <c r="D94" i="43"/>
  <c r="C137" i="44"/>
  <c r="BD138" i="44"/>
  <c r="D89" i="43"/>
  <c r="C132" i="44"/>
  <c r="D88" i="43"/>
  <c r="C131" i="44"/>
  <c r="BD133" i="44"/>
  <c r="D87" i="43"/>
  <c r="C130" i="44"/>
  <c r="BD132" i="44"/>
  <c r="D86" i="43"/>
  <c r="C129" i="44"/>
  <c r="BD131" i="44"/>
  <c r="D93" i="43"/>
  <c r="C136" i="44"/>
  <c r="BD137" i="44"/>
  <c r="D83" i="43"/>
  <c r="C126" i="44"/>
  <c r="BD128" i="44"/>
  <c r="D82" i="43"/>
  <c r="C125" i="44"/>
  <c r="BD127" i="44"/>
  <c r="D81" i="43"/>
  <c r="C124" i="44"/>
  <c r="BD126" i="44"/>
  <c r="D80" i="43"/>
  <c r="C123" i="44"/>
  <c r="BD125" i="44"/>
  <c r="D79" i="43"/>
  <c r="C122" i="44"/>
  <c r="BD124" i="44"/>
  <c r="D56" i="43"/>
  <c r="C99" i="44"/>
  <c r="BD101" i="44"/>
  <c r="D55" i="43"/>
  <c r="C98" i="44"/>
  <c r="BD100" i="44"/>
  <c r="D54" i="43"/>
  <c r="C97" i="44"/>
  <c r="BD99" i="44"/>
  <c r="D53" i="43"/>
  <c r="C96" i="44"/>
  <c r="BD98" i="44"/>
  <c r="D52" i="43"/>
  <c r="C95" i="44"/>
  <c r="BD97" i="44"/>
  <c r="D51" i="43"/>
  <c r="C94" i="44"/>
  <c r="BD96" i="44"/>
  <c r="D50" i="43"/>
  <c r="C93" i="44"/>
  <c r="BD95" i="44"/>
  <c r="D49" i="43"/>
  <c r="C92" i="44"/>
  <c r="BD94" i="44"/>
  <c r="D48" i="43"/>
  <c r="C91" i="44"/>
  <c r="BD93" i="44"/>
  <c r="D47" i="43"/>
  <c r="C90" i="44"/>
  <c r="BD92" i="44"/>
  <c r="D45" i="43"/>
  <c r="C88" i="44"/>
  <c r="BD90" i="44"/>
  <c r="D44" i="43"/>
  <c r="C87" i="44"/>
  <c r="BD89" i="44"/>
  <c r="D43" i="43"/>
  <c r="C86" i="44"/>
  <c r="BD88" i="44"/>
  <c r="D42" i="43"/>
  <c r="C85" i="44"/>
  <c r="BD87" i="44"/>
  <c r="D41" i="43"/>
  <c r="C84" i="44"/>
  <c r="BD86" i="44"/>
  <c r="D40" i="43"/>
  <c r="C83" i="44"/>
  <c r="BD85" i="44"/>
  <c r="D39" i="43"/>
  <c r="C82" i="44"/>
  <c r="BD84" i="44"/>
  <c r="D35" i="43"/>
  <c r="C78" i="44"/>
  <c r="BD80" i="44"/>
  <c r="D34" i="43"/>
  <c r="C77" i="44"/>
  <c r="BD79" i="44"/>
  <c r="D33" i="43"/>
  <c r="C76" i="44"/>
  <c r="BD78" i="44"/>
  <c r="D32" i="43"/>
  <c r="C75" i="44"/>
  <c r="BD77" i="44"/>
  <c r="D31" i="43"/>
  <c r="C74" i="44"/>
  <c r="BD76" i="44"/>
  <c r="D30" i="43"/>
  <c r="C73" i="44"/>
  <c r="BD75" i="44"/>
  <c r="D29" i="43"/>
  <c r="C72" i="44"/>
  <c r="BD74" i="44"/>
  <c r="D28" i="43"/>
  <c r="C71" i="44"/>
  <c r="BD73" i="44"/>
  <c r="D27" i="43"/>
  <c r="C70" i="44"/>
  <c r="BD72" i="44"/>
  <c r="D26" i="43"/>
  <c r="C69" i="44"/>
  <c r="BD71" i="44"/>
  <c r="D25" i="43"/>
  <c r="C68" i="44"/>
  <c r="BD70" i="44"/>
  <c r="D24" i="43"/>
  <c r="C67" i="44"/>
  <c r="BD69" i="44"/>
  <c r="D23" i="43"/>
  <c r="C66" i="44"/>
  <c r="BD68" i="44"/>
  <c r="D22" i="43"/>
  <c r="C65" i="44"/>
  <c r="BD67" i="44"/>
  <c r="D21" i="43"/>
  <c r="C64" i="44"/>
  <c r="BD66" i="44"/>
  <c r="D20" i="43"/>
  <c r="C63" i="44"/>
  <c r="BD65" i="44"/>
  <c r="D19" i="43"/>
  <c r="C62" i="44"/>
  <c r="BD64" i="44"/>
  <c r="D18" i="43"/>
  <c r="C61" i="44"/>
  <c r="BD63" i="44"/>
  <c r="D14" i="43"/>
  <c r="C57" i="44"/>
  <c r="BD59" i="44"/>
  <c r="D13" i="43"/>
  <c r="C56" i="44"/>
  <c r="BD58" i="44"/>
  <c r="D12" i="43"/>
  <c r="C55" i="44"/>
  <c r="BD57" i="44"/>
  <c r="D11" i="43"/>
  <c r="C54" i="44"/>
  <c r="BD56" i="44"/>
  <c r="D10" i="43"/>
  <c r="C53" i="44"/>
  <c r="BD55" i="44"/>
  <c r="D9" i="43"/>
  <c r="C52" i="44"/>
  <c r="BD54" i="44"/>
  <c r="D8" i="43"/>
  <c r="C51" i="44"/>
  <c r="BD53" i="44"/>
  <c r="D6" i="43"/>
  <c r="C49" i="44"/>
  <c r="BD51" i="44"/>
  <c r="D5" i="43"/>
  <c r="C48" i="44"/>
  <c r="BD50" i="44"/>
  <c r="D4" i="43"/>
  <c r="C47" i="44"/>
  <c r="BD49" i="44"/>
  <c r="D3" i="43"/>
  <c r="C46" i="44"/>
  <c r="BD48" i="44"/>
  <c r="E16" i="20"/>
  <c r="BF238" i="40"/>
  <c r="D112" i="43"/>
  <c r="D113" i="43"/>
  <c r="D116" i="43"/>
  <c r="D120" i="43"/>
  <c r="D122" i="43"/>
  <c r="D123" i="43"/>
  <c r="D179" i="43"/>
  <c r="D178" i="43"/>
  <c r="D177" i="43"/>
  <c r="D176" i="43"/>
  <c r="D175" i="43"/>
  <c r="D174" i="43"/>
  <c r="D173" i="43"/>
  <c r="D172" i="43"/>
  <c r="D171" i="43"/>
  <c r="D170" i="43"/>
  <c r="D169" i="43"/>
  <c r="D168" i="43"/>
  <c r="D167" i="43"/>
  <c r="F114" i="43"/>
  <c r="F115" i="43"/>
  <c r="F121" i="43"/>
  <c r="C219" i="43"/>
  <c r="F159" i="43"/>
  <c r="O184" i="43"/>
  <c r="G213" i="40"/>
  <c r="O226" i="40"/>
  <c r="K226" i="40"/>
  <c r="G226" i="40"/>
  <c r="O225" i="40"/>
  <c r="K225" i="40"/>
  <c r="G225" i="40"/>
  <c r="O224" i="40"/>
  <c r="K224" i="40"/>
  <c r="G224" i="40"/>
  <c r="O223" i="40"/>
  <c r="K223" i="40"/>
  <c r="G223" i="40"/>
  <c r="O222" i="40"/>
  <c r="K222" i="40"/>
  <c r="G222" i="40"/>
  <c r="O221" i="40"/>
  <c r="K221" i="40"/>
  <c r="G221" i="40"/>
  <c r="O220" i="40"/>
  <c r="K220" i="40"/>
  <c r="G220" i="40"/>
  <c r="O219" i="40"/>
  <c r="K219" i="40"/>
  <c r="G219" i="40"/>
  <c r="O218" i="40"/>
  <c r="K218" i="40"/>
  <c r="G218" i="40"/>
  <c r="O217" i="40"/>
  <c r="K217" i="40"/>
  <c r="G217" i="40"/>
  <c r="O216" i="40"/>
  <c r="K216" i="40"/>
  <c r="G216" i="40"/>
  <c r="O215" i="40"/>
  <c r="K215" i="40"/>
  <c r="G215" i="40"/>
  <c r="O214" i="40"/>
  <c r="K214" i="40"/>
  <c r="G214" i="40"/>
  <c r="O213" i="40"/>
  <c r="K213" i="40"/>
  <c r="S135" i="49"/>
  <c r="A110" i="20"/>
  <c r="B77" i="43"/>
  <c r="T88" i="49"/>
  <c r="T87" i="49"/>
  <c r="T86" i="49"/>
  <c r="T85" i="49"/>
  <c r="T84" i="49"/>
  <c r="T83" i="49"/>
  <c r="T79" i="49"/>
  <c r="F123" i="43"/>
  <c r="C166" i="44"/>
  <c r="BD167" i="44"/>
  <c r="F122" i="43"/>
  <c r="C213" i="43"/>
  <c r="C165" i="44"/>
  <c r="BD166" i="44"/>
  <c r="F120" i="43"/>
  <c r="C163" i="44"/>
  <c r="BD164" i="44"/>
  <c r="F116" i="43"/>
  <c r="C159" i="44"/>
  <c r="F113" i="43"/>
  <c r="C223" i="43"/>
  <c r="C156" i="44"/>
  <c r="BD157" i="44"/>
  <c r="F112" i="43"/>
  <c r="C221" i="43"/>
  <c r="C155" i="44"/>
  <c r="BD156" i="44"/>
  <c r="D181" i="43"/>
  <c r="A126" i="20"/>
  <c r="B92" i="43"/>
  <c r="A118" i="20"/>
  <c r="B85" i="43"/>
  <c r="V146" i="49"/>
  <c r="T176" i="49"/>
  <c r="T175" i="49"/>
  <c r="T179" i="49"/>
  <c r="C348" i="43"/>
  <c r="B222" i="44"/>
  <c r="T164" i="49"/>
  <c r="U143" i="43"/>
  <c r="T143" i="43"/>
  <c r="S143" i="43"/>
  <c r="Q143" i="43"/>
  <c r="P143" i="43"/>
  <c r="O143" i="43"/>
  <c r="M143" i="43"/>
  <c r="L143" i="43"/>
  <c r="K143" i="43"/>
  <c r="U144" i="43"/>
  <c r="T144" i="43"/>
  <c r="S144" i="43"/>
  <c r="Q144" i="43"/>
  <c r="P144" i="43"/>
  <c r="O144" i="43"/>
  <c r="M144" i="43"/>
  <c r="L144" i="43"/>
  <c r="K144" i="43"/>
  <c r="C351" i="43"/>
  <c r="B225" i="44"/>
  <c r="V147" i="49"/>
  <c r="C347" i="43"/>
  <c r="B221" i="44"/>
  <c r="T161" i="49"/>
  <c r="V151" i="49"/>
  <c r="V148" i="49"/>
  <c r="T160" i="49"/>
  <c r="V152" i="49"/>
  <c r="C352" i="43"/>
  <c r="B226" i="44"/>
  <c r="T178" i="49"/>
  <c r="C350" i="43"/>
  <c r="B224" i="44"/>
  <c r="V149" i="49"/>
  <c r="C349" i="43"/>
  <c r="B223" i="44"/>
  <c r="T174" i="49"/>
  <c r="C346" i="43"/>
  <c r="B220" i="44"/>
  <c r="V150" i="49"/>
  <c r="T159" i="49"/>
  <c r="V143" i="43"/>
  <c r="T163" i="49"/>
  <c r="T177" i="49"/>
  <c r="T162" i="49"/>
  <c r="T180" i="49"/>
  <c r="T165" i="49"/>
  <c r="N143" i="43"/>
  <c r="R143" i="43"/>
  <c r="N144" i="43"/>
  <c r="R144" i="43"/>
  <c r="V144" i="43"/>
  <c r="D21" i="49"/>
  <c r="D20" i="49"/>
  <c r="C27" i="49"/>
  <c r="G24" i="49"/>
  <c r="G25" i="49"/>
  <c r="C26" i="49"/>
  <c r="C25" i="49"/>
  <c r="C24" i="49"/>
  <c r="C23" i="49"/>
  <c r="C22" i="49"/>
  <c r="C21" i="49"/>
  <c r="C20" i="49"/>
  <c r="C15" i="49"/>
  <c r="C13" i="49"/>
  <c r="W77" i="49"/>
  <c r="W76" i="49"/>
  <c r="V76" i="49"/>
  <c r="W73" i="49"/>
  <c r="W72" i="49"/>
  <c r="V72" i="49"/>
  <c r="W71" i="49"/>
  <c r="V71" i="49"/>
  <c r="W56" i="49"/>
  <c r="W55" i="49"/>
  <c r="V55" i="49"/>
  <c r="W52" i="49"/>
  <c r="W51" i="49"/>
  <c r="V51" i="49"/>
  <c r="W50" i="49"/>
  <c r="V50" i="49"/>
  <c r="C5" i="43"/>
  <c r="B48" i="44"/>
  <c r="BC50" i="44"/>
  <c r="N152" i="49"/>
  <c r="N151" i="49"/>
  <c r="N150" i="49"/>
  <c r="N149" i="49"/>
  <c r="N148" i="49"/>
  <c r="N147" i="49"/>
  <c r="C133" i="49"/>
  <c r="C122" i="49"/>
  <c r="C116" i="49"/>
  <c r="O78" i="49"/>
  <c r="O77" i="49"/>
  <c r="O76" i="49"/>
  <c r="O75" i="49"/>
  <c r="O74" i="49"/>
  <c r="O73" i="49"/>
  <c r="O71" i="49"/>
  <c r="O57" i="49"/>
  <c r="N57" i="49"/>
  <c r="O56" i="49"/>
  <c r="O55" i="49"/>
  <c r="O53" i="49"/>
  <c r="O52" i="49"/>
  <c r="O51" i="49"/>
  <c r="O50" i="49"/>
  <c r="K46" i="49"/>
  <c r="M46" i="49"/>
  <c r="K45" i="49"/>
  <c r="K44" i="49"/>
  <c r="K43" i="49"/>
  <c r="K42" i="49"/>
  <c r="K41" i="49"/>
  <c r="K40" i="49"/>
  <c r="K38" i="49"/>
  <c r="M38" i="49"/>
  <c r="K36" i="49"/>
  <c r="K35" i="49"/>
  <c r="BG18" i="40"/>
  <c r="BG17" i="40"/>
  <c r="BG16" i="40"/>
  <c r="BG15" i="40"/>
  <c r="BG14" i="40"/>
  <c r="BG13" i="40"/>
  <c r="BG12" i="40"/>
  <c r="BG11" i="40"/>
  <c r="BG10" i="40"/>
  <c r="BG9" i="40"/>
  <c r="BG8" i="40"/>
  <c r="BG7" i="40"/>
  <c r="BG6" i="40"/>
  <c r="BG5" i="40"/>
  <c r="S87" i="39"/>
  <c r="S88" i="39"/>
  <c r="S89" i="39"/>
  <c r="S90" i="39"/>
  <c r="S91" i="39"/>
  <c r="S92" i="39"/>
  <c r="S93" i="39"/>
  <c r="S94" i="39"/>
  <c r="S95" i="39"/>
  <c r="S72" i="39"/>
  <c r="S73" i="39"/>
  <c r="S74" i="39"/>
  <c r="S75" i="39"/>
  <c r="S76" i="39"/>
  <c r="S77" i="39"/>
  <c r="S78" i="39"/>
  <c r="S79" i="39"/>
  <c r="S80" i="39"/>
  <c r="C23" i="34"/>
  <c r="C24" i="34"/>
  <c r="G13" i="20"/>
  <c r="L71" i="39"/>
  <c r="L72" i="39"/>
  <c r="L73" i="39"/>
  <c r="L74" i="39"/>
  <c r="L75" i="39"/>
  <c r="R38" i="39"/>
  <c r="I20" i="39"/>
  <c r="I32" i="39"/>
  <c r="I43" i="39"/>
  <c r="I55" i="39"/>
  <c r="I10" i="39"/>
  <c r="I21" i="39"/>
  <c r="I33" i="39"/>
  <c r="I44" i="39"/>
  <c r="I56" i="39"/>
  <c r="I11" i="39"/>
  <c r="I22" i="39"/>
  <c r="I34" i="39"/>
  <c r="I45" i="39"/>
  <c r="I57" i="39"/>
  <c r="I12" i="39"/>
  <c r="I23" i="39"/>
  <c r="I35" i="39"/>
  <c r="I46" i="39"/>
  <c r="I58" i="39"/>
  <c r="I13" i="39"/>
  <c r="I24" i="39"/>
  <c r="I36" i="39"/>
  <c r="I47" i="39"/>
  <c r="I59" i="39"/>
  <c r="I14" i="39"/>
  <c r="I25" i="39"/>
  <c r="I37" i="39"/>
  <c r="I48" i="39"/>
  <c r="I60" i="39"/>
  <c r="I15" i="39"/>
  <c r="I26" i="39"/>
  <c r="I38" i="39"/>
  <c r="I49" i="39"/>
  <c r="I61" i="39"/>
  <c r="P21" i="39"/>
  <c r="Q21" i="39"/>
  <c r="P22" i="39"/>
  <c r="Q22" i="39"/>
  <c r="P23" i="39"/>
  <c r="Q23" i="39"/>
  <c r="L24" i="39"/>
  <c r="L25" i="39"/>
  <c r="L26" i="39"/>
  <c r="L27" i="39"/>
  <c r="L28" i="39"/>
  <c r="L29" i="39"/>
  <c r="L30" i="39"/>
  <c r="L31" i="39"/>
  <c r="L32" i="39"/>
  <c r="L33" i="39"/>
  <c r="P24" i="39"/>
  <c r="Q24" i="39"/>
  <c r="P25" i="39"/>
  <c r="Q25" i="39"/>
  <c r="P26" i="39"/>
  <c r="Q26" i="39"/>
  <c r="P27" i="39"/>
  <c r="Q27" i="39"/>
  <c r="P28" i="39"/>
  <c r="Q28" i="39"/>
  <c r="P29" i="39"/>
  <c r="Q29" i="39"/>
  <c r="P30" i="39"/>
  <c r="Q30" i="39"/>
  <c r="P31" i="39"/>
  <c r="Q31" i="39"/>
  <c r="P32" i="39"/>
  <c r="Q32" i="39"/>
  <c r="P33" i="39"/>
  <c r="Q33" i="39"/>
  <c r="P34" i="39"/>
  <c r="Q34" i="39"/>
  <c r="P35" i="39"/>
  <c r="Q35" i="39"/>
  <c r="C49" i="22"/>
  <c r="E15" i="35"/>
  <c r="E16" i="35"/>
  <c r="E17" i="35"/>
  <c r="E18" i="35"/>
  <c r="C18" i="22"/>
  <c r="C17" i="22"/>
  <c r="C6" i="22"/>
  <c r="C7" i="22"/>
  <c r="C8" i="22"/>
  <c r="C9" i="22"/>
  <c r="C11" i="22"/>
  <c r="C12" i="22"/>
  <c r="C5" i="22"/>
  <c r="B2" i="25"/>
  <c r="O36" i="12"/>
  <c r="P36" i="12"/>
  <c r="P35" i="12"/>
  <c r="P34" i="12"/>
  <c r="P33" i="12"/>
  <c r="P32" i="12"/>
  <c r="P31" i="12"/>
  <c r="P30" i="12"/>
  <c r="P29" i="12"/>
  <c r="P28" i="12"/>
  <c r="P27" i="12"/>
  <c r="P26" i="12"/>
  <c r="P25" i="12"/>
  <c r="P24" i="12"/>
  <c r="P23" i="12"/>
  <c r="P22" i="12"/>
  <c r="P21" i="12"/>
  <c r="P20" i="12"/>
  <c r="P19" i="12"/>
  <c r="P18" i="12"/>
  <c r="P17" i="12"/>
  <c r="P16" i="12"/>
  <c r="P15" i="12"/>
  <c r="P14" i="12"/>
  <c r="P13" i="12"/>
  <c r="P12" i="12"/>
  <c r="M3" i="39"/>
  <c r="C6" i="43"/>
  <c r="B49" i="44"/>
  <c r="BC51" i="44"/>
  <c r="T61" i="49"/>
  <c r="M9" i="39"/>
  <c r="M7" i="39"/>
  <c r="M5" i="39"/>
  <c r="T59" i="49"/>
  <c r="M8" i="39"/>
  <c r="M6" i="39"/>
  <c r="M4" i="39"/>
  <c r="M10" i="39"/>
  <c r="L60" i="49"/>
  <c r="L81" i="49"/>
  <c r="B7" i="44"/>
  <c r="BC7" i="44"/>
  <c r="U165" i="49"/>
  <c r="W165" i="49"/>
  <c r="U164" i="49"/>
  <c r="W164" i="49"/>
  <c r="U163" i="49"/>
  <c r="W163" i="49"/>
  <c r="E47" i="49"/>
  <c r="K14" i="49"/>
  <c r="B177" i="49"/>
  <c r="J135" i="49"/>
  <c r="B16" i="44"/>
  <c r="BC16" i="44"/>
  <c r="G23" i="20"/>
  <c r="F19" i="49"/>
  <c r="B108" i="49"/>
  <c r="C14" i="43"/>
  <c r="N78" i="49"/>
  <c r="AA105" i="49"/>
  <c r="AA98" i="49"/>
  <c r="AA96" i="49"/>
  <c r="AA84" i="49"/>
  <c r="AA82" i="49"/>
  <c r="AA77" i="49"/>
  <c r="AA75" i="49"/>
  <c r="AA73" i="49"/>
  <c r="AA63" i="49"/>
  <c r="AA61" i="49"/>
  <c r="AA56" i="49"/>
  <c r="AA54" i="49"/>
  <c r="AA52" i="49"/>
  <c r="AA38" i="49"/>
  <c r="AA37" i="49"/>
  <c r="G27" i="49"/>
  <c r="G14" i="49"/>
  <c r="L87" i="49"/>
  <c r="L86" i="49"/>
  <c r="L85" i="49"/>
  <c r="L84" i="49"/>
  <c r="L83" i="49"/>
  <c r="L82" i="49"/>
  <c r="L80" i="49"/>
  <c r="L79" i="49"/>
  <c r="L78" i="49"/>
  <c r="L77" i="49"/>
  <c r="L76" i="49"/>
  <c r="L75" i="49"/>
  <c r="L74" i="49"/>
  <c r="L73" i="49"/>
  <c r="L72" i="49"/>
  <c r="L71" i="49"/>
  <c r="L50" i="49"/>
  <c r="L66" i="49"/>
  <c r="L65" i="49"/>
  <c r="L64" i="49"/>
  <c r="L63" i="49"/>
  <c r="L62" i="49"/>
  <c r="L61" i="49"/>
  <c r="L59" i="49"/>
  <c r="L58" i="49"/>
  <c r="L57" i="49"/>
  <c r="L56" i="49"/>
  <c r="L55" i="49"/>
  <c r="L54" i="49"/>
  <c r="L53" i="49"/>
  <c r="L52" i="49"/>
  <c r="L51" i="49"/>
  <c r="M45" i="49"/>
  <c r="W53" i="49"/>
  <c r="V53" i="49"/>
  <c r="AC37" i="49"/>
  <c r="AF37" i="49"/>
  <c r="AP37" i="49"/>
  <c r="L5" i="43"/>
  <c r="T35" i="49"/>
  <c r="F5" i="43"/>
  <c r="W74" i="49"/>
  <c r="V74" i="49"/>
  <c r="M35" i="49"/>
  <c r="C3" i="43"/>
  <c r="B46" i="44"/>
  <c r="BC48" i="44"/>
  <c r="M36" i="49"/>
  <c r="C4" i="43"/>
  <c r="M40" i="49"/>
  <c r="C8" i="43"/>
  <c r="M41" i="49"/>
  <c r="C9" i="43"/>
  <c r="M42" i="49"/>
  <c r="C10" i="43"/>
  <c r="M43" i="49"/>
  <c r="C11" i="43"/>
  <c r="M44" i="49"/>
  <c r="C12" i="43"/>
  <c r="F67" i="49"/>
  <c r="F66" i="49"/>
  <c r="F65" i="49"/>
  <c r="F64" i="49"/>
  <c r="F63" i="49"/>
  <c r="F62" i="49"/>
  <c r="F61" i="49"/>
  <c r="F59" i="49"/>
  <c r="F58" i="49"/>
  <c r="AA106" i="49"/>
  <c r="T80" i="49"/>
  <c r="T82" i="49"/>
  <c r="U162" i="49"/>
  <c r="W162" i="49"/>
  <c r="U161" i="49"/>
  <c r="W161" i="49"/>
  <c r="U160" i="49"/>
  <c r="W160" i="49"/>
  <c r="U159" i="49"/>
  <c r="W159" i="49"/>
  <c r="W78" i="49"/>
  <c r="V78" i="49"/>
  <c r="W57" i="49"/>
  <c r="V57" i="49"/>
  <c r="T36" i="49"/>
  <c r="T38" i="49"/>
  <c r="U38" i="49"/>
  <c r="T40" i="49"/>
  <c r="T41" i="49"/>
  <c r="T42" i="49"/>
  <c r="T43" i="49"/>
  <c r="T44" i="49"/>
  <c r="T46" i="49"/>
  <c r="U46" i="49"/>
  <c r="U58" i="49"/>
  <c r="T58" i="49"/>
  <c r="U62" i="49"/>
  <c r="T62" i="49"/>
  <c r="U63" i="49"/>
  <c r="T63" i="49"/>
  <c r="U64" i="49"/>
  <c r="T64" i="49"/>
  <c r="U65" i="49"/>
  <c r="T65" i="49"/>
  <c r="U66" i="49"/>
  <c r="T66" i="49"/>
  <c r="U67" i="49"/>
  <c r="T67" i="49"/>
  <c r="N146" i="49"/>
  <c r="D3" i="36"/>
  <c r="D17" i="36"/>
  <c r="U59" i="49"/>
  <c r="U61" i="49"/>
  <c r="T16" i="49"/>
  <c r="C25" i="34"/>
  <c r="R22" i="39"/>
  <c r="R24" i="39"/>
  <c r="R26" i="39"/>
  <c r="R28" i="39"/>
  <c r="R30" i="39"/>
  <c r="R32" i="39"/>
  <c r="R34" i="39"/>
  <c r="R21" i="39"/>
  <c r="R23" i="39"/>
  <c r="R25" i="39"/>
  <c r="R27" i="39"/>
  <c r="R29" i="39"/>
  <c r="R31" i="39"/>
  <c r="R33" i="39"/>
  <c r="R35" i="39"/>
  <c r="F6" i="43"/>
  <c r="G6" i="43"/>
  <c r="H6" i="43"/>
  <c r="M47" i="49"/>
  <c r="U35" i="49"/>
  <c r="F60" i="49"/>
  <c r="P57" i="49"/>
  <c r="Q57" i="49"/>
  <c r="BC51" i="20"/>
  <c r="BC52" i="20"/>
  <c r="BD52" i="20"/>
  <c r="BC53" i="20"/>
  <c r="BD53" i="20"/>
  <c r="BC54" i="20"/>
  <c r="BD54" i="20"/>
  <c r="BC55" i="20"/>
  <c r="BD55" i="20"/>
  <c r="BC72" i="20"/>
  <c r="BC73" i="20"/>
  <c r="BD73" i="20"/>
  <c r="BC74" i="20"/>
  <c r="BD74" i="20"/>
  <c r="BC75" i="20"/>
  <c r="BD75" i="20"/>
  <c r="BC76" i="20"/>
  <c r="BD76" i="20"/>
  <c r="W105" i="49"/>
  <c r="F12" i="43"/>
  <c r="G12" i="43"/>
  <c r="H12" i="43"/>
  <c r="B55" i="44"/>
  <c r="BC57" i="44"/>
  <c r="F10" i="43"/>
  <c r="G10" i="43"/>
  <c r="H10" i="43"/>
  <c r="B53" i="44"/>
  <c r="BC55" i="44"/>
  <c r="F8" i="43"/>
  <c r="G8" i="43"/>
  <c r="H8" i="43"/>
  <c r="B51" i="44"/>
  <c r="BC53" i="44"/>
  <c r="F14" i="43"/>
  <c r="G14" i="43"/>
  <c r="H14" i="43"/>
  <c r="B57" i="44"/>
  <c r="BC59" i="44"/>
  <c r="F11" i="43"/>
  <c r="G11" i="43"/>
  <c r="H11" i="43"/>
  <c r="B54" i="44"/>
  <c r="BC56" i="44"/>
  <c r="F9" i="43"/>
  <c r="G9" i="43"/>
  <c r="H9" i="43"/>
  <c r="B52" i="44"/>
  <c r="BC54" i="44"/>
  <c r="F4" i="43"/>
  <c r="G4" i="43"/>
  <c r="H4" i="43"/>
  <c r="B47" i="44"/>
  <c r="BC49" i="44"/>
  <c r="E18" i="36"/>
  <c r="F18" i="36"/>
  <c r="I17" i="36"/>
  <c r="E19" i="36"/>
  <c r="I18" i="36"/>
  <c r="F19" i="36"/>
  <c r="E17" i="36"/>
  <c r="I19" i="36"/>
  <c r="F17" i="36"/>
  <c r="D4" i="36"/>
  <c r="D5" i="36"/>
  <c r="G18" i="36"/>
  <c r="H19" i="36"/>
  <c r="D19" i="36"/>
  <c r="G17" i="36"/>
  <c r="H18" i="36"/>
  <c r="D18" i="36"/>
  <c r="G19" i="36"/>
  <c r="H17" i="36"/>
  <c r="C13" i="43"/>
  <c r="C42" i="7"/>
  <c r="D7" i="51"/>
  <c r="D5" i="51"/>
  <c r="G84" i="51"/>
  <c r="T74" i="49"/>
  <c r="E54" i="49"/>
  <c r="E75" i="49"/>
  <c r="E74" i="49"/>
  <c r="E53" i="49"/>
  <c r="E57" i="49"/>
  <c r="E56" i="49"/>
  <c r="E78" i="49"/>
  <c r="E77" i="49"/>
  <c r="E102" i="49"/>
  <c r="D106" i="49"/>
  <c r="C104" i="20"/>
  <c r="T103" i="49"/>
  <c r="E103" i="49"/>
  <c r="K103" i="49"/>
  <c r="C105" i="20"/>
  <c r="T104" i="49"/>
  <c r="E104" i="49"/>
  <c r="K104" i="49"/>
  <c r="C106" i="20"/>
  <c r="T105" i="49"/>
  <c r="E105" i="49"/>
  <c r="K105" i="49"/>
  <c r="O93" i="49"/>
  <c r="D100" i="49"/>
  <c r="O94" i="49"/>
  <c r="W94" i="49"/>
  <c r="V94" i="49"/>
  <c r="O95" i="49"/>
  <c r="O96" i="49"/>
  <c r="O97" i="49"/>
  <c r="W104" i="49"/>
  <c r="F3" i="43"/>
  <c r="G3" i="43"/>
  <c r="H3" i="43"/>
  <c r="AM37" i="49"/>
  <c r="AG37" i="49"/>
  <c r="AC46" i="49"/>
  <c r="AD46" i="49"/>
  <c r="AP46" i="49"/>
  <c r="AC38" i="49"/>
  <c r="AF38" i="49"/>
  <c r="AQ38" i="49"/>
  <c r="AC35" i="49"/>
  <c r="AD35" i="49"/>
  <c r="AP35" i="49"/>
  <c r="L3" i="43"/>
  <c r="G5" i="43"/>
  <c r="U44" i="49"/>
  <c r="U43" i="49"/>
  <c r="U42" i="49"/>
  <c r="U41" i="49"/>
  <c r="U40" i="49"/>
  <c r="U36" i="49"/>
  <c r="X104" i="49"/>
  <c r="Y104" i="49"/>
  <c r="AA104" i="49"/>
  <c r="X103" i="49"/>
  <c r="Y103" i="49"/>
  <c r="X102" i="49"/>
  <c r="Y102" i="49"/>
  <c r="W166" i="49"/>
  <c r="W167" i="49"/>
  <c r="T45" i="49"/>
  <c r="T81" i="49"/>
  <c r="E50" i="49"/>
  <c r="T73" i="49"/>
  <c r="T72" i="49"/>
  <c r="E73" i="49"/>
  <c r="E72" i="49"/>
  <c r="E71" i="49"/>
  <c r="E52" i="49"/>
  <c r="F52" i="49"/>
  <c r="E51" i="49"/>
  <c r="F51" i="49"/>
  <c r="T60" i="49"/>
  <c r="K16" i="49"/>
  <c r="T51" i="49"/>
  <c r="T52" i="49"/>
  <c r="T14" i="49"/>
  <c r="K81" i="49"/>
  <c r="G22" i="49"/>
  <c r="G26" i="49"/>
  <c r="C63" i="7"/>
  <c r="E63" i="7"/>
  <c r="F63" i="7"/>
  <c r="C62" i="7"/>
  <c r="E62" i="7"/>
  <c r="F62" i="7"/>
  <c r="C61" i="7"/>
  <c r="E61" i="7"/>
  <c r="F61" i="7"/>
  <c r="C60" i="7"/>
  <c r="E60" i="7"/>
  <c r="F60" i="7"/>
  <c r="C59" i="7"/>
  <c r="E59" i="7"/>
  <c r="F59" i="7"/>
  <c r="C58" i="7"/>
  <c r="E58" i="7"/>
  <c r="F58" i="7"/>
  <c r="C57" i="7"/>
  <c r="E57" i="7"/>
  <c r="F57" i="7"/>
  <c r="C56" i="7"/>
  <c r="E56" i="7"/>
  <c r="F56" i="7"/>
  <c r="C55" i="7"/>
  <c r="E55" i="7"/>
  <c r="F55" i="7"/>
  <c r="C54" i="7"/>
  <c r="E54" i="7"/>
  <c r="F54" i="7"/>
  <c r="C53" i="7"/>
  <c r="E53" i="7"/>
  <c r="F53" i="7"/>
  <c r="C52" i="7"/>
  <c r="E52" i="7"/>
  <c r="F52" i="7"/>
  <c r="C51" i="7"/>
  <c r="E51" i="7"/>
  <c r="F51" i="7"/>
  <c r="C50" i="7"/>
  <c r="E50" i="7"/>
  <c r="F50" i="7"/>
  <c r="C49" i="7"/>
  <c r="E49" i="7"/>
  <c r="F49" i="7"/>
  <c r="C48" i="7"/>
  <c r="E48" i="7"/>
  <c r="F48" i="7"/>
  <c r="C47" i="7"/>
  <c r="E47" i="7"/>
  <c r="F47" i="7"/>
  <c r="C46" i="7"/>
  <c r="E46" i="7"/>
  <c r="F46" i="7"/>
  <c r="C45" i="7"/>
  <c r="E45" i="7"/>
  <c r="F45" i="7"/>
  <c r="C44" i="7"/>
  <c r="E44" i="7"/>
  <c r="F44" i="7"/>
  <c r="BD72" i="20"/>
  <c r="BD90" i="20"/>
  <c r="BC90" i="20"/>
  <c r="BD51" i="20"/>
  <c r="BD69" i="20"/>
  <c r="BC69" i="20"/>
  <c r="F13" i="43"/>
  <c r="G13" i="43"/>
  <c r="G15" i="43"/>
  <c r="B56" i="44"/>
  <c r="BC58" i="44"/>
  <c r="C15" i="43"/>
  <c r="B58" i="44"/>
  <c r="BC60" i="44"/>
  <c r="D107" i="49"/>
  <c r="C156" i="49"/>
  <c r="C39" i="7"/>
  <c r="C41" i="7"/>
  <c r="K17" i="36"/>
  <c r="W187" i="49"/>
  <c r="U174" i="49"/>
  <c r="W174" i="49"/>
  <c r="X146" i="49"/>
  <c r="K19" i="36"/>
  <c r="W189" i="49"/>
  <c r="U179" i="49"/>
  <c r="W179" i="49"/>
  <c r="X151" i="49"/>
  <c r="K18" i="36"/>
  <c r="W188" i="49"/>
  <c r="U177" i="49"/>
  <c r="W177" i="49"/>
  <c r="X149" i="49"/>
  <c r="G23" i="49"/>
  <c r="D12" i="51"/>
  <c r="AM18" i="51"/>
  <c r="G83" i="51"/>
  <c r="G85" i="51"/>
  <c r="G82" i="51"/>
  <c r="G81" i="51"/>
  <c r="G80" i="51"/>
  <c r="G79" i="51"/>
  <c r="AM17" i="51"/>
  <c r="G78" i="51"/>
  <c r="G77" i="51"/>
  <c r="G76" i="51"/>
  <c r="G75" i="51"/>
  <c r="G74" i="51"/>
  <c r="AM16" i="51"/>
  <c r="G73" i="51"/>
  <c r="G72" i="51"/>
  <c r="G71" i="51"/>
  <c r="G70" i="51"/>
  <c r="G69" i="51"/>
  <c r="AM15" i="51"/>
  <c r="G68" i="51"/>
  <c r="G67" i="51"/>
  <c r="G66" i="51"/>
  <c r="G65" i="51"/>
  <c r="G64" i="51"/>
  <c r="AM14" i="51"/>
  <c r="G63" i="51"/>
  <c r="G62" i="51"/>
  <c r="G61" i="51"/>
  <c r="G60" i="51"/>
  <c r="G59" i="51"/>
  <c r="AM13" i="51"/>
  <c r="G58" i="51"/>
  <c r="G57" i="51"/>
  <c r="G56" i="51"/>
  <c r="G55" i="51"/>
  <c r="G54" i="51"/>
  <c r="AM12" i="51"/>
  <c r="G53" i="51"/>
  <c r="G52" i="51"/>
  <c r="G51" i="51"/>
  <c r="G50" i="51"/>
  <c r="G49" i="51"/>
  <c r="AM11" i="51"/>
  <c r="G48" i="51"/>
  <c r="G47" i="51"/>
  <c r="G46" i="51"/>
  <c r="G45" i="51"/>
  <c r="G44" i="51"/>
  <c r="AM10" i="51"/>
  <c r="G43" i="51"/>
  <c r="AM9" i="51"/>
  <c r="G42" i="51"/>
  <c r="AM8" i="51"/>
  <c r="G41" i="51"/>
  <c r="AM7" i="51"/>
  <c r="G40" i="51"/>
  <c r="AM6" i="51"/>
  <c r="G39" i="51"/>
  <c r="G86" i="51"/>
  <c r="G87" i="51"/>
  <c r="G88" i="51"/>
  <c r="G89" i="51"/>
  <c r="AM19" i="51"/>
  <c r="G90" i="51"/>
  <c r="G91" i="51"/>
  <c r="G92" i="51"/>
  <c r="G93" i="51"/>
  <c r="G94" i="51"/>
  <c r="AM20" i="51"/>
  <c r="G95" i="51"/>
  <c r="G96" i="51"/>
  <c r="G97" i="51"/>
  <c r="G98" i="51"/>
  <c r="G99" i="51"/>
  <c r="AM21" i="51"/>
  <c r="G100" i="51"/>
  <c r="G101" i="51"/>
  <c r="G102" i="51"/>
  <c r="G103" i="51"/>
  <c r="G104" i="51"/>
  <c r="AM22" i="51"/>
  <c r="G105" i="51"/>
  <c r="G106" i="51"/>
  <c r="G107" i="51"/>
  <c r="G108" i="51"/>
  <c r="G109" i="51"/>
  <c r="AM23" i="51"/>
  <c r="G110" i="51"/>
  <c r="G111" i="51"/>
  <c r="G112" i="51"/>
  <c r="G113" i="51"/>
  <c r="G114" i="51"/>
  <c r="AM24" i="51"/>
  <c r="G115" i="51"/>
  <c r="G116" i="51"/>
  <c r="G117" i="51"/>
  <c r="G118" i="51"/>
  <c r="G119" i="51"/>
  <c r="AM25" i="51"/>
  <c r="G120" i="51"/>
  <c r="G121" i="51"/>
  <c r="G122" i="51"/>
  <c r="G123" i="51"/>
  <c r="G124" i="51"/>
  <c r="AM26" i="51"/>
  <c r="G125" i="51"/>
  <c r="G126" i="51"/>
  <c r="G127" i="51"/>
  <c r="G128" i="51"/>
  <c r="G129" i="51"/>
  <c r="AM27" i="51"/>
  <c r="G130" i="51"/>
  <c r="G131" i="51"/>
  <c r="G132" i="51"/>
  <c r="G133" i="51"/>
  <c r="G134" i="51"/>
  <c r="AM28" i="51"/>
  <c r="AS37" i="49"/>
  <c r="I5" i="43"/>
  <c r="N5" i="43"/>
  <c r="K87" i="49"/>
  <c r="K86" i="49"/>
  <c r="K85" i="49"/>
  <c r="K84" i="49"/>
  <c r="K83" i="49"/>
  <c r="K82" i="49"/>
  <c r="K80" i="49"/>
  <c r="K79" i="49"/>
  <c r="K78" i="49"/>
  <c r="K77" i="49"/>
  <c r="K76" i="49"/>
  <c r="K75" i="49"/>
  <c r="K74" i="49"/>
  <c r="K73" i="49"/>
  <c r="K72" i="49"/>
  <c r="K71" i="49"/>
  <c r="U45" i="49"/>
  <c r="T53" i="49"/>
  <c r="U53" i="49"/>
  <c r="F53" i="49"/>
  <c r="F54" i="49"/>
  <c r="K102" i="49"/>
  <c r="K106" i="49"/>
  <c r="E106" i="49"/>
  <c r="C103" i="20"/>
  <c r="T102" i="49"/>
  <c r="C107" i="20"/>
  <c r="W96" i="49"/>
  <c r="W103" i="49"/>
  <c r="W95" i="49"/>
  <c r="V95" i="49"/>
  <c r="W102" i="49"/>
  <c r="W93" i="49"/>
  <c r="V93" i="49"/>
  <c r="B101" i="20"/>
  <c r="F50" i="49"/>
  <c r="J15" i="43"/>
  <c r="K15" i="43"/>
  <c r="AC36" i="49"/>
  <c r="AD36" i="49"/>
  <c r="AP36" i="49"/>
  <c r="L4" i="43"/>
  <c r="AC40" i="49"/>
  <c r="AD40" i="49"/>
  <c r="AP40" i="49"/>
  <c r="L8" i="43"/>
  <c r="AC41" i="49"/>
  <c r="AD41" i="49"/>
  <c r="AP41" i="49"/>
  <c r="L9" i="43"/>
  <c r="AC42" i="49"/>
  <c r="AD42" i="49"/>
  <c r="AP42" i="49"/>
  <c r="L10" i="43"/>
  <c r="AC43" i="49"/>
  <c r="AD43" i="49"/>
  <c r="AP43" i="49"/>
  <c r="L11" i="43"/>
  <c r="AC44" i="49"/>
  <c r="AD44" i="49"/>
  <c r="AP44" i="49"/>
  <c r="L12" i="43"/>
  <c r="H5" i="43"/>
  <c r="AM35" i="49"/>
  <c r="AG35" i="49"/>
  <c r="AM38" i="49"/>
  <c r="I6" i="43"/>
  <c r="AG38" i="49"/>
  <c r="M6" i="43"/>
  <c r="M15" i="43"/>
  <c r="AM46" i="49"/>
  <c r="I14" i="43"/>
  <c r="AG46" i="49"/>
  <c r="L14" i="43"/>
  <c r="T50" i="49"/>
  <c r="T71" i="49"/>
  <c r="F56" i="49"/>
  <c r="F57" i="49"/>
  <c r="T77" i="49"/>
  <c r="T56" i="49"/>
  <c r="T76" i="49"/>
  <c r="U56" i="49"/>
  <c r="U52" i="49"/>
  <c r="U51" i="49"/>
  <c r="U50" i="49"/>
  <c r="U60" i="49"/>
  <c r="T75" i="49"/>
  <c r="K25" i="49"/>
  <c r="E76" i="49"/>
  <c r="E55" i="49"/>
  <c r="F55" i="49"/>
  <c r="T55" i="49"/>
  <c r="F15" i="43"/>
  <c r="H13" i="43"/>
  <c r="M81" i="49"/>
  <c r="BD135" i="20"/>
  <c r="BD136" i="20"/>
  <c r="BD137" i="20"/>
  <c r="BB179" i="20"/>
  <c r="BB180" i="20"/>
  <c r="B108" i="20"/>
  <c r="F84" i="49"/>
  <c r="T17" i="49"/>
  <c r="G22" i="20"/>
  <c r="B17" i="44"/>
  <c r="BC17" i="44"/>
  <c r="B13" i="44"/>
  <c r="BC13" i="44"/>
  <c r="Y146" i="49"/>
  <c r="U180" i="49"/>
  <c r="W180" i="49"/>
  <c r="X152" i="49"/>
  <c r="F72" i="49"/>
  <c r="F105" i="49"/>
  <c r="M105" i="49"/>
  <c r="K17" i="49"/>
  <c r="M71" i="49"/>
  <c r="P71" i="49"/>
  <c r="Q71" i="49"/>
  <c r="M73" i="49"/>
  <c r="M75" i="49"/>
  <c r="M77" i="49"/>
  <c r="M78" i="49"/>
  <c r="M79" i="49"/>
  <c r="M82" i="49"/>
  <c r="M84" i="49"/>
  <c r="M86" i="49"/>
  <c r="U178" i="49"/>
  <c r="W178" i="49"/>
  <c r="X150" i="49"/>
  <c r="U176" i="49"/>
  <c r="W176" i="49"/>
  <c r="F88" i="49"/>
  <c r="F82" i="49"/>
  <c r="F75" i="49"/>
  <c r="P83" i="49"/>
  <c r="Q83" i="49"/>
  <c r="U175" i="49"/>
  <c r="W175" i="49"/>
  <c r="X147" i="49"/>
  <c r="F86" i="49"/>
  <c r="F79" i="49"/>
  <c r="F74" i="49"/>
  <c r="F71" i="49"/>
  <c r="F103" i="49"/>
  <c r="M103" i="49"/>
  <c r="AC45" i="49"/>
  <c r="AD45" i="49"/>
  <c r="AP45" i="49"/>
  <c r="L13" i="43"/>
  <c r="L15" i="43"/>
  <c r="F76" i="49"/>
  <c r="F87" i="49"/>
  <c r="F85" i="49"/>
  <c r="F83" i="49"/>
  <c r="F81" i="49"/>
  <c r="F80" i="49"/>
  <c r="F73" i="49"/>
  <c r="F77" i="49"/>
  <c r="F104" i="49"/>
  <c r="M104" i="49"/>
  <c r="F102" i="49"/>
  <c r="M102" i="49"/>
  <c r="P78" i="49"/>
  <c r="Q78" i="49"/>
  <c r="M72" i="49"/>
  <c r="P72" i="49"/>
  <c r="Q72" i="49"/>
  <c r="M74" i="49"/>
  <c r="P74" i="49"/>
  <c r="M76" i="49"/>
  <c r="P76" i="49"/>
  <c r="Q76" i="49"/>
  <c r="M80" i="49"/>
  <c r="M83" i="49"/>
  <c r="M85" i="49"/>
  <c r="M87" i="49"/>
  <c r="F148" i="49"/>
  <c r="F149" i="49"/>
  <c r="L67" i="49"/>
  <c r="AN28" i="51"/>
  <c r="AO28" i="51"/>
  <c r="AN27" i="51"/>
  <c r="AO27" i="51"/>
  <c r="AN26" i="51"/>
  <c r="AO26" i="51"/>
  <c r="AN25" i="51"/>
  <c r="AO25" i="51"/>
  <c r="AN24" i="51"/>
  <c r="AO24" i="51"/>
  <c r="AN23" i="51"/>
  <c r="AO23" i="51"/>
  <c r="AN22" i="51"/>
  <c r="AO22" i="51"/>
  <c r="AN21" i="51"/>
  <c r="AO21" i="51"/>
  <c r="AN20" i="51"/>
  <c r="AO20" i="51"/>
  <c r="AN19" i="51"/>
  <c r="AO19" i="51"/>
  <c r="H39" i="51"/>
  <c r="AM5" i="51"/>
  <c r="AN6" i="51"/>
  <c r="AO6" i="51"/>
  <c r="AN7" i="51"/>
  <c r="AO7" i="51"/>
  <c r="AN8" i="51"/>
  <c r="AO8" i="51"/>
  <c r="AN9" i="51"/>
  <c r="AO9" i="51"/>
  <c r="AN10" i="51"/>
  <c r="AO10" i="51"/>
  <c r="AN11" i="51"/>
  <c r="AO11" i="51"/>
  <c r="AN12" i="51"/>
  <c r="AO12" i="51"/>
  <c r="AN13" i="51"/>
  <c r="AO13" i="51"/>
  <c r="AN14" i="51"/>
  <c r="AO14" i="51"/>
  <c r="AN15" i="51"/>
  <c r="AO15" i="51"/>
  <c r="AN16" i="51"/>
  <c r="AO16" i="51"/>
  <c r="AN17" i="51"/>
  <c r="AO17" i="51"/>
  <c r="AN18" i="51"/>
  <c r="AO18" i="51"/>
  <c r="L88" i="49"/>
  <c r="K88" i="49"/>
  <c r="M88" i="49"/>
  <c r="I3" i="43"/>
  <c r="N3" i="43"/>
  <c r="N14" i="43"/>
  <c r="AS46" i="49"/>
  <c r="N6" i="43"/>
  <c r="R6" i="43"/>
  <c r="P7" i="43"/>
  <c r="D220" i="43"/>
  <c r="AS38" i="49"/>
  <c r="H15" i="43"/>
  <c r="E89" i="49"/>
  <c r="E68" i="49"/>
  <c r="F68" i="49"/>
  <c r="AM44" i="49"/>
  <c r="AG44" i="49"/>
  <c r="AM43" i="49"/>
  <c r="AG43" i="49"/>
  <c r="AM42" i="49"/>
  <c r="AG42" i="49"/>
  <c r="AM41" i="49"/>
  <c r="AG41" i="49"/>
  <c r="AM40" i="49"/>
  <c r="AG40" i="49"/>
  <c r="AM36" i="49"/>
  <c r="AG36" i="49"/>
  <c r="C90" i="20"/>
  <c r="F78" i="49"/>
  <c r="T78" i="49"/>
  <c r="T57" i="49"/>
  <c r="U57" i="49"/>
  <c r="P146" i="49"/>
  <c r="Q146" i="49"/>
  <c r="M106" i="49"/>
  <c r="U55" i="49"/>
  <c r="P148" i="49"/>
  <c r="Q148" i="49"/>
  <c r="X148" i="49"/>
  <c r="Y148" i="49"/>
  <c r="U76" i="49"/>
  <c r="Z76" i="49"/>
  <c r="B14" i="44"/>
  <c r="BC14" i="44"/>
  <c r="AM45" i="49"/>
  <c r="C44" i="43"/>
  <c r="C52" i="43"/>
  <c r="C48" i="43"/>
  <c r="C45" i="43"/>
  <c r="C56" i="43"/>
  <c r="C46" i="43"/>
  <c r="B89" i="44"/>
  <c r="BC91" i="44"/>
  <c r="D104" i="20"/>
  <c r="C54" i="43"/>
  <c r="C50" i="43"/>
  <c r="C42" i="43"/>
  <c r="C40" i="43"/>
  <c r="D106" i="20"/>
  <c r="C55" i="43"/>
  <c r="C53" i="43"/>
  <c r="U83" i="49"/>
  <c r="C49" i="43"/>
  <c r="C47" i="43"/>
  <c r="C43" i="43"/>
  <c r="C39" i="43"/>
  <c r="B82" i="44"/>
  <c r="BC84" i="44"/>
  <c r="C41" i="43"/>
  <c r="D105" i="20"/>
  <c r="D107" i="20"/>
  <c r="D103" i="20"/>
  <c r="L89" i="49"/>
  <c r="K89" i="49"/>
  <c r="L68" i="49"/>
  <c r="W181" i="49"/>
  <c r="W182" i="49"/>
  <c r="T136" i="49"/>
  <c r="F89" i="49"/>
  <c r="F106" i="49"/>
  <c r="AG45" i="49"/>
  <c r="M89" i="49"/>
  <c r="AN5" i="51"/>
  <c r="AN29" i="51"/>
  <c r="AO5" i="51"/>
  <c r="AO29" i="51"/>
  <c r="X50" i="49"/>
  <c r="Y50" i="49"/>
  <c r="AA102" i="49"/>
  <c r="I4" i="43"/>
  <c r="N4" i="43"/>
  <c r="I8" i="43"/>
  <c r="N8" i="43"/>
  <c r="I9" i="43"/>
  <c r="N9" i="43"/>
  <c r="I10" i="43"/>
  <c r="N10" i="43"/>
  <c r="I11" i="43"/>
  <c r="N11" i="43"/>
  <c r="I12" i="43"/>
  <c r="N12" i="43"/>
  <c r="S6" i="43"/>
  <c r="Q6" i="43"/>
  <c r="X53" i="49"/>
  <c r="Y53" i="49"/>
  <c r="T54" i="49"/>
  <c r="C69" i="20"/>
  <c r="AP105" i="49"/>
  <c r="L73" i="43"/>
  <c r="X51" i="49"/>
  <c r="Y51" i="49"/>
  <c r="Y151" i="49"/>
  <c r="Y152" i="49"/>
  <c r="Y150" i="49"/>
  <c r="Y149" i="49"/>
  <c r="Y147" i="49"/>
  <c r="AA146" i="49"/>
  <c r="C149" i="43"/>
  <c r="E149" i="43"/>
  <c r="P147" i="49"/>
  <c r="Q147" i="49"/>
  <c r="P151" i="49"/>
  <c r="Q151" i="49"/>
  <c r="P150" i="49"/>
  <c r="Q150" i="49"/>
  <c r="P152" i="49"/>
  <c r="Q152" i="49"/>
  <c r="K68" i="49"/>
  <c r="I13" i="43"/>
  <c r="N13" i="43"/>
  <c r="N15" i="43"/>
  <c r="C70" i="43"/>
  <c r="B113" i="44"/>
  <c r="BC115" i="44"/>
  <c r="U102" i="49"/>
  <c r="C72" i="43"/>
  <c r="F72" i="43"/>
  <c r="G72" i="43"/>
  <c r="H72" i="43"/>
  <c r="U104" i="49"/>
  <c r="AC104" i="49"/>
  <c r="AN104" i="49"/>
  <c r="J72" i="43"/>
  <c r="C73" i="43"/>
  <c r="F73" i="43"/>
  <c r="G73" i="43"/>
  <c r="H73" i="43"/>
  <c r="U105" i="49"/>
  <c r="AC105" i="49"/>
  <c r="AE105" i="49"/>
  <c r="AO105" i="49"/>
  <c r="C71" i="43"/>
  <c r="F71" i="43"/>
  <c r="G71" i="43"/>
  <c r="H71" i="43"/>
  <c r="U103" i="49"/>
  <c r="AC103" i="49"/>
  <c r="AE103" i="49"/>
  <c r="AO103" i="49"/>
  <c r="U54" i="49"/>
  <c r="U84" i="49"/>
  <c r="AC84" i="49"/>
  <c r="AM84" i="49"/>
  <c r="I52" i="43"/>
  <c r="P149" i="49"/>
  <c r="Q149" i="49"/>
  <c r="Q154" i="49"/>
  <c r="U82" i="49"/>
  <c r="AC82" i="49"/>
  <c r="AM82" i="49"/>
  <c r="I50" i="43"/>
  <c r="U85" i="49"/>
  <c r="AC102" i="49"/>
  <c r="AE102" i="49"/>
  <c r="AO102" i="49"/>
  <c r="F170" i="49"/>
  <c r="F171" i="49"/>
  <c r="C178" i="49"/>
  <c r="K136" i="49"/>
  <c r="U88" i="49"/>
  <c r="AC88" i="49"/>
  <c r="AE88" i="49"/>
  <c r="AO88" i="49"/>
  <c r="U80" i="49"/>
  <c r="AC80" i="49"/>
  <c r="AN80" i="49"/>
  <c r="F41" i="43"/>
  <c r="G41" i="43"/>
  <c r="H41" i="43"/>
  <c r="B84" i="44"/>
  <c r="BC86" i="44"/>
  <c r="F43" i="43"/>
  <c r="G43" i="43"/>
  <c r="H43" i="43"/>
  <c r="B86" i="44"/>
  <c r="BC88" i="44"/>
  <c r="F47" i="43"/>
  <c r="G47" i="43"/>
  <c r="H47" i="43"/>
  <c r="B90" i="44"/>
  <c r="BC92" i="44"/>
  <c r="F49" i="43"/>
  <c r="G49" i="43"/>
  <c r="H49" i="43"/>
  <c r="B92" i="44"/>
  <c r="BC94" i="44"/>
  <c r="F53" i="43"/>
  <c r="G53" i="43"/>
  <c r="H53" i="43"/>
  <c r="B96" i="44"/>
  <c r="BC98" i="44"/>
  <c r="F55" i="43"/>
  <c r="G55" i="43"/>
  <c r="H55" i="43"/>
  <c r="B98" i="44"/>
  <c r="BC100" i="44"/>
  <c r="F40" i="43"/>
  <c r="G40" i="43"/>
  <c r="H40" i="43"/>
  <c r="B83" i="44"/>
  <c r="BC85" i="44"/>
  <c r="F42" i="43"/>
  <c r="G42" i="43"/>
  <c r="H42" i="43"/>
  <c r="B85" i="44"/>
  <c r="BC87" i="44"/>
  <c r="F50" i="43"/>
  <c r="G50" i="43"/>
  <c r="H50" i="43"/>
  <c r="B93" i="44"/>
  <c r="BC95" i="44"/>
  <c r="F54" i="43"/>
  <c r="G54" i="43"/>
  <c r="H54" i="43"/>
  <c r="B97" i="44"/>
  <c r="BC99" i="44"/>
  <c r="F56" i="43"/>
  <c r="G56" i="43"/>
  <c r="H56" i="43"/>
  <c r="B99" i="44"/>
  <c r="BC101" i="44"/>
  <c r="F45" i="43"/>
  <c r="G45" i="43"/>
  <c r="H45" i="43"/>
  <c r="B88" i="44"/>
  <c r="BC90" i="44"/>
  <c r="F48" i="43"/>
  <c r="G48" i="43"/>
  <c r="H48" i="43"/>
  <c r="B91" i="44"/>
  <c r="BC93" i="44"/>
  <c r="F52" i="43"/>
  <c r="G52" i="43"/>
  <c r="H52" i="43"/>
  <c r="B95" i="44"/>
  <c r="BC97" i="44"/>
  <c r="F44" i="43"/>
  <c r="G44" i="43"/>
  <c r="H44" i="43"/>
  <c r="B87" i="44"/>
  <c r="BC89" i="44"/>
  <c r="U78" i="49"/>
  <c r="Z78" i="49"/>
  <c r="U73" i="49"/>
  <c r="AC73" i="49"/>
  <c r="AM73" i="49"/>
  <c r="I41" i="43"/>
  <c r="U77" i="49"/>
  <c r="AC77" i="49"/>
  <c r="AM77" i="49"/>
  <c r="I45" i="43"/>
  <c r="U72" i="49"/>
  <c r="Z72" i="49"/>
  <c r="U75" i="49"/>
  <c r="AC75" i="49"/>
  <c r="AM75" i="49"/>
  <c r="I43" i="43"/>
  <c r="U81" i="49"/>
  <c r="U74" i="49"/>
  <c r="Z74" i="49"/>
  <c r="U86" i="49"/>
  <c r="C51" i="43"/>
  <c r="U71" i="49"/>
  <c r="Z71" i="49"/>
  <c r="U79" i="49"/>
  <c r="U87" i="49"/>
  <c r="Y154" i="49"/>
  <c r="AA103" i="49"/>
  <c r="AP102" i="49"/>
  <c r="R7" i="43"/>
  <c r="D223" i="43"/>
  <c r="F46" i="43"/>
  <c r="G46" i="43"/>
  <c r="F39" i="43"/>
  <c r="X57" i="49"/>
  <c r="Y57" i="49"/>
  <c r="X55" i="49"/>
  <c r="Y55" i="49"/>
  <c r="AC76" i="49"/>
  <c r="AM76" i="49"/>
  <c r="X76" i="49"/>
  <c r="Y76" i="49"/>
  <c r="AA76" i="49"/>
  <c r="AC83" i="49"/>
  <c r="AM83" i="49"/>
  <c r="AA147" i="49"/>
  <c r="AA148" i="49"/>
  <c r="AA149" i="49"/>
  <c r="AA150" i="49"/>
  <c r="AA152" i="49"/>
  <c r="AA151" i="49"/>
  <c r="C150" i="43"/>
  <c r="E150" i="43"/>
  <c r="U149" i="43"/>
  <c r="T149" i="43"/>
  <c r="S149" i="43"/>
  <c r="Q149" i="43"/>
  <c r="P149" i="43"/>
  <c r="O149" i="43"/>
  <c r="M149" i="43"/>
  <c r="L149" i="43"/>
  <c r="K149" i="43"/>
  <c r="C74" i="43"/>
  <c r="B117" i="44"/>
  <c r="BC119" i="44"/>
  <c r="M68" i="49"/>
  <c r="K18" i="49"/>
  <c r="D184" i="49"/>
  <c r="M142" i="49"/>
  <c r="K52" i="49"/>
  <c r="M52" i="49"/>
  <c r="K54" i="49"/>
  <c r="M54" i="49"/>
  <c r="C22" i="43"/>
  <c r="B65" i="44"/>
  <c r="BC67" i="44"/>
  <c r="K58" i="49"/>
  <c r="M58" i="49"/>
  <c r="K60" i="49"/>
  <c r="M60" i="49"/>
  <c r="K64" i="49"/>
  <c r="M64" i="49"/>
  <c r="K50" i="49"/>
  <c r="M50" i="49"/>
  <c r="K51" i="49"/>
  <c r="M51" i="49"/>
  <c r="K53" i="49"/>
  <c r="M53" i="49"/>
  <c r="K55" i="49"/>
  <c r="M55" i="49"/>
  <c r="K57" i="49"/>
  <c r="K59" i="49"/>
  <c r="M59" i="49"/>
  <c r="K61" i="49"/>
  <c r="M61" i="49"/>
  <c r="K63" i="49"/>
  <c r="M63" i="49"/>
  <c r="K65" i="49"/>
  <c r="M65" i="49"/>
  <c r="K67" i="49"/>
  <c r="M67" i="49"/>
  <c r="K56" i="49"/>
  <c r="M56" i="49"/>
  <c r="K62" i="49"/>
  <c r="K66" i="49"/>
  <c r="M66" i="49"/>
  <c r="I15" i="43"/>
  <c r="M90" i="49"/>
  <c r="B116" i="44"/>
  <c r="BC118" i="44"/>
  <c r="AS84" i="49"/>
  <c r="AD82" i="49"/>
  <c r="AP82" i="49"/>
  <c r="AS82" i="49"/>
  <c r="B114" i="44"/>
  <c r="BC116" i="44"/>
  <c r="B115" i="44"/>
  <c r="BC117" i="44"/>
  <c r="F70" i="43"/>
  <c r="G70" i="43"/>
  <c r="H70" i="43"/>
  <c r="AD84" i="49"/>
  <c r="AP84" i="49"/>
  <c r="AG102" i="49"/>
  <c r="AM102" i="49"/>
  <c r="I70" i="43"/>
  <c r="AC85" i="49"/>
  <c r="AO85" i="49"/>
  <c r="F51" i="43"/>
  <c r="G51" i="43"/>
  <c r="H51" i="43"/>
  <c r="B94" i="44"/>
  <c r="BC96" i="44"/>
  <c r="AE104" i="49"/>
  <c r="AO104" i="49"/>
  <c r="AC81" i="49"/>
  <c r="AN81" i="49"/>
  <c r="AT104" i="49"/>
  <c r="AS73" i="49"/>
  <c r="AC78" i="49"/>
  <c r="AN78" i="49"/>
  <c r="X78" i="49"/>
  <c r="Y78" i="49"/>
  <c r="AA78" i="49"/>
  <c r="AD73" i="49"/>
  <c r="AP73" i="49"/>
  <c r="AS75" i="49"/>
  <c r="AS77" i="49"/>
  <c r="AC87" i="49"/>
  <c r="AN87" i="49"/>
  <c r="AC74" i="49"/>
  <c r="AN74" i="49"/>
  <c r="AD75" i="49"/>
  <c r="AP75" i="49"/>
  <c r="AC86" i="49"/>
  <c r="AN86" i="49"/>
  <c r="AC79" i="49"/>
  <c r="AM79" i="49"/>
  <c r="X72" i="49"/>
  <c r="Y72" i="49"/>
  <c r="AA72" i="49"/>
  <c r="AC72" i="49"/>
  <c r="AM72" i="49"/>
  <c r="X74" i="49"/>
  <c r="Y74" i="49"/>
  <c r="AC71" i="49"/>
  <c r="AM71" i="49"/>
  <c r="C57" i="43"/>
  <c r="B100" i="44"/>
  <c r="BC102" i="44"/>
  <c r="X71" i="49"/>
  <c r="Y71" i="49"/>
  <c r="AA71" i="49"/>
  <c r="U89" i="49"/>
  <c r="AM88" i="49"/>
  <c r="I56" i="43"/>
  <c r="AA154" i="49"/>
  <c r="C185" i="43"/>
  <c r="C188" i="43"/>
  <c r="U68" i="49"/>
  <c r="L70" i="43"/>
  <c r="AN103" i="49"/>
  <c r="AP103" i="49"/>
  <c r="AG103" i="49"/>
  <c r="K71" i="43"/>
  <c r="AG88" i="49"/>
  <c r="K56" i="43"/>
  <c r="AN105" i="49"/>
  <c r="AG105" i="49"/>
  <c r="K73" i="43"/>
  <c r="AS76" i="49"/>
  <c r="H46" i="43"/>
  <c r="G39" i="43"/>
  <c r="H39" i="43"/>
  <c r="AE83" i="49"/>
  <c r="AO83" i="49"/>
  <c r="AD80" i="49"/>
  <c r="AP80" i="49"/>
  <c r="AD76" i="49"/>
  <c r="AP76" i="49"/>
  <c r="C147" i="43"/>
  <c r="E147" i="43"/>
  <c r="U147" i="43"/>
  <c r="C156" i="43"/>
  <c r="E156" i="43"/>
  <c r="F156" i="43"/>
  <c r="X156" i="43"/>
  <c r="U150" i="43"/>
  <c r="T150" i="43"/>
  <c r="S150" i="43"/>
  <c r="Q150" i="43"/>
  <c r="P150" i="43"/>
  <c r="O150" i="43"/>
  <c r="M150" i="43"/>
  <c r="L150" i="43"/>
  <c r="K150" i="43"/>
  <c r="N149" i="43"/>
  <c r="R149" i="43"/>
  <c r="V149" i="43"/>
  <c r="F22" i="43"/>
  <c r="G22" i="43"/>
  <c r="AC54" i="49"/>
  <c r="AD54" i="49"/>
  <c r="AP54" i="49"/>
  <c r="L18" i="49"/>
  <c r="U18" i="49"/>
  <c r="C34" i="43"/>
  <c r="AC66" i="49"/>
  <c r="M57" i="49"/>
  <c r="C24" i="43"/>
  <c r="AC56" i="49"/>
  <c r="C33" i="43"/>
  <c r="AC65" i="49"/>
  <c r="AC61" i="49"/>
  <c r="C29" i="43"/>
  <c r="AD61" i="49"/>
  <c r="AP61" i="49"/>
  <c r="P53" i="49"/>
  <c r="Q53" i="49"/>
  <c r="Z53" i="49"/>
  <c r="C21" i="43"/>
  <c r="AC53" i="49"/>
  <c r="C18" i="43"/>
  <c r="P50" i="49"/>
  <c r="Q50" i="49"/>
  <c r="Z50" i="49"/>
  <c r="AC50" i="49"/>
  <c r="AD50" i="49"/>
  <c r="AP50" i="49"/>
  <c r="L18" i="43"/>
  <c r="C28" i="43"/>
  <c r="AC60" i="49"/>
  <c r="M62" i="49"/>
  <c r="P62" i="49"/>
  <c r="Q62" i="49"/>
  <c r="C35" i="43"/>
  <c r="AC67" i="49"/>
  <c r="AE67" i="49"/>
  <c r="AO67" i="49"/>
  <c r="C31" i="43"/>
  <c r="AC63" i="49"/>
  <c r="C27" i="43"/>
  <c r="AC59" i="49"/>
  <c r="P55" i="49"/>
  <c r="Q55" i="49"/>
  <c r="C23" i="43"/>
  <c r="Z55" i="49"/>
  <c r="AC55" i="49"/>
  <c r="P51" i="49"/>
  <c r="Q51" i="49"/>
  <c r="Z51" i="49"/>
  <c r="C19" i="43"/>
  <c r="AC51" i="49"/>
  <c r="AD51" i="49"/>
  <c r="AP51" i="49"/>
  <c r="L19" i="43"/>
  <c r="C32" i="43"/>
  <c r="AC64" i="49"/>
  <c r="C26" i="43"/>
  <c r="AC58" i="49"/>
  <c r="AD58" i="49"/>
  <c r="AP58" i="49"/>
  <c r="L26" i="43"/>
  <c r="C20" i="43"/>
  <c r="AC52" i="49"/>
  <c r="K70" i="43"/>
  <c r="N70" i="43"/>
  <c r="AE84" i="49"/>
  <c r="AG84" i="49"/>
  <c r="AS102" i="49"/>
  <c r="AG82" i="49"/>
  <c r="L50" i="43"/>
  <c r="N50" i="43"/>
  <c r="F74" i="43"/>
  <c r="G74" i="43"/>
  <c r="H74" i="43"/>
  <c r="AD74" i="49"/>
  <c r="AP74" i="49"/>
  <c r="L42" i="43"/>
  <c r="AD85" i="49"/>
  <c r="AP85" i="49"/>
  <c r="F57" i="43"/>
  <c r="AD81" i="49"/>
  <c r="AP81" i="49"/>
  <c r="AG104" i="49"/>
  <c r="K72" i="43"/>
  <c r="N72" i="43"/>
  <c r="L147" i="43"/>
  <c r="AD86" i="49"/>
  <c r="AP86" i="49"/>
  <c r="Q147" i="43"/>
  <c r="O147" i="43"/>
  <c r="T147" i="43"/>
  <c r="AD72" i="49"/>
  <c r="AP72" i="49"/>
  <c r="L40" i="43"/>
  <c r="AT78" i="49"/>
  <c r="AD77" i="49"/>
  <c r="AE77" i="49"/>
  <c r="AN77" i="49"/>
  <c r="AT77" i="49"/>
  <c r="AD78" i="49"/>
  <c r="AP78" i="49"/>
  <c r="L46" i="43"/>
  <c r="AG75" i="49"/>
  <c r="L43" i="43"/>
  <c r="N43" i="43"/>
  <c r="AS88" i="49"/>
  <c r="AS72" i="49"/>
  <c r="AD79" i="49"/>
  <c r="AP79" i="49"/>
  <c r="L47" i="43"/>
  <c r="AD87" i="49"/>
  <c r="AP87" i="49"/>
  <c r="AG73" i="49"/>
  <c r="L41" i="43"/>
  <c r="N41" i="43"/>
  <c r="AS71" i="49"/>
  <c r="AD71" i="49"/>
  <c r="AP71" i="49"/>
  <c r="L39" i="43"/>
  <c r="AM54" i="49"/>
  <c r="AS54" i="49"/>
  <c r="K147" i="43"/>
  <c r="M147" i="43"/>
  <c r="P147" i="43"/>
  <c r="S147" i="43"/>
  <c r="AG76" i="49"/>
  <c r="I44" i="43"/>
  <c r="AG80" i="49"/>
  <c r="J48" i="43"/>
  <c r="AG83" i="49"/>
  <c r="I51" i="43"/>
  <c r="L71" i="43"/>
  <c r="AT103" i="49"/>
  <c r="J71" i="43"/>
  <c r="L44" i="43"/>
  <c r="K51" i="43"/>
  <c r="AT105" i="49"/>
  <c r="J73" i="43"/>
  <c r="N73" i="43"/>
  <c r="N56" i="43"/>
  <c r="H22" i="43"/>
  <c r="I90" i="43"/>
  <c r="H57" i="43"/>
  <c r="M36" i="43"/>
  <c r="J90" i="43"/>
  <c r="K90" i="43"/>
  <c r="G57" i="43"/>
  <c r="M57" i="43"/>
  <c r="O207" i="43"/>
  <c r="S184" i="43"/>
  <c r="U156" i="43"/>
  <c r="T156" i="43"/>
  <c r="S156" i="43"/>
  <c r="Q156" i="43"/>
  <c r="P156" i="43"/>
  <c r="O156" i="43"/>
  <c r="M156" i="43"/>
  <c r="L156" i="43"/>
  <c r="K156" i="43"/>
  <c r="N150" i="43"/>
  <c r="R150" i="43"/>
  <c r="V150" i="43"/>
  <c r="AG54" i="49"/>
  <c r="L22" i="43"/>
  <c r="AA51" i="49"/>
  <c r="AM52" i="49"/>
  <c r="F26" i="43"/>
  <c r="G26" i="43"/>
  <c r="H26" i="43"/>
  <c r="B69" i="44"/>
  <c r="BC71" i="44"/>
  <c r="AO64" i="49"/>
  <c r="F19" i="43"/>
  <c r="G19" i="43"/>
  <c r="H19" i="43"/>
  <c r="B62" i="44"/>
  <c r="BC64" i="44"/>
  <c r="AN59" i="49"/>
  <c r="AD63" i="49"/>
  <c r="AM63" i="49"/>
  <c r="F35" i="43"/>
  <c r="G35" i="43"/>
  <c r="H35" i="43"/>
  <c r="B78" i="44"/>
  <c r="BC80" i="44"/>
  <c r="AC62" i="49"/>
  <c r="C30" i="43"/>
  <c r="AE62" i="49"/>
  <c r="AO62" i="49"/>
  <c r="AN60" i="49"/>
  <c r="F18" i="43"/>
  <c r="B61" i="44"/>
  <c r="BC63" i="44"/>
  <c r="AN53" i="49"/>
  <c r="AM61" i="49"/>
  <c r="AG61" i="49"/>
  <c r="AN65" i="49"/>
  <c r="AM56" i="49"/>
  <c r="C25" i="43"/>
  <c r="Z57" i="49"/>
  <c r="AA57" i="49"/>
  <c r="AC57" i="49"/>
  <c r="AN66" i="49"/>
  <c r="F20" i="43"/>
  <c r="G20" i="43"/>
  <c r="H20" i="43"/>
  <c r="B63" i="44"/>
  <c r="BC65" i="44"/>
  <c r="AM58" i="49"/>
  <c r="AG58" i="49"/>
  <c r="F32" i="43"/>
  <c r="G32" i="43"/>
  <c r="H32" i="43"/>
  <c r="B75" i="44"/>
  <c r="BC77" i="44"/>
  <c r="AM51" i="49"/>
  <c r="AG51" i="49"/>
  <c r="AM55" i="49"/>
  <c r="AD55" i="49"/>
  <c r="B66" i="44"/>
  <c r="BC68" i="44"/>
  <c r="F23" i="43"/>
  <c r="G23" i="43"/>
  <c r="H23" i="43"/>
  <c r="F27" i="43"/>
  <c r="G27" i="43"/>
  <c r="H27" i="43"/>
  <c r="B70" i="44"/>
  <c r="BC72" i="44"/>
  <c r="B74" i="44"/>
  <c r="BC76" i="44"/>
  <c r="F31" i="43"/>
  <c r="G31" i="43"/>
  <c r="H31" i="43"/>
  <c r="AM67" i="49"/>
  <c r="AG67" i="49"/>
  <c r="F28" i="43"/>
  <c r="G28" i="43"/>
  <c r="H28" i="43"/>
  <c r="B71" i="44"/>
  <c r="BC73" i="44"/>
  <c r="AM50" i="49"/>
  <c r="AG50" i="49"/>
  <c r="F21" i="43"/>
  <c r="G21" i="43"/>
  <c r="H21" i="43"/>
  <c r="B64" i="44"/>
  <c r="BC66" i="44"/>
  <c r="F29" i="43"/>
  <c r="G29" i="43"/>
  <c r="H29" i="43"/>
  <c r="B72" i="44"/>
  <c r="BC74" i="44"/>
  <c r="F33" i="43"/>
  <c r="G33" i="43"/>
  <c r="H33" i="43"/>
  <c r="B76" i="44"/>
  <c r="BC78" i="44"/>
  <c r="F24" i="43"/>
  <c r="G24" i="43"/>
  <c r="H24" i="43"/>
  <c r="B67" i="44"/>
  <c r="BC69" i="44"/>
  <c r="F34" i="43"/>
  <c r="G34" i="43"/>
  <c r="H34" i="43"/>
  <c r="B77" i="44"/>
  <c r="BC79" i="44"/>
  <c r="AA55" i="49"/>
  <c r="AD52" i="49"/>
  <c r="AP52" i="49"/>
  <c r="AD64" i="49"/>
  <c r="AP64" i="49"/>
  <c r="AD59" i="49"/>
  <c r="AP59" i="49"/>
  <c r="AD60" i="49"/>
  <c r="AP60" i="49"/>
  <c r="AA50" i="49"/>
  <c r="AD53" i="49"/>
  <c r="AP53" i="49"/>
  <c r="L21" i="43"/>
  <c r="AA53" i="49"/>
  <c r="AD65" i="49"/>
  <c r="AP65" i="49"/>
  <c r="AD66" i="49"/>
  <c r="AP66" i="49"/>
  <c r="V147" i="43"/>
  <c r="AG74" i="49"/>
  <c r="J42" i="43"/>
  <c r="N42" i="43"/>
  <c r="AO84" i="49"/>
  <c r="K52" i="43"/>
  <c r="AG85" i="49"/>
  <c r="K53" i="43"/>
  <c r="AG86" i="49"/>
  <c r="J54" i="43"/>
  <c r="AG81" i="49"/>
  <c r="J49" i="43"/>
  <c r="AG72" i="49"/>
  <c r="I40" i="43"/>
  <c r="N40" i="43"/>
  <c r="AG79" i="49"/>
  <c r="I47" i="43"/>
  <c r="N47" i="43"/>
  <c r="AG71" i="49"/>
  <c r="I39" i="43"/>
  <c r="N39" i="43"/>
  <c r="AG77" i="49"/>
  <c r="J45" i="43"/>
  <c r="N45" i="43"/>
  <c r="R147" i="43"/>
  <c r="N147" i="43"/>
  <c r="AG78" i="49"/>
  <c r="J46" i="43"/>
  <c r="N46" i="43"/>
  <c r="AG87" i="49"/>
  <c r="J55" i="43"/>
  <c r="I22" i="43"/>
  <c r="N51" i="43"/>
  <c r="N71" i="43"/>
  <c r="L48" i="43"/>
  <c r="N48" i="43"/>
  <c r="N44" i="43"/>
  <c r="L52" i="43"/>
  <c r="M90" i="43"/>
  <c r="N74" i="43"/>
  <c r="N156" i="43"/>
  <c r="R156" i="43"/>
  <c r="V156" i="43"/>
  <c r="AS51" i="49"/>
  <c r="AS50" i="49"/>
  <c r="AG59" i="49"/>
  <c r="L27" i="43"/>
  <c r="AG52" i="49"/>
  <c r="L20" i="43"/>
  <c r="AS67" i="49"/>
  <c r="I35" i="43"/>
  <c r="AD56" i="49"/>
  <c r="AN57" i="49"/>
  <c r="AT57" i="49"/>
  <c r="F25" i="43"/>
  <c r="G25" i="43"/>
  <c r="H25" i="43"/>
  <c r="B68" i="44"/>
  <c r="BC70" i="44"/>
  <c r="I24" i="43"/>
  <c r="AS56" i="49"/>
  <c r="I29" i="43"/>
  <c r="AS61" i="49"/>
  <c r="AM62" i="49"/>
  <c r="AG62" i="49"/>
  <c r="I31" i="43"/>
  <c r="AS63" i="49"/>
  <c r="AP55" i="49"/>
  <c r="L23" i="43"/>
  <c r="AG55" i="49"/>
  <c r="I23" i="43"/>
  <c r="G18" i="43"/>
  <c r="I18" i="43"/>
  <c r="N18" i="43"/>
  <c r="F30" i="43"/>
  <c r="G30" i="43"/>
  <c r="H30" i="43"/>
  <c r="B73" i="44"/>
  <c r="BC75" i="44"/>
  <c r="AE63" i="49"/>
  <c r="AP63" i="49"/>
  <c r="I20" i="43"/>
  <c r="AS52" i="49"/>
  <c r="AS55" i="49"/>
  <c r="AG60" i="49"/>
  <c r="J28" i="43"/>
  <c r="AG64" i="49"/>
  <c r="K32" i="43"/>
  <c r="AT53" i="49"/>
  <c r="K35" i="43"/>
  <c r="I19" i="43"/>
  <c r="N19" i="43"/>
  <c r="I26" i="43"/>
  <c r="N26" i="43"/>
  <c r="AG66" i="49"/>
  <c r="L34" i="43"/>
  <c r="AD57" i="49"/>
  <c r="AP57" i="49"/>
  <c r="L25" i="43"/>
  <c r="AG65" i="49"/>
  <c r="J33" i="43"/>
  <c r="L29" i="43"/>
  <c r="AG53" i="49"/>
  <c r="J21" i="43"/>
  <c r="C36" i="43"/>
  <c r="B79" i="44"/>
  <c r="BC81" i="44"/>
  <c r="K57" i="43"/>
  <c r="L53" i="43"/>
  <c r="N53" i="43"/>
  <c r="L49" i="43"/>
  <c r="N49" i="43"/>
  <c r="L54" i="43"/>
  <c r="N54" i="43"/>
  <c r="J57" i="43"/>
  <c r="I57" i="43"/>
  <c r="L55" i="43"/>
  <c r="N55" i="43"/>
  <c r="AG89" i="49"/>
  <c r="N52" i="43"/>
  <c r="M100" i="43"/>
  <c r="K100" i="43"/>
  <c r="J100" i="43"/>
  <c r="N22" i="43"/>
  <c r="C153" i="43"/>
  <c r="J27" i="43"/>
  <c r="N27" i="43"/>
  <c r="L32" i="43"/>
  <c r="N32" i="43"/>
  <c r="N21" i="43"/>
  <c r="N20" i="43"/>
  <c r="AO63" i="49"/>
  <c r="AG63" i="49"/>
  <c r="L31" i="43"/>
  <c r="H18" i="43"/>
  <c r="H36" i="43"/>
  <c r="G36" i="43"/>
  <c r="AS62" i="49"/>
  <c r="I30" i="43"/>
  <c r="AE56" i="49"/>
  <c r="AN56" i="49"/>
  <c r="AT56" i="49"/>
  <c r="J34" i="43"/>
  <c r="N34" i="43"/>
  <c r="L33" i="43"/>
  <c r="N33" i="43"/>
  <c r="N29" i="43"/>
  <c r="N35" i="43"/>
  <c r="L28" i="43"/>
  <c r="N28" i="43"/>
  <c r="F36" i="43"/>
  <c r="N23" i="43"/>
  <c r="K30" i="43"/>
  <c r="AG57" i="49"/>
  <c r="J25" i="43"/>
  <c r="N25" i="43"/>
  <c r="N57" i="43"/>
  <c r="L57" i="43"/>
  <c r="I100" i="43"/>
  <c r="E153" i="43"/>
  <c r="AG56" i="49"/>
  <c r="J24" i="43"/>
  <c r="N24" i="43"/>
  <c r="N30" i="43"/>
  <c r="I36" i="43"/>
  <c r="L36" i="43"/>
  <c r="J36" i="43"/>
  <c r="K31" i="43"/>
  <c r="N31" i="43"/>
  <c r="F153" i="43"/>
  <c r="X153" i="43"/>
  <c r="K36" i="43"/>
  <c r="N36" i="43"/>
  <c r="M84" i="43"/>
  <c r="K84" i="43"/>
  <c r="L84" i="43"/>
  <c r="U153" i="43"/>
  <c r="T153" i="43"/>
  <c r="S153" i="43"/>
  <c r="Q153" i="43"/>
  <c r="P153" i="43"/>
  <c r="O153" i="43"/>
  <c r="M153" i="43"/>
  <c r="L153" i="43"/>
  <c r="K153" i="43"/>
  <c r="N153" i="43"/>
  <c r="R153" i="43"/>
  <c r="V153" i="43"/>
  <c r="D56" i="50"/>
  <c r="B55" i="50"/>
  <c r="P95" i="49"/>
  <c r="Q95" i="49"/>
  <c r="P94" i="49"/>
  <c r="Q94" i="49"/>
  <c r="P93" i="49"/>
  <c r="Q93" i="49"/>
  <c r="X97" i="49"/>
  <c r="Y97" i="49"/>
  <c r="C98" i="20"/>
  <c r="C97" i="20"/>
  <c r="C94" i="20"/>
  <c r="C100" i="20"/>
  <c r="E93" i="49"/>
  <c r="C99" i="20"/>
  <c r="C95" i="20"/>
  <c r="C96" i="20"/>
  <c r="E94" i="49"/>
  <c r="E95" i="49"/>
  <c r="E96" i="49"/>
  <c r="E97" i="49"/>
  <c r="E98" i="49"/>
  <c r="E99" i="49"/>
  <c r="P97" i="49"/>
  <c r="Q97" i="49"/>
  <c r="K99" i="49"/>
  <c r="F99" i="49"/>
  <c r="M99" i="49"/>
  <c r="K98" i="49"/>
  <c r="F98" i="49"/>
  <c r="M98" i="49"/>
  <c r="K97" i="49"/>
  <c r="F97" i="49"/>
  <c r="M97" i="49"/>
  <c r="N97" i="49"/>
  <c r="K96" i="49"/>
  <c r="F96" i="49"/>
  <c r="M96" i="49"/>
  <c r="K95" i="49"/>
  <c r="F95" i="49"/>
  <c r="M95" i="49"/>
  <c r="N95" i="49"/>
  <c r="K94" i="49"/>
  <c r="F94" i="49"/>
  <c r="M94" i="49"/>
  <c r="N94" i="49"/>
  <c r="T95" i="49"/>
  <c r="D96" i="20"/>
  <c r="T94" i="49"/>
  <c r="D95" i="20"/>
  <c r="T98" i="49"/>
  <c r="D99" i="20"/>
  <c r="K93" i="49"/>
  <c r="K100" i="49"/>
  <c r="K107" i="49"/>
  <c r="E100" i="49"/>
  <c r="E107" i="49"/>
  <c r="F93" i="49"/>
  <c r="T96" i="49"/>
  <c r="D97" i="20"/>
  <c r="U96" i="49"/>
  <c r="C101" i="20"/>
  <c r="C108" i="20"/>
  <c r="T99" i="49"/>
  <c r="D100" i="20"/>
  <c r="T93" i="49"/>
  <c r="D94" i="20"/>
  <c r="U93" i="49"/>
  <c r="C67" i="43"/>
  <c r="B110" i="44"/>
  <c r="BC112" i="44"/>
  <c r="U99" i="49"/>
  <c r="AC99" i="49"/>
  <c r="AN99" i="49"/>
  <c r="C66" i="43"/>
  <c r="B109" i="44"/>
  <c r="BC111" i="44"/>
  <c r="U98" i="49"/>
  <c r="AC98" i="49"/>
  <c r="AM98" i="49"/>
  <c r="C62" i="43"/>
  <c r="B105" i="44"/>
  <c r="BC107" i="44"/>
  <c r="U94" i="49"/>
  <c r="Z94" i="49"/>
  <c r="C63" i="43"/>
  <c r="B106" i="44"/>
  <c r="BC108" i="44"/>
  <c r="U95" i="49"/>
  <c r="Z95" i="49"/>
  <c r="C64" i="43"/>
  <c r="B107" i="44"/>
  <c r="BC109" i="44"/>
  <c r="F100" i="49"/>
  <c r="F107" i="49"/>
  <c r="M93" i="49"/>
  <c r="T97" i="49"/>
  <c r="D98" i="20"/>
  <c r="AC96" i="49"/>
  <c r="AM96" i="49"/>
  <c r="I64" i="43"/>
  <c r="F63" i="43"/>
  <c r="G63" i="43"/>
  <c r="H63" i="43"/>
  <c r="F66" i="43"/>
  <c r="G66" i="43"/>
  <c r="H66" i="43"/>
  <c r="F62" i="43"/>
  <c r="G62" i="43"/>
  <c r="H62" i="43"/>
  <c r="F67" i="43"/>
  <c r="G67" i="43"/>
  <c r="H67" i="43"/>
  <c r="C65" i="43"/>
  <c r="B108" i="44"/>
  <c r="BC110" i="44"/>
  <c r="U97" i="49"/>
  <c r="V97" i="49"/>
  <c r="N93" i="49"/>
  <c r="Z93" i="49"/>
  <c r="M100" i="49"/>
  <c r="M107" i="49"/>
  <c r="L17" i="49"/>
  <c r="F64" i="43"/>
  <c r="G64" i="43"/>
  <c r="H64" i="43"/>
  <c r="C61" i="43"/>
  <c r="B104" i="44"/>
  <c r="BC106" i="44"/>
  <c r="AS98" i="49"/>
  <c r="I66" i="43"/>
  <c r="AC95" i="49"/>
  <c r="AM95" i="49"/>
  <c r="X95" i="49"/>
  <c r="Y95" i="49"/>
  <c r="AA95" i="49"/>
  <c r="AC94" i="49"/>
  <c r="AM94" i="49"/>
  <c r="X94" i="49"/>
  <c r="Y94" i="49"/>
  <c r="AA94" i="49"/>
  <c r="AC93" i="49"/>
  <c r="AM93" i="49"/>
  <c r="X93" i="49"/>
  <c r="Y93" i="49"/>
  <c r="AS96" i="49"/>
  <c r="D101" i="20"/>
  <c r="AD98" i="49"/>
  <c r="AP98" i="49"/>
  <c r="AD99" i="49"/>
  <c r="AP99" i="49"/>
  <c r="AA93" i="49"/>
  <c r="AS93" i="49"/>
  <c r="F65" i="43"/>
  <c r="G65" i="43"/>
  <c r="H65" i="43"/>
  <c r="C68" i="43"/>
  <c r="B111" i="44"/>
  <c r="BC113" i="44"/>
  <c r="F61" i="43"/>
  <c r="AD94" i="49"/>
  <c r="AP94" i="49"/>
  <c r="L62" i="43"/>
  <c r="AD93" i="49"/>
  <c r="AP93" i="49"/>
  <c r="L61" i="43"/>
  <c r="AD95" i="49"/>
  <c r="AP95" i="49"/>
  <c r="L63" i="43"/>
  <c r="AS95" i="49"/>
  <c r="AG99" i="49"/>
  <c r="J67" i="43"/>
  <c r="AG98" i="49"/>
  <c r="L66" i="43"/>
  <c r="N66" i="43"/>
  <c r="AC97" i="49"/>
  <c r="AN97" i="49"/>
  <c r="Z97" i="49"/>
  <c r="AA97" i="49"/>
  <c r="AS94" i="49"/>
  <c r="D108" i="20"/>
  <c r="F68" i="43"/>
  <c r="G68" i="43"/>
  <c r="AG94" i="49"/>
  <c r="I62" i="43"/>
  <c r="N62" i="43"/>
  <c r="G61" i="43"/>
  <c r="H61" i="43"/>
  <c r="C75" i="43"/>
  <c r="B118" i="44"/>
  <c r="BC120" i="44"/>
  <c r="L67" i="43"/>
  <c r="N67" i="43"/>
  <c r="AD97" i="49"/>
  <c r="AP97" i="49"/>
  <c r="L65" i="43"/>
  <c r="AG95" i="49"/>
  <c r="I63" i="43"/>
  <c r="N63" i="43"/>
  <c r="AD96" i="49"/>
  <c r="AE96" i="49"/>
  <c r="AN96" i="49"/>
  <c r="AG93" i="49"/>
  <c r="I61" i="43"/>
  <c r="AT97" i="49"/>
  <c r="F75" i="43"/>
  <c r="D219" i="43"/>
  <c r="C152" i="43"/>
  <c r="E152" i="43"/>
  <c r="F152" i="43"/>
  <c r="X152" i="43"/>
  <c r="D218" i="43"/>
  <c r="C151" i="43"/>
  <c r="E151" i="43"/>
  <c r="F151" i="43"/>
  <c r="X151" i="43"/>
  <c r="AG97" i="49"/>
  <c r="J65" i="43"/>
  <c r="N65" i="43"/>
  <c r="AG96" i="49"/>
  <c r="J64" i="43"/>
  <c r="N64" i="43"/>
  <c r="AT96" i="49"/>
  <c r="N61" i="43"/>
  <c r="H68" i="43"/>
  <c r="G75" i="43"/>
  <c r="U152" i="43"/>
  <c r="S152" i="43"/>
  <c r="P152" i="43"/>
  <c r="M152" i="43"/>
  <c r="K152" i="43"/>
  <c r="T152" i="43"/>
  <c r="Q152" i="43"/>
  <c r="O152" i="43"/>
  <c r="L152" i="43"/>
  <c r="T151" i="43"/>
  <c r="Q151" i="43"/>
  <c r="O151" i="43"/>
  <c r="L151" i="43"/>
  <c r="U151" i="43"/>
  <c r="S151" i="43"/>
  <c r="P151" i="43"/>
  <c r="M151" i="43"/>
  <c r="K151" i="43"/>
  <c r="M68" i="43"/>
  <c r="M75" i="43"/>
  <c r="M101" i="43"/>
  <c r="H75" i="43"/>
  <c r="L68" i="43"/>
  <c r="L75" i="43"/>
  <c r="K68" i="43"/>
  <c r="K75" i="43"/>
  <c r="J68" i="43"/>
  <c r="J75" i="43"/>
  <c r="I68" i="43"/>
  <c r="N151" i="43"/>
  <c r="R152" i="43"/>
  <c r="R151" i="43"/>
  <c r="V152" i="43"/>
  <c r="V151" i="43"/>
  <c r="N152" i="43"/>
  <c r="D221" i="43"/>
  <c r="C154" i="43"/>
  <c r="E154" i="43"/>
  <c r="F154" i="43"/>
  <c r="X154" i="43"/>
  <c r="T154" i="43"/>
  <c r="K101" i="43"/>
  <c r="D213" i="43"/>
  <c r="C146" i="43"/>
  <c r="E146" i="43"/>
  <c r="F146" i="43"/>
  <c r="X146" i="43"/>
  <c r="N68" i="43"/>
  <c r="N75" i="43"/>
  <c r="I75" i="43"/>
  <c r="C159" i="49"/>
  <c r="M154" i="43"/>
  <c r="S154" i="43"/>
  <c r="K154" i="43"/>
  <c r="P154" i="43"/>
  <c r="U154" i="43"/>
  <c r="L154" i="43"/>
  <c r="O154" i="43"/>
  <c r="Q154" i="43"/>
  <c r="U146" i="43"/>
  <c r="T146" i="43"/>
  <c r="S146" i="43"/>
  <c r="Q146" i="43"/>
  <c r="P146" i="43"/>
  <c r="O146" i="43"/>
  <c r="M146" i="43"/>
  <c r="L146" i="43"/>
  <c r="K146" i="43"/>
  <c r="V154" i="43"/>
  <c r="R154" i="43"/>
  <c r="N154" i="43"/>
  <c r="R146" i="43"/>
  <c r="N146" i="43"/>
  <c r="V146" i="43"/>
  <c r="Q74" i="49"/>
  <c r="AA74" i="49"/>
  <c r="AT74" i="49"/>
  <c r="N58" i="49"/>
  <c r="N59" i="49"/>
  <c r="N60" i="49"/>
  <c r="N63" i="49"/>
  <c r="N84" i="49"/>
  <c r="N64" i="49"/>
  <c r="N65" i="49"/>
  <c r="N66" i="49"/>
  <c r="C332" i="43"/>
  <c r="B206" i="44"/>
  <c r="BC207" i="44"/>
  <c r="V115" i="49"/>
  <c r="V114" i="49"/>
  <c r="V113" i="49"/>
  <c r="V112" i="49"/>
  <c r="V111" i="49"/>
  <c r="P66" i="49"/>
  <c r="Q66" i="49"/>
  <c r="N87" i="49"/>
  <c r="P87" i="49"/>
  <c r="Q87" i="49"/>
  <c r="P65" i="49"/>
  <c r="Q65" i="49"/>
  <c r="N86" i="49"/>
  <c r="P64" i="49"/>
  <c r="Q64" i="49"/>
  <c r="N85" i="49"/>
  <c r="P85" i="49"/>
  <c r="Q85" i="49"/>
  <c r="P60" i="49"/>
  <c r="Q60" i="49"/>
  <c r="N81" i="49"/>
  <c r="P81" i="49"/>
  <c r="Q81" i="49"/>
  <c r="P59" i="49"/>
  <c r="Q59" i="49"/>
  <c r="N80" i="49"/>
  <c r="P80" i="49"/>
  <c r="Q80" i="49"/>
  <c r="P58" i="49"/>
  <c r="Q58" i="49"/>
  <c r="N79" i="49"/>
  <c r="P79" i="49"/>
  <c r="Q79" i="49"/>
  <c r="V66" i="49"/>
  <c r="V65" i="49"/>
  <c r="V64" i="49"/>
  <c r="V63" i="49"/>
  <c r="V84" i="49"/>
  <c r="V62" i="49"/>
  <c r="V60" i="49"/>
  <c r="V59" i="49"/>
  <c r="V58" i="49"/>
  <c r="N35" i="49"/>
  <c r="P35" i="49"/>
  <c r="Q35" i="49"/>
  <c r="V35" i="49"/>
  <c r="N40" i="49"/>
  <c r="P40" i="49"/>
  <c r="Q40" i="49"/>
  <c r="V40" i="49"/>
  <c r="N42" i="49"/>
  <c r="P42" i="49"/>
  <c r="Q42" i="49"/>
  <c r="V42" i="49"/>
  <c r="N44" i="49"/>
  <c r="P44" i="49"/>
  <c r="Q44" i="49"/>
  <c r="V44" i="49"/>
  <c r="N36" i="49"/>
  <c r="P36" i="49"/>
  <c r="Q36" i="49"/>
  <c r="V36" i="49"/>
  <c r="N41" i="49"/>
  <c r="P41" i="49"/>
  <c r="Q41" i="49"/>
  <c r="V41" i="49"/>
  <c r="N43" i="49"/>
  <c r="P43" i="49"/>
  <c r="Q43" i="49"/>
  <c r="V43" i="49"/>
  <c r="N45" i="49"/>
  <c r="P45" i="49"/>
  <c r="Q45" i="49"/>
  <c r="V45" i="49"/>
  <c r="X58" i="49"/>
  <c r="Y58" i="49"/>
  <c r="Z58" i="49"/>
  <c r="V79" i="49"/>
  <c r="X59" i="49"/>
  <c r="Y59" i="49"/>
  <c r="Z59" i="49"/>
  <c r="V80" i="49"/>
  <c r="X60" i="49"/>
  <c r="Y60" i="49"/>
  <c r="Z60" i="49"/>
  <c r="V81" i="49"/>
  <c r="X62" i="49"/>
  <c r="Y62" i="49"/>
  <c r="AA62" i="49"/>
  <c r="V83" i="49"/>
  <c r="X64" i="49"/>
  <c r="Y64" i="49"/>
  <c r="Z64" i="49"/>
  <c r="V85" i="49"/>
  <c r="X65" i="49"/>
  <c r="Y65" i="49"/>
  <c r="AA65" i="49"/>
  <c r="AT65" i="49"/>
  <c r="V86" i="49"/>
  <c r="X66" i="49"/>
  <c r="Y66" i="49"/>
  <c r="Z66" i="49"/>
  <c r="V87" i="49"/>
  <c r="X35" i="49"/>
  <c r="Y35" i="49"/>
  <c r="P86" i="49"/>
  <c r="Q86" i="49"/>
  <c r="N99" i="49"/>
  <c r="P99" i="49"/>
  <c r="Q99" i="49"/>
  <c r="Z111" i="49"/>
  <c r="Z112" i="49"/>
  <c r="Z113" i="49"/>
  <c r="Z114" i="49"/>
  <c r="Z115" i="49"/>
  <c r="Z45" i="49"/>
  <c r="Z43" i="49"/>
  <c r="Z41" i="49"/>
  <c r="Z36" i="49"/>
  <c r="Z44" i="49"/>
  <c r="Z42" i="49"/>
  <c r="Z40" i="49"/>
  <c r="Z35" i="49"/>
  <c r="AA35" i="49"/>
  <c r="X42" i="49"/>
  <c r="Y42" i="49"/>
  <c r="X44" i="49"/>
  <c r="Y44" i="49"/>
  <c r="X40" i="49"/>
  <c r="Y40" i="49"/>
  <c r="AA40" i="49"/>
  <c r="AS40" i="49"/>
  <c r="X45" i="49"/>
  <c r="Y45" i="49"/>
  <c r="X43" i="49"/>
  <c r="Y43" i="49"/>
  <c r="X41" i="49"/>
  <c r="Y41" i="49"/>
  <c r="X36" i="49"/>
  <c r="Y36" i="49"/>
  <c r="X87" i="49"/>
  <c r="Y87" i="49"/>
  <c r="Z87" i="49"/>
  <c r="X86" i="49"/>
  <c r="Y86" i="49"/>
  <c r="Z86" i="49"/>
  <c r="V99" i="49"/>
  <c r="X99" i="49"/>
  <c r="Y99" i="49"/>
  <c r="AA99" i="49"/>
  <c r="AT99" i="49"/>
  <c r="X85" i="49"/>
  <c r="Y85" i="49"/>
  <c r="Z85" i="49"/>
  <c r="X83" i="49"/>
  <c r="Y83" i="49"/>
  <c r="Z83" i="49"/>
  <c r="X81" i="49"/>
  <c r="Y81" i="49"/>
  <c r="Z81" i="49"/>
  <c r="X80" i="49"/>
  <c r="Y80" i="49"/>
  <c r="Z80" i="49"/>
  <c r="X79" i="49"/>
  <c r="Y79" i="49"/>
  <c r="Z79" i="49"/>
  <c r="AA66" i="49"/>
  <c r="AT66" i="49"/>
  <c r="AA64" i="49"/>
  <c r="AA60" i="49"/>
  <c r="AT60" i="49"/>
  <c r="AA59" i="49"/>
  <c r="AT59" i="49"/>
  <c r="AA58" i="49"/>
  <c r="AS58" i="49"/>
  <c r="AA45" i="49"/>
  <c r="AS45" i="49"/>
  <c r="AA41" i="49"/>
  <c r="AS41" i="49"/>
  <c r="AA44" i="49"/>
  <c r="AS44" i="49"/>
  <c r="AA42" i="49"/>
  <c r="AS42" i="49"/>
  <c r="AA36" i="49"/>
  <c r="AS36" i="49"/>
  <c r="AA43" i="49"/>
  <c r="AS43" i="49"/>
  <c r="AS35" i="49"/>
  <c r="AA79" i="49"/>
  <c r="AS79" i="49"/>
  <c r="AA80" i="49"/>
  <c r="AT80" i="49"/>
  <c r="AA81" i="49"/>
  <c r="AT81" i="49"/>
  <c r="AA83" i="49"/>
  <c r="AS83" i="49"/>
  <c r="AA85" i="49"/>
  <c r="AA86" i="49"/>
  <c r="AT86" i="49"/>
  <c r="AA87" i="49"/>
  <c r="AT87" i="49"/>
  <c r="X180" i="49"/>
  <c r="X179" i="49"/>
  <c r="X178" i="49"/>
  <c r="X177" i="49"/>
  <c r="X176" i="49"/>
  <c r="X175" i="49"/>
  <c r="X174" i="49"/>
  <c r="X165" i="49"/>
  <c r="X164" i="49"/>
  <c r="X163" i="49"/>
  <c r="X162" i="49"/>
  <c r="X161" i="49"/>
  <c r="X160" i="49"/>
  <c r="X159" i="49"/>
  <c r="C344" i="43"/>
  <c r="B218" i="44"/>
  <c r="D180" i="49"/>
  <c r="X166" i="49"/>
  <c r="X168" i="49"/>
  <c r="X169" i="49"/>
  <c r="X181" i="49"/>
  <c r="X183" i="49"/>
  <c r="X184" i="49"/>
  <c r="D179" i="49"/>
  <c r="M137" i="49"/>
  <c r="D181" i="49"/>
  <c r="M138" i="49"/>
  <c r="D196" i="49"/>
  <c r="D201" i="49"/>
  <c r="D203" i="49"/>
  <c r="C107" i="43"/>
  <c r="V138" i="49"/>
  <c r="X185" i="49"/>
  <c r="X170" i="49"/>
  <c r="F107" i="43"/>
  <c r="B150" i="44"/>
  <c r="BC151" i="44"/>
  <c r="C108" i="43"/>
  <c r="D143" i="20"/>
  <c r="V139" i="49"/>
  <c r="C119" i="43"/>
  <c r="V142" i="49"/>
  <c r="M139" i="49"/>
  <c r="D160" i="20"/>
  <c r="V137" i="49"/>
  <c r="B151" i="44"/>
  <c r="BC152" i="44"/>
  <c r="F108" i="43"/>
  <c r="C109" i="43"/>
  <c r="B152" i="44"/>
  <c r="BC153" i="44"/>
  <c r="B162" i="44"/>
  <c r="BC163" i="44"/>
  <c r="F119" i="43"/>
  <c r="C124" i="43"/>
  <c r="B167" i="44"/>
  <c r="BC168" i="44"/>
  <c r="C126" i="43"/>
  <c r="F124" i="43"/>
  <c r="F126" i="43"/>
  <c r="F109" i="43"/>
  <c r="F183" i="43"/>
  <c r="F186" i="43"/>
  <c r="F184" i="43"/>
  <c r="F185" i="43"/>
  <c r="B169" i="44"/>
  <c r="BC170" i="44"/>
  <c r="F187" i="43"/>
  <c r="E192" i="43"/>
  <c r="E199" i="43"/>
  <c r="G199" i="43"/>
  <c r="Q199" i="43"/>
  <c r="E204" i="43"/>
  <c r="G204" i="43"/>
  <c r="L204" i="43"/>
  <c r="E203" i="43"/>
  <c r="G203" i="43"/>
  <c r="M203" i="43"/>
  <c r="E195" i="43"/>
  <c r="G195" i="43"/>
  <c r="Q195" i="43"/>
  <c r="E200" i="43"/>
  <c r="G200" i="43"/>
  <c r="P200" i="43"/>
  <c r="E205" i="43"/>
  <c r="G205" i="43"/>
  <c r="Q205" i="43"/>
  <c r="E201" i="43"/>
  <c r="G201" i="43"/>
  <c r="Q201" i="43"/>
  <c r="E197" i="43"/>
  <c r="G197" i="43"/>
  <c r="M197" i="43"/>
  <c r="E193" i="43"/>
  <c r="G193" i="43"/>
  <c r="Q193" i="43"/>
  <c r="E202" i="43"/>
  <c r="G202" i="43"/>
  <c r="P202" i="43"/>
  <c r="E196" i="43"/>
  <c r="G196" i="43"/>
  <c r="P196" i="43"/>
  <c r="E198" i="43"/>
  <c r="G198" i="43"/>
  <c r="L198" i="43"/>
  <c r="E194" i="43"/>
  <c r="G194" i="43"/>
  <c r="L194" i="43"/>
  <c r="G192" i="43"/>
  <c r="P201" i="43"/>
  <c r="L200" i="43"/>
  <c r="M199" i="43"/>
  <c r="M200" i="43"/>
  <c r="P199" i="43"/>
  <c r="L203" i="43"/>
  <c r="T193" i="43"/>
  <c r="T200" i="43"/>
  <c r="S200" i="43"/>
  <c r="U199" i="43"/>
  <c r="T199" i="43"/>
  <c r="S203" i="43"/>
  <c r="Q203" i="43"/>
  <c r="L202" i="43"/>
  <c r="S197" i="43"/>
  <c r="T205" i="43"/>
  <c r="P198" i="43"/>
  <c r="M204" i="43"/>
  <c r="Q198" i="43"/>
  <c r="M202" i="43"/>
  <c r="Q197" i="43"/>
  <c r="U205" i="43"/>
  <c r="T204" i="43"/>
  <c r="P204" i="43"/>
  <c r="U198" i="43"/>
  <c r="T202" i="43"/>
  <c r="S202" i="43"/>
  <c r="L197" i="43"/>
  <c r="P205" i="43"/>
  <c r="M205" i="43"/>
  <c r="Q204" i="43"/>
  <c r="U204" i="43"/>
  <c r="P195" i="43"/>
  <c r="N204" i="43"/>
  <c r="S204" i="43"/>
  <c r="M195" i="43"/>
  <c r="U193" i="43"/>
  <c r="M201" i="43"/>
  <c r="L196" i="43"/>
  <c r="Q200" i="43"/>
  <c r="R200" i="43"/>
  <c r="U200" i="43"/>
  <c r="S199" i="43"/>
  <c r="L199" i="43"/>
  <c r="U203" i="43"/>
  <c r="P203" i="43"/>
  <c r="T203" i="43"/>
  <c r="U195" i="43"/>
  <c r="T195" i="43"/>
  <c r="T198" i="43"/>
  <c r="M198" i="43"/>
  <c r="N198" i="43"/>
  <c r="S198" i="43"/>
  <c r="Q202" i="43"/>
  <c r="R202" i="43"/>
  <c r="U202" i="43"/>
  <c r="U197" i="43"/>
  <c r="P197" i="43"/>
  <c r="T197" i="43"/>
  <c r="S205" i="43"/>
  <c r="L205" i="43"/>
  <c r="S195" i="43"/>
  <c r="L195" i="43"/>
  <c r="P193" i="43"/>
  <c r="M193" i="43"/>
  <c r="U201" i="43"/>
  <c r="T201" i="43"/>
  <c r="M196" i="43"/>
  <c r="U194" i="43"/>
  <c r="S193" i="43"/>
  <c r="L193" i="43"/>
  <c r="S201" i="43"/>
  <c r="L201" i="43"/>
  <c r="E206" i="43"/>
  <c r="T196" i="43"/>
  <c r="S196" i="43"/>
  <c r="Q196" i="43"/>
  <c r="R196" i="43"/>
  <c r="U196" i="43"/>
  <c r="Q194" i="43"/>
  <c r="P194" i="43"/>
  <c r="T194" i="43"/>
  <c r="M194" i="43"/>
  <c r="N194" i="43"/>
  <c r="S194" i="43"/>
  <c r="R201" i="43"/>
  <c r="L192" i="43"/>
  <c r="P192" i="43"/>
  <c r="S192" i="43"/>
  <c r="U192" i="43"/>
  <c r="M192" i="43"/>
  <c r="Q192" i="43"/>
  <c r="T192" i="43"/>
  <c r="G206" i="43"/>
  <c r="O206" i="43"/>
  <c r="W206" i="43"/>
  <c r="W227" i="43"/>
  <c r="Z227" i="43"/>
  <c r="N203" i="43"/>
  <c r="V205" i="43"/>
  <c r="N200" i="43"/>
  <c r="R199" i="43"/>
  <c r="N199" i="43"/>
  <c r="V204" i="43"/>
  <c r="N202" i="43"/>
  <c r="V193" i="43"/>
  <c r="V199" i="43"/>
  <c r="V200" i="43"/>
  <c r="R198" i="43"/>
  <c r="R205" i="43"/>
  <c r="R195" i="43"/>
  <c r="R204" i="43"/>
  <c r="N205" i="43"/>
  <c r="N195" i="43"/>
  <c r="V202" i="43"/>
  <c r="N197" i="43"/>
  <c r="R203" i="43"/>
  <c r="V198" i="43"/>
  <c r="N196" i="43"/>
  <c r="V203" i="43"/>
  <c r="R197" i="43"/>
  <c r="V195" i="43"/>
  <c r="R193" i="43"/>
  <c r="V197" i="43"/>
  <c r="V194" i="43"/>
  <c r="V201" i="43"/>
  <c r="N201" i="43"/>
  <c r="N193" i="43"/>
  <c r="T206" i="43"/>
  <c r="T208" i="43"/>
  <c r="S206" i="43"/>
  <c r="S208" i="43"/>
  <c r="AI150" i="43"/>
  <c r="L206" i="43"/>
  <c r="V196" i="43"/>
  <c r="P206" i="43"/>
  <c r="P208" i="43"/>
  <c r="R194" i="43"/>
  <c r="M206" i="43"/>
  <c r="N192" i="43"/>
  <c r="O208" i="43"/>
  <c r="AH150" i="43"/>
  <c r="O227" i="43"/>
  <c r="R192" i="43"/>
  <c r="Q206" i="43"/>
  <c r="U206" i="43"/>
  <c r="V192" i="43"/>
  <c r="S227" i="43"/>
  <c r="V227" i="43"/>
  <c r="V206" i="43"/>
  <c r="V208" i="43"/>
  <c r="U208" i="43"/>
  <c r="C31" i="44"/>
  <c r="BD31" i="44"/>
  <c r="R206" i="43"/>
  <c r="R208" i="43"/>
  <c r="Q208" i="43"/>
  <c r="O230" i="43"/>
  <c r="R227" i="43"/>
  <c r="D31" i="44"/>
  <c r="BE31" i="44"/>
  <c r="K19" i="49"/>
  <c r="K20" i="49"/>
  <c r="D182" i="49"/>
  <c r="M140" i="49"/>
  <c r="D183" i="49"/>
  <c r="D188" i="49"/>
  <c r="D194" i="49"/>
  <c r="D202" i="49"/>
  <c r="D204" i="49"/>
  <c r="D235" i="43"/>
  <c r="H235" i="43"/>
  <c r="N235" i="43"/>
  <c r="C236" i="43"/>
  <c r="I236" i="43"/>
  <c r="M236" i="43"/>
  <c r="D237" i="43"/>
  <c r="H237" i="43"/>
  <c r="N237" i="43"/>
  <c r="C238" i="43"/>
  <c r="I238" i="43"/>
  <c r="M238" i="43"/>
  <c r="D239" i="43"/>
  <c r="H239" i="43"/>
  <c r="N239" i="43"/>
  <c r="C240" i="43"/>
  <c r="I240" i="43"/>
  <c r="M240" i="43"/>
  <c r="D241" i="43"/>
  <c r="H241" i="43"/>
  <c r="N241" i="43"/>
  <c r="C242" i="43"/>
  <c r="I242" i="43"/>
  <c r="M242" i="43"/>
  <c r="D243" i="43"/>
  <c r="H243" i="43"/>
  <c r="N243" i="43"/>
  <c r="C244" i="43"/>
  <c r="I244" i="43"/>
  <c r="M244" i="43"/>
  <c r="D245" i="43"/>
  <c r="C246" i="43"/>
  <c r="D247" i="43"/>
  <c r="C248" i="43"/>
  <c r="D249" i="43"/>
  <c r="J14" i="49"/>
  <c r="C235" i="43"/>
  <c r="I235" i="43"/>
  <c r="M235" i="43"/>
  <c r="D236" i="43"/>
  <c r="E236" i="43"/>
  <c r="H236" i="43"/>
  <c r="N236" i="43"/>
  <c r="O236" i="43"/>
  <c r="C237" i="43"/>
  <c r="I237" i="43"/>
  <c r="J237" i="43"/>
  <c r="M237" i="43"/>
  <c r="D238" i="43"/>
  <c r="E238" i="43"/>
  <c r="H238" i="43"/>
  <c r="N238" i="43"/>
  <c r="O238" i="43"/>
  <c r="C239" i="43"/>
  <c r="I239" i="43"/>
  <c r="J239" i="43"/>
  <c r="M239" i="43"/>
  <c r="D240" i="43"/>
  <c r="E240" i="43"/>
  <c r="H240" i="43"/>
  <c r="N240" i="43"/>
  <c r="O240" i="43"/>
  <c r="C241" i="43"/>
  <c r="I241" i="43"/>
  <c r="J241" i="43"/>
  <c r="M241" i="43"/>
  <c r="D242" i="43"/>
  <c r="E242" i="43"/>
  <c r="H242" i="43"/>
  <c r="N242" i="43"/>
  <c r="O242" i="43"/>
  <c r="C243" i="43"/>
  <c r="I243" i="43"/>
  <c r="J243" i="43"/>
  <c r="M243" i="43"/>
  <c r="D244" i="43"/>
  <c r="E244" i="43"/>
  <c r="H244" i="43"/>
  <c r="N244" i="43"/>
  <c r="O244" i="43"/>
  <c r="C245" i="43"/>
  <c r="D246" i="43"/>
  <c r="E246" i="43"/>
  <c r="C247" i="43"/>
  <c r="D248" i="43"/>
  <c r="E248" i="43"/>
  <c r="C249" i="43"/>
  <c r="J17" i="49"/>
  <c r="J18" i="49"/>
  <c r="G21" i="49"/>
  <c r="C224" i="49"/>
  <c r="C225" i="49"/>
  <c r="J15" i="49"/>
  <c r="H265" i="43"/>
  <c r="H266" i="43"/>
  <c r="M265" i="43"/>
  <c r="M266" i="43"/>
  <c r="C265" i="43"/>
  <c r="C266" i="43"/>
  <c r="G129" i="43"/>
  <c r="J235" i="43"/>
  <c r="I265" i="43"/>
  <c r="O235" i="43"/>
  <c r="N265" i="43"/>
  <c r="E235" i="43"/>
  <c r="D265" i="43"/>
  <c r="M141" i="49"/>
  <c r="D185" i="49"/>
  <c r="E249" i="43"/>
  <c r="E247" i="43"/>
  <c r="E245" i="43"/>
  <c r="J244" i="43"/>
  <c r="O243" i="43"/>
  <c r="E243" i="43"/>
  <c r="J242" i="43"/>
  <c r="O241" i="43"/>
  <c r="E241" i="43"/>
  <c r="J240" i="43"/>
  <c r="O239" i="43"/>
  <c r="E239" i="43"/>
  <c r="J238" i="43"/>
  <c r="O237" i="43"/>
  <c r="E237" i="43"/>
  <c r="J236" i="43"/>
  <c r="K132" i="49"/>
  <c r="K130" i="49"/>
  <c r="K128" i="49"/>
  <c r="K126" i="49"/>
  <c r="D133" i="49"/>
  <c r="K131" i="49"/>
  <c r="K129" i="49"/>
  <c r="K127" i="49"/>
  <c r="G20" i="49"/>
  <c r="M143" i="49"/>
  <c r="G12" i="49"/>
  <c r="E265" i="43"/>
  <c r="D266" i="43"/>
  <c r="E266" i="43"/>
  <c r="O265" i="43"/>
  <c r="N266" i="43"/>
  <c r="O266" i="43"/>
  <c r="K114" i="49"/>
  <c r="P114" i="49"/>
  <c r="Q114" i="49"/>
  <c r="K112" i="49"/>
  <c r="P112" i="49"/>
  <c r="Q112" i="49"/>
  <c r="J265" i="43"/>
  <c r="I266" i="43"/>
  <c r="J266" i="43"/>
  <c r="K115" i="49"/>
  <c r="P115" i="49"/>
  <c r="Q115" i="49"/>
  <c r="K113" i="49"/>
  <c r="P113" i="49"/>
  <c r="Q113" i="49"/>
  <c r="D116" i="49"/>
  <c r="K111" i="49"/>
  <c r="P111" i="49"/>
  <c r="Q111" i="49"/>
  <c r="Q116" i="49"/>
  <c r="D134" i="49"/>
  <c r="C94" i="43"/>
  <c r="T127" i="49"/>
  <c r="AE127" i="49"/>
  <c r="C96" i="43"/>
  <c r="T129" i="49"/>
  <c r="AE129" i="49"/>
  <c r="C98" i="43"/>
  <c r="T131" i="49"/>
  <c r="AE131" i="49"/>
  <c r="T126" i="49"/>
  <c r="AE126" i="49"/>
  <c r="D134" i="20"/>
  <c r="C93" i="43"/>
  <c r="C95" i="43"/>
  <c r="T128" i="49"/>
  <c r="AE128" i="49"/>
  <c r="C97" i="43"/>
  <c r="T130" i="49"/>
  <c r="AE130" i="49"/>
  <c r="C99" i="43"/>
  <c r="T132" i="49"/>
  <c r="AE132" i="49"/>
  <c r="C83" i="43"/>
  <c r="T115" i="49"/>
  <c r="C82" i="43"/>
  <c r="T114" i="49"/>
  <c r="F118" i="49"/>
  <c r="K118" i="49"/>
  <c r="D122" i="49"/>
  <c r="F122" i="49"/>
  <c r="C79" i="43"/>
  <c r="T111" i="49"/>
  <c r="F120" i="49"/>
  <c r="K120" i="49"/>
  <c r="K121" i="49"/>
  <c r="F121" i="49"/>
  <c r="C81" i="43"/>
  <c r="T113" i="49"/>
  <c r="C80" i="43"/>
  <c r="T112" i="49"/>
  <c r="K119" i="49"/>
  <c r="F119" i="49"/>
  <c r="AG132" i="49"/>
  <c r="AP132" i="49"/>
  <c r="AG130" i="49"/>
  <c r="AP130" i="49"/>
  <c r="AG128" i="49"/>
  <c r="AP128" i="49"/>
  <c r="C100" i="43"/>
  <c r="B143" i="44"/>
  <c r="BC144" i="44"/>
  <c r="F93" i="43"/>
  <c r="B136" i="44"/>
  <c r="BC137" i="44"/>
  <c r="AG126" i="49"/>
  <c r="AP126" i="49"/>
  <c r="F98" i="43"/>
  <c r="G98" i="43"/>
  <c r="H98" i="43"/>
  <c r="B141" i="44"/>
  <c r="BC142" i="44"/>
  <c r="F96" i="43"/>
  <c r="G96" i="43"/>
  <c r="H96" i="43"/>
  <c r="B139" i="44"/>
  <c r="BC140" i="44"/>
  <c r="F94" i="43"/>
  <c r="G94" i="43"/>
  <c r="H94" i="43"/>
  <c r="B137" i="44"/>
  <c r="BC138" i="44"/>
  <c r="B142" i="44"/>
  <c r="BC143" i="44"/>
  <c r="F99" i="43"/>
  <c r="G99" i="43"/>
  <c r="H99" i="43"/>
  <c r="B140" i="44"/>
  <c r="BC141" i="44"/>
  <c r="F97" i="43"/>
  <c r="G97" i="43"/>
  <c r="H97" i="43"/>
  <c r="B138" i="44"/>
  <c r="BC139" i="44"/>
  <c r="F95" i="43"/>
  <c r="G95" i="43"/>
  <c r="H95" i="43"/>
  <c r="AP131" i="49"/>
  <c r="AG131" i="49"/>
  <c r="AP129" i="49"/>
  <c r="AG129" i="49"/>
  <c r="AP127" i="49"/>
  <c r="AG127" i="49"/>
  <c r="C87" i="43"/>
  <c r="T119" i="49"/>
  <c r="AE119" i="49"/>
  <c r="F80" i="43"/>
  <c r="G80" i="43"/>
  <c r="H80" i="43"/>
  <c r="B123" i="44"/>
  <c r="BC125" i="44"/>
  <c r="AD113" i="49"/>
  <c r="X113" i="49"/>
  <c r="Y113" i="49"/>
  <c r="AA113" i="49"/>
  <c r="C88" i="43"/>
  <c r="T120" i="49"/>
  <c r="AE120" i="49"/>
  <c r="AC111" i="49"/>
  <c r="X111" i="49"/>
  <c r="Y111" i="49"/>
  <c r="C86" i="43"/>
  <c r="T118" i="49"/>
  <c r="AE118" i="49"/>
  <c r="AC115" i="49"/>
  <c r="X115" i="49"/>
  <c r="Y115" i="49"/>
  <c r="AA115" i="49"/>
  <c r="AD112" i="49"/>
  <c r="X112" i="49"/>
  <c r="Y112" i="49"/>
  <c r="AA112" i="49"/>
  <c r="F81" i="43"/>
  <c r="G81" i="43"/>
  <c r="H81" i="43"/>
  <c r="B124" i="44"/>
  <c r="BC126" i="44"/>
  <c r="C89" i="43"/>
  <c r="T121" i="49"/>
  <c r="AE121" i="49"/>
  <c r="F79" i="43"/>
  <c r="C84" i="43"/>
  <c r="B127" i="44"/>
  <c r="BC129" i="44"/>
  <c r="B122" i="44"/>
  <c r="BC124" i="44"/>
  <c r="AD114" i="49"/>
  <c r="X114" i="49"/>
  <c r="Y114" i="49"/>
  <c r="AA114" i="49"/>
  <c r="F83" i="43"/>
  <c r="G83" i="43"/>
  <c r="H83" i="43"/>
  <c r="B126" i="44"/>
  <c r="BC128" i="44"/>
  <c r="F82" i="43"/>
  <c r="G82" i="43"/>
  <c r="H82" i="43"/>
  <c r="B125" i="44"/>
  <c r="BC127" i="44"/>
  <c r="AA111" i="49"/>
  <c r="AA116" i="49"/>
  <c r="Y116" i="49"/>
  <c r="L94" i="43"/>
  <c r="N94" i="43"/>
  <c r="L96" i="43"/>
  <c r="N96" i="43"/>
  <c r="L98" i="43"/>
  <c r="N98" i="43"/>
  <c r="G93" i="43"/>
  <c r="L93" i="43"/>
  <c r="F100" i="43"/>
  <c r="L95" i="43"/>
  <c r="N95" i="43"/>
  <c r="L97" i="43"/>
  <c r="N97" i="43"/>
  <c r="L99" i="43"/>
  <c r="N99" i="43"/>
  <c r="T19" i="49"/>
  <c r="T20" i="49"/>
  <c r="S15" i="49"/>
  <c r="AG118" i="49"/>
  <c r="AP118" i="49"/>
  <c r="F88" i="43"/>
  <c r="G88" i="43"/>
  <c r="H88" i="43"/>
  <c r="B131" i="44"/>
  <c r="BC133" i="44"/>
  <c r="F84" i="43"/>
  <c r="G79" i="43"/>
  <c r="F89" i="43"/>
  <c r="G89" i="43"/>
  <c r="H89" i="43"/>
  <c r="B132" i="44"/>
  <c r="AN112" i="49"/>
  <c r="AG112" i="49"/>
  <c r="AM115" i="49"/>
  <c r="AG115" i="49"/>
  <c r="D124" i="20"/>
  <c r="C90" i="43"/>
  <c r="F86" i="43"/>
  <c r="B129" i="44"/>
  <c r="BC131" i="44"/>
  <c r="AM111" i="49"/>
  <c r="AG111" i="49"/>
  <c r="AG120" i="49"/>
  <c r="AP120" i="49"/>
  <c r="F87" i="43"/>
  <c r="G87" i="43"/>
  <c r="H87" i="43"/>
  <c r="B130" i="44"/>
  <c r="BC132" i="44"/>
  <c r="AN114" i="49"/>
  <c r="AG114" i="49"/>
  <c r="AP121" i="49"/>
  <c r="AG121" i="49"/>
  <c r="AN113" i="49"/>
  <c r="AG113" i="49"/>
  <c r="AP119" i="49"/>
  <c r="AG119" i="49"/>
  <c r="N93" i="43"/>
  <c r="N100" i="43"/>
  <c r="L100" i="43"/>
  <c r="H93" i="43"/>
  <c r="H100" i="43"/>
  <c r="G100" i="43"/>
  <c r="L88" i="43"/>
  <c r="N88" i="43"/>
  <c r="L87" i="43"/>
  <c r="N87" i="43"/>
  <c r="L89" i="43"/>
  <c r="N89" i="43"/>
  <c r="J81" i="43"/>
  <c r="N81" i="43"/>
  <c r="AT113" i="49"/>
  <c r="I79" i="43"/>
  <c r="AS111" i="49"/>
  <c r="G86" i="43"/>
  <c r="L86" i="43"/>
  <c r="F90" i="43"/>
  <c r="F101" i="43"/>
  <c r="C101" i="43"/>
  <c r="B133" i="44"/>
  <c r="BC134" i="44"/>
  <c r="I83" i="43"/>
  <c r="N83" i="43"/>
  <c r="AS115" i="49"/>
  <c r="J80" i="43"/>
  <c r="AT112" i="49"/>
  <c r="J82" i="43"/>
  <c r="N82" i="43"/>
  <c r="AT114" i="49"/>
  <c r="H79" i="43"/>
  <c r="H84" i="43"/>
  <c r="G84" i="43"/>
  <c r="C111" i="43"/>
  <c r="D151" i="20"/>
  <c r="V140" i="49"/>
  <c r="S17" i="49"/>
  <c r="S18" i="49"/>
  <c r="S14" i="49"/>
  <c r="G14" i="20"/>
  <c r="D286" i="43"/>
  <c r="D287" i="43"/>
  <c r="D288" i="43"/>
  <c r="D289" i="43"/>
  <c r="D290" i="43"/>
  <c r="C286" i="43"/>
  <c r="C287" i="43"/>
  <c r="C288" i="43"/>
  <c r="C289" i="43"/>
  <c r="C290" i="43"/>
  <c r="I289" i="43"/>
  <c r="I290" i="43"/>
  <c r="I291" i="43"/>
  <c r="I292" i="43"/>
  <c r="I293" i="43"/>
  <c r="I294" i="43"/>
  <c r="I295" i="43"/>
  <c r="I296" i="43"/>
  <c r="I297" i="43"/>
  <c r="I298" i="43"/>
  <c r="I299" i="43"/>
  <c r="I300" i="43"/>
  <c r="N289" i="43"/>
  <c r="N290" i="43"/>
  <c r="N291" i="43"/>
  <c r="N292" i="43"/>
  <c r="N293" i="43"/>
  <c r="N294" i="43"/>
  <c r="N295" i="43"/>
  <c r="N296" i="43"/>
  <c r="N297" i="43"/>
  <c r="N298" i="43"/>
  <c r="N299" i="43"/>
  <c r="N300" i="43"/>
  <c r="H289" i="43"/>
  <c r="H290" i="43"/>
  <c r="H291" i="43"/>
  <c r="H292" i="43"/>
  <c r="H293" i="43"/>
  <c r="H294" i="43"/>
  <c r="H295" i="43"/>
  <c r="H296" i="43"/>
  <c r="H297" i="43"/>
  <c r="H298" i="43"/>
  <c r="H299" i="43"/>
  <c r="H300" i="43"/>
  <c r="M289" i="43"/>
  <c r="M290" i="43"/>
  <c r="M291" i="43"/>
  <c r="M292" i="43"/>
  <c r="M293" i="43"/>
  <c r="M294" i="43"/>
  <c r="M295" i="43"/>
  <c r="M296" i="43"/>
  <c r="M297" i="43"/>
  <c r="M298" i="43"/>
  <c r="M299" i="43"/>
  <c r="M300" i="43"/>
  <c r="H281" i="43"/>
  <c r="M281" i="43"/>
  <c r="H282" i="43"/>
  <c r="M282" i="43"/>
  <c r="H283" i="43"/>
  <c r="M283" i="43"/>
  <c r="H284" i="43"/>
  <c r="M284" i="43"/>
  <c r="H285" i="43"/>
  <c r="M285" i="43"/>
  <c r="H286" i="43"/>
  <c r="M286" i="43"/>
  <c r="H287" i="43"/>
  <c r="M287" i="43"/>
  <c r="H288" i="43"/>
  <c r="M288" i="43"/>
  <c r="I281" i="43"/>
  <c r="J281" i="43"/>
  <c r="N281" i="43"/>
  <c r="O281" i="43"/>
  <c r="I282" i="43"/>
  <c r="J282" i="43"/>
  <c r="N282" i="43"/>
  <c r="O282" i="43"/>
  <c r="I283" i="43"/>
  <c r="J283" i="43"/>
  <c r="N283" i="43"/>
  <c r="O283" i="43"/>
  <c r="I284" i="43"/>
  <c r="J284" i="43"/>
  <c r="N284" i="43"/>
  <c r="O284" i="43"/>
  <c r="I285" i="43"/>
  <c r="J285" i="43"/>
  <c r="N285" i="43"/>
  <c r="O285" i="43"/>
  <c r="I286" i="43"/>
  <c r="J286" i="43"/>
  <c r="N286" i="43"/>
  <c r="O286" i="43"/>
  <c r="I287" i="43"/>
  <c r="J287" i="43"/>
  <c r="N287" i="43"/>
  <c r="O287" i="43"/>
  <c r="I288" i="43"/>
  <c r="J288" i="43"/>
  <c r="N288" i="43"/>
  <c r="O288" i="43"/>
  <c r="E136" i="20"/>
  <c r="L90" i="43"/>
  <c r="D215" i="43"/>
  <c r="C148" i="43"/>
  <c r="E148" i="43"/>
  <c r="F148" i="43"/>
  <c r="X148" i="43"/>
  <c r="N86" i="43"/>
  <c r="N90" i="43"/>
  <c r="AT116" i="49"/>
  <c r="AS116" i="49"/>
  <c r="D159" i="20"/>
  <c r="C117" i="43"/>
  <c r="F111" i="43"/>
  <c r="B154" i="44"/>
  <c r="BC155" i="44"/>
  <c r="C271" i="43"/>
  <c r="I271" i="43"/>
  <c r="M271" i="43"/>
  <c r="D272" i="43"/>
  <c r="H272" i="43"/>
  <c r="N272" i="43"/>
  <c r="C273" i="43"/>
  <c r="I273" i="43"/>
  <c r="M273" i="43"/>
  <c r="D274" i="43"/>
  <c r="H274" i="43"/>
  <c r="N274" i="43"/>
  <c r="C275" i="43"/>
  <c r="I275" i="43"/>
  <c r="M275" i="43"/>
  <c r="D276" i="43"/>
  <c r="H276" i="43"/>
  <c r="N276" i="43"/>
  <c r="C277" i="43"/>
  <c r="I277" i="43"/>
  <c r="M277" i="43"/>
  <c r="D278" i="43"/>
  <c r="H278" i="43"/>
  <c r="N278" i="43"/>
  <c r="C279" i="43"/>
  <c r="I279" i="43"/>
  <c r="M279" i="43"/>
  <c r="D280" i="43"/>
  <c r="H280" i="43"/>
  <c r="N280" i="43"/>
  <c r="C281" i="43"/>
  <c r="D282" i="43"/>
  <c r="C283" i="43"/>
  <c r="D284" i="43"/>
  <c r="C285" i="43"/>
  <c r="E37" i="20"/>
  <c r="E39" i="20"/>
  <c r="E42" i="20"/>
  <c r="E44" i="20"/>
  <c r="E46" i="20"/>
  <c r="E48" i="20"/>
  <c r="E52" i="20"/>
  <c r="E54" i="20"/>
  <c r="E56" i="20"/>
  <c r="E58" i="20"/>
  <c r="E60" i="20"/>
  <c r="E62" i="20"/>
  <c r="E64" i="20"/>
  <c r="E66" i="20"/>
  <c r="E68" i="20"/>
  <c r="E72" i="20"/>
  <c r="E74" i="20"/>
  <c r="E76" i="20"/>
  <c r="E78" i="20"/>
  <c r="E81" i="20"/>
  <c r="E83" i="20"/>
  <c r="E85" i="20"/>
  <c r="E87" i="20"/>
  <c r="E89" i="20"/>
  <c r="E94" i="20"/>
  <c r="E96" i="20"/>
  <c r="E98" i="20"/>
  <c r="E100" i="20"/>
  <c r="E103" i="20"/>
  <c r="E105" i="20"/>
  <c r="E107" i="20"/>
  <c r="E127" i="20"/>
  <c r="E129" i="20"/>
  <c r="E131" i="20"/>
  <c r="E133" i="20"/>
  <c r="D271" i="43"/>
  <c r="H271" i="43"/>
  <c r="N271" i="43"/>
  <c r="C272" i="43"/>
  <c r="I272" i="43"/>
  <c r="J272" i="43"/>
  <c r="M272" i="43"/>
  <c r="D273" i="43"/>
  <c r="E273" i="43"/>
  <c r="H273" i="43"/>
  <c r="N273" i="43"/>
  <c r="O273" i="43"/>
  <c r="C274" i="43"/>
  <c r="I274" i="43"/>
  <c r="J274" i="43"/>
  <c r="M274" i="43"/>
  <c r="D275" i="43"/>
  <c r="E275" i="43"/>
  <c r="H275" i="43"/>
  <c r="N275" i="43"/>
  <c r="O275" i="43"/>
  <c r="C276" i="43"/>
  <c r="I276" i="43"/>
  <c r="J276" i="43"/>
  <c r="M276" i="43"/>
  <c r="D277" i="43"/>
  <c r="E277" i="43"/>
  <c r="H277" i="43"/>
  <c r="N277" i="43"/>
  <c r="O277" i="43"/>
  <c r="C278" i="43"/>
  <c r="I278" i="43"/>
  <c r="J278" i="43"/>
  <c r="M278" i="43"/>
  <c r="D279" i="43"/>
  <c r="E279" i="43"/>
  <c r="H279" i="43"/>
  <c r="N279" i="43"/>
  <c r="O279" i="43"/>
  <c r="C280" i="43"/>
  <c r="I280" i="43"/>
  <c r="J280" i="43"/>
  <c r="M280" i="43"/>
  <c r="D281" i="43"/>
  <c r="E281" i="43"/>
  <c r="C282" i="43"/>
  <c r="D283" i="43"/>
  <c r="E283" i="43"/>
  <c r="C284" i="43"/>
  <c r="D285" i="43"/>
  <c r="E285" i="43"/>
  <c r="E36" i="20"/>
  <c r="E38" i="20"/>
  <c r="E41" i="20"/>
  <c r="E43" i="20"/>
  <c r="E45" i="20"/>
  <c r="E47" i="20"/>
  <c r="E51" i="20"/>
  <c r="E53" i="20"/>
  <c r="E55" i="20"/>
  <c r="E57" i="20"/>
  <c r="E59" i="20"/>
  <c r="E61" i="20"/>
  <c r="E63" i="20"/>
  <c r="E65" i="20"/>
  <c r="E67" i="20"/>
  <c r="E69" i="20"/>
  <c r="E73" i="20"/>
  <c r="E75" i="20"/>
  <c r="E77" i="20"/>
  <c r="E80" i="20"/>
  <c r="E82" i="20"/>
  <c r="E84" i="20"/>
  <c r="E86" i="20"/>
  <c r="E88" i="20"/>
  <c r="E90" i="20"/>
  <c r="E95" i="20"/>
  <c r="E97" i="20"/>
  <c r="E99" i="20"/>
  <c r="E101" i="20"/>
  <c r="E104" i="20"/>
  <c r="E106" i="20"/>
  <c r="E108" i="20"/>
  <c r="E128" i="20"/>
  <c r="E130" i="20"/>
  <c r="E132" i="20"/>
  <c r="E134" i="20"/>
  <c r="E137" i="20"/>
  <c r="E113" i="20"/>
  <c r="E116" i="20"/>
  <c r="E114" i="20"/>
  <c r="E115" i="20"/>
  <c r="E112" i="20"/>
  <c r="E121" i="20"/>
  <c r="E117" i="20"/>
  <c r="E120" i="20"/>
  <c r="E122" i="20"/>
  <c r="E119" i="20"/>
  <c r="E123" i="20"/>
  <c r="E124" i="20"/>
  <c r="E135" i="20"/>
  <c r="N80" i="43"/>
  <c r="J84" i="43"/>
  <c r="C102" i="43"/>
  <c r="B144" i="44"/>
  <c r="BC145" i="44"/>
  <c r="G90" i="43"/>
  <c r="G101" i="43"/>
  <c r="H86" i="43"/>
  <c r="H90" i="43"/>
  <c r="H101" i="43"/>
  <c r="N79" i="43"/>
  <c r="I84" i="43"/>
  <c r="G18" i="20"/>
  <c r="D4" i="44"/>
  <c r="BE4" i="44"/>
  <c r="D7" i="44"/>
  <c r="BE7" i="44"/>
  <c r="E290" i="43"/>
  <c r="E288" i="43"/>
  <c r="E286" i="43"/>
  <c r="E289" i="43"/>
  <c r="E287" i="43"/>
  <c r="L101" i="43"/>
  <c r="O300" i="43"/>
  <c r="O298" i="43"/>
  <c r="O296" i="43"/>
  <c r="O294" i="43"/>
  <c r="O292" i="43"/>
  <c r="O290" i="43"/>
  <c r="J300" i="43"/>
  <c r="J298" i="43"/>
  <c r="J296" i="43"/>
  <c r="J294" i="43"/>
  <c r="J292" i="43"/>
  <c r="J290" i="43"/>
  <c r="O299" i="43"/>
  <c r="O297" i="43"/>
  <c r="O295" i="43"/>
  <c r="O293" i="43"/>
  <c r="O291" i="43"/>
  <c r="O289" i="43"/>
  <c r="J299" i="43"/>
  <c r="J297" i="43"/>
  <c r="J295" i="43"/>
  <c r="J293" i="43"/>
  <c r="J291" i="43"/>
  <c r="J289" i="43"/>
  <c r="N84" i="43"/>
  <c r="N103" i="43"/>
  <c r="M301" i="43"/>
  <c r="M302" i="43"/>
  <c r="G131" i="43"/>
  <c r="C220" i="43"/>
  <c r="C301" i="43"/>
  <c r="C302" i="43"/>
  <c r="H301" i="43"/>
  <c r="H302" i="43"/>
  <c r="G130" i="43"/>
  <c r="E168" i="43"/>
  <c r="I101" i="43"/>
  <c r="G155" i="43"/>
  <c r="H183" i="43"/>
  <c r="D222" i="43"/>
  <c r="C155" i="43"/>
  <c r="E155" i="43"/>
  <c r="F155" i="43"/>
  <c r="X155" i="43"/>
  <c r="C103" i="43"/>
  <c r="B146" i="44"/>
  <c r="BC147" i="44"/>
  <c r="B145" i="44"/>
  <c r="BC146" i="44"/>
  <c r="J271" i="43"/>
  <c r="I301" i="43"/>
  <c r="L148" i="43"/>
  <c r="P148" i="43"/>
  <c r="T148" i="43"/>
  <c r="K148" i="43"/>
  <c r="M148" i="43"/>
  <c r="O148" i="43"/>
  <c r="Q148" i="43"/>
  <c r="S148" i="43"/>
  <c r="U148" i="43"/>
  <c r="C125" i="43"/>
  <c r="B160" i="44"/>
  <c r="BC161" i="44"/>
  <c r="V141" i="49"/>
  <c r="D161" i="20"/>
  <c r="E159" i="20"/>
  <c r="E284" i="43"/>
  <c r="E282" i="43"/>
  <c r="O280" i="43"/>
  <c r="E280" i="43"/>
  <c r="J279" i="43"/>
  <c r="O278" i="43"/>
  <c r="E278" i="43"/>
  <c r="J277" i="43"/>
  <c r="O276" i="43"/>
  <c r="E276" i="43"/>
  <c r="J275" i="43"/>
  <c r="O274" i="43"/>
  <c r="E274" i="43"/>
  <c r="J273" i="43"/>
  <c r="O272" i="43"/>
  <c r="E272" i="43"/>
  <c r="G145" i="43"/>
  <c r="G183" i="43"/>
  <c r="D212" i="43"/>
  <c r="J101" i="43"/>
  <c r="C321" i="43"/>
  <c r="B195" i="44"/>
  <c r="BC196" i="44"/>
  <c r="O271" i="43"/>
  <c r="N301" i="43"/>
  <c r="E271" i="43"/>
  <c r="D301" i="43"/>
  <c r="F117" i="43"/>
  <c r="F125" i="43"/>
  <c r="F127" i="43"/>
  <c r="D11" i="44"/>
  <c r="BE11" i="44"/>
  <c r="C215" i="43"/>
  <c r="N101" i="43"/>
  <c r="D8" i="44"/>
  <c r="BE8" i="44"/>
  <c r="E167" i="43"/>
  <c r="E179" i="43"/>
  <c r="E175" i="43"/>
  <c r="E177" i="43"/>
  <c r="E171" i="43"/>
  <c r="V148" i="43"/>
  <c r="R148" i="43"/>
  <c r="N148" i="43"/>
  <c r="E173" i="43"/>
  <c r="E169" i="43"/>
  <c r="E180" i="43"/>
  <c r="E178" i="43"/>
  <c r="E176" i="43"/>
  <c r="E174" i="43"/>
  <c r="E172" i="43"/>
  <c r="E170" i="43"/>
  <c r="C167" i="43"/>
  <c r="C168" i="43"/>
  <c r="F168" i="43"/>
  <c r="G168" i="43"/>
  <c r="C169" i="43"/>
  <c r="C170" i="43"/>
  <c r="F170" i="43"/>
  <c r="G170" i="43"/>
  <c r="C171" i="43"/>
  <c r="F171" i="43"/>
  <c r="G171" i="43"/>
  <c r="C172" i="43"/>
  <c r="C173" i="43"/>
  <c r="F173" i="43"/>
  <c r="G173" i="43"/>
  <c r="C174" i="43"/>
  <c r="F174" i="43"/>
  <c r="G174" i="43"/>
  <c r="C175" i="43"/>
  <c r="F175" i="43"/>
  <c r="G175" i="43"/>
  <c r="C176" i="43"/>
  <c r="C177" i="43"/>
  <c r="C178" i="43"/>
  <c r="F178" i="43"/>
  <c r="G178" i="43"/>
  <c r="C179" i="43"/>
  <c r="C180" i="43"/>
  <c r="C224" i="43"/>
  <c r="E301" i="43"/>
  <c r="D302" i="43"/>
  <c r="E302" i="43"/>
  <c r="C129" i="43"/>
  <c r="O301" i="43"/>
  <c r="N302" i="43"/>
  <c r="O302" i="43"/>
  <c r="C131" i="43"/>
  <c r="G184" i="43"/>
  <c r="G185" i="43"/>
  <c r="G186" i="43"/>
  <c r="E141" i="20"/>
  <c r="E143" i="20"/>
  <c r="E147" i="20"/>
  <c r="E149" i="20"/>
  <c r="E153" i="20"/>
  <c r="E155" i="20"/>
  <c r="E157" i="20"/>
  <c r="E160" i="20"/>
  <c r="E161" i="20"/>
  <c r="V143" i="49"/>
  <c r="G17" i="20"/>
  <c r="D5" i="44"/>
  <c r="BE5" i="44"/>
  <c r="E142" i="20"/>
  <c r="E146" i="20"/>
  <c r="E148" i="20"/>
  <c r="E150" i="20"/>
  <c r="E154" i="20"/>
  <c r="E156" i="20"/>
  <c r="E158" i="20"/>
  <c r="E145" i="20"/>
  <c r="E151" i="20"/>
  <c r="C127" i="43"/>
  <c r="B168" i="44"/>
  <c r="BC169" i="44"/>
  <c r="J301" i="43"/>
  <c r="I302" i="43"/>
  <c r="J302" i="43"/>
  <c r="C130" i="43"/>
  <c r="L155" i="43"/>
  <c r="P155" i="43"/>
  <c r="T155" i="43"/>
  <c r="G157" i="43"/>
  <c r="M155" i="43"/>
  <c r="Q155" i="43"/>
  <c r="S155" i="43"/>
  <c r="AI143" i="43"/>
  <c r="U155" i="43"/>
  <c r="C132" i="43"/>
  <c r="C322" i="43"/>
  <c r="B196" i="44"/>
  <c r="BC197" i="44"/>
  <c r="C145" i="43"/>
  <c r="D224" i="43"/>
  <c r="N104" i="43"/>
  <c r="H184" i="43"/>
  <c r="H185" i="43"/>
  <c r="H186" i="43"/>
  <c r="F179" i="43"/>
  <c r="G179" i="43"/>
  <c r="P179" i="43"/>
  <c r="P225" i="43"/>
  <c r="F177" i="43"/>
  <c r="G177" i="43"/>
  <c r="L177" i="43"/>
  <c r="L223" i="43"/>
  <c r="F169" i="43"/>
  <c r="G169" i="43"/>
  <c r="L169" i="43"/>
  <c r="L215" i="43"/>
  <c r="G187" i="43"/>
  <c r="F180" i="43"/>
  <c r="G180" i="43"/>
  <c r="L180" i="43"/>
  <c r="L226" i="43"/>
  <c r="F176" i="43"/>
  <c r="G176" i="43"/>
  <c r="L176" i="43"/>
  <c r="L222" i="43"/>
  <c r="F172" i="43"/>
  <c r="G172" i="43"/>
  <c r="P172" i="43"/>
  <c r="P218" i="43"/>
  <c r="E181" i="43"/>
  <c r="H187" i="43"/>
  <c r="V155" i="43"/>
  <c r="K155" i="43"/>
  <c r="AG143" i="43"/>
  <c r="B25" i="44"/>
  <c r="BC25" i="44"/>
  <c r="F130" i="43"/>
  <c r="B173" i="44"/>
  <c r="BC174" i="44"/>
  <c r="F131" i="43"/>
  <c r="B174" i="44"/>
  <c r="BC175" i="44"/>
  <c r="F129" i="43"/>
  <c r="B172" i="44"/>
  <c r="BC173" i="44"/>
  <c r="L175" i="43"/>
  <c r="L221" i="43"/>
  <c r="P175" i="43"/>
  <c r="P221" i="43"/>
  <c r="T175" i="43"/>
  <c r="T221" i="43"/>
  <c r="K175" i="43"/>
  <c r="K221" i="43"/>
  <c r="M175" i="43"/>
  <c r="O175" i="43"/>
  <c r="O221" i="43"/>
  <c r="Q175" i="43"/>
  <c r="S175" i="43"/>
  <c r="S221" i="43"/>
  <c r="U175" i="43"/>
  <c r="L173" i="43"/>
  <c r="L219" i="43"/>
  <c r="P173" i="43"/>
  <c r="P219" i="43"/>
  <c r="T173" i="43"/>
  <c r="T219" i="43"/>
  <c r="K173" i="43"/>
  <c r="K219" i="43"/>
  <c r="M173" i="43"/>
  <c r="O173" i="43"/>
  <c r="O219" i="43"/>
  <c r="Q173" i="43"/>
  <c r="S173" i="43"/>
  <c r="S219" i="43"/>
  <c r="U173" i="43"/>
  <c r="L171" i="43"/>
  <c r="L217" i="43"/>
  <c r="P171" i="43"/>
  <c r="P217" i="43"/>
  <c r="T171" i="43"/>
  <c r="T217" i="43"/>
  <c r="K171" i="43"/>
  <c r="K217" i="43"/>
  <c r="M171" i="43"/>
  <c r="O171" i="43"/>
  <c r="O217" i="43"/>
  <c r="Q171" i="43"/>
  <c r="S171" i="43"/>
  <c r="S217" i="43"/>
  <c r="U171" i="43"/>
  <c r="F167" i="43"/>
  <c r="C181" i="43"/>
  <c r="E145" i="43"/>
  <c r="C157" i="43"/>
  <c r="F132" i="43"/>
  <c r="D15" i="44"/>
  <c r="BE15" i="44"/>
  <c r="B175" i="44"/>
  <c r="BC176" i="44"/>
  <c r="C134" i="43"/>
  <c r="B170" i="44"/>
  <c r="BC171" i="44"/>
  <c r="D10" i="44"/>
  <c r="BE10" i="44"/>
  <c r="L178" i="43"/>
  <c r="L224" i="43"/>
  <c r="P178" i="43"/>
  <c r="P224" i="43"/>
  <c r="T178" i="43"/>
  <c r="T224" i="43"/>
  <c r="K178" i="43"/>
  <c r="K224" i="43"/>
  <c r="M178" i="43"/>
  <c r="O178" i="43"/>
  <c r="O224" i="43"/>
  <c r="Q178" i="43"/>
  <c r="S178" i="43"/>
  <c r="S224" i="43"/>
  <c r="U178" i="43"/>
  <c r="L174" i="43"/>
  <c r="L220" i="43"/>
  <c r="P174" i="43"/>
  <c r="P220" i="43"/>
  <c r="T174" i="43"/>
  <c r="T220" i="43"/>
  <c r="K174" i="43"/>
  <c r="K220" i="43"/>
  <c r="M174" i="43"/>
  <c r="O174" i="43"/>
  <c r="O220" i="43"/>
  <c r="Q174" i="43"/>
  <c r="S174" i="43"/>
  <c r="S220" i="43"/>
  <c r="U174" i="43"/>
  <c r="L170" i="43"/>
  <c r="L216" i="43"/>
  <c r="P170" i="43"/>
  <c r="P216" i="43"/>
  <c r="T170" i="43"/>
  <c r="T216" i="43"/>
  <c r="K170" i="43"/>
  <c r="K216" i="43"/>
  <c r="M170" i="43"/>
  <c r="O170" i="43"/>
  <c r="O216" i="43"/>
  <c r="Q170" i="43"/>
  <c r="S170" i="43"/>
  <c r="S216" i="43"/>
  <c r="U170" i="43"/>
  <c r="L168" i="43"/>
  <c r="L214" i="43"/>
  <c r="P168" i="43"/>
  <c r="P214" i="43"/>
  <c r="T168" i="43"/>
  <c r="T214" i="43"/>
  <c r="K168" i="43"/>
  <c r="K214" i="43"/>
  <c r="M168" i="43"/>
  <c r="O168" i="43"/>
  <c r="O214" i="43"/>
  <c r="Q168" i="43"/>
  <c r="S168" i="43"/>
  <c r="S214" i="43"/>
  <c r="U168" i="43"/>
  <c r="P176" i="43"/>
  <c r="P222" i="43"/>
  <c r="M172" i="43"/>
  <c r="P180" i="43"/>
  <c r="P226" i="43"/>
  <c r="S169" i="43"/>
  <c r="S215" i="43"/>
  <c r="Q179" i="43"/>
  <c r="K177" i="43"/>
  <c r="K223" i="43"/>
  <c r="U172" i="43"/>
  <c r="L172" i="43"/>
  <c r="L218" i="43"/>
  <c r="O180" i="43"/>
  <c r="O226" i="43"/>
  <c r="K169" i="43"/>
  <c r="K215" i="43"/>
  <c r="T179" i="43"/>
  <c r="T225" i="43"/>
  <c r="O176" i="43"/>
  <c r="O222" i="43"/>
  <c r="S177" i="43"/>
  <c r="S223" i="43"/>
  <c r="Q172" i="43"/>
  <c r="Q218" i="43"/>
  <c r="T172" i="43"/>
  <c r="T218" i="43"/>
  <c r="S180" i="43"/>
  <c r="S226" i="43"/>
  <c r="K180" i="43"/>
  <c r="K226" i="43"/>
  <c r="O169" i="43"/>
  <c r="O215" i="43"/>
  <c r="P169" i="43"/>
  <c r="P215" i="43"/>
  <c r="U179" i="43"/>
  <c r="U225" i="43"/>
  <c r="M179" i="43"/>
  <c r="M225" i="43"/>
  <c r="L179" i="43"/>
  <c r="L225" i="43"/>
  <c r="S176" i="43"/>
  <c r="S222" i="43"/>
  <c r="K176" i="43"/>
  <c r="K222" i="43"/>
  <c r="O177" i="43"/>
  <c r="O223" i="43"/>
  <c r="P177" i="43"/>
  <c r="P223" i="43"/>
  <c r="U177" i="43"/>
  <c r="U223" i="43"/>
  <c r="Q177" i="43"/>
  <c r="Q223" i="43"/>
  <c r="M177" i="43"/>
  <c r="M223" i="43"/>
  <c r="T177" i="43"/>
  <c r="T223" i="43"/>
  <c r="N155" i="43"/>
  <c r="S172" i="43"/>
  <c r="S218" i="43"/>
  <c r="O172" i="43"/>
  <c r="O218" i="43"/>
  <c r="K172" i="43"/>
  <c r="K218" i="43"/>
  <c r="U180" i="43"/>
  <c r="U226" i="43"/>
  <c r="Q180" i="43"/>
  <c r="M180" i="43"/>
  <c r="M226" i="43"/>
  <c r="N226" i="43"/>
  <c r="T180" i="43"/>
  <c r="T226" i="43"/>
  <c r="U169" i="43"/>
  <c r="U215" i="43"/>
  <c r="Q169" i="43"/>
  <c r="Q215" i="43"/>
  <c r="M169" i="43"/>
  <c r="M215" i="43"/>
  <c r="T169" i="43"/>
  <c r="T215" i="43"/>
  <c r="S179" i="43"/>
  <c r="S225" i="43"/>
  <c r="O179" i="43"/>
  <c r="O225" i="43"/>
  <c r="K179" i="43"/>
  <c r="K225" i="43"/>
  <c r="U176" i="43"/>
  <c r="U222" i="43"/>
  <c r="Q176" i="43"/>
  <c r="M176" i="43"/>
  <c r="N176" i="43"/>
  <c r="T176" i="43"/>
  <c r="T222" i="43"/>
  <c r="V170" i="43"/>
  <c r="U216" i="43"/>
  <c r="V216" i="43"/>
  <c r="N170" i="43"/>
  <c r="M216" i="43"/>
  <c r="N216" i="43"/>
  <c r="V174" i="43"/>
  <c r="U220" i="43"/>
  <c r="V220" i="43"/>
  <c r="N174" i="43"/>
  <c r="M220" i="43"/>
  <c r="N220" i="43"/>
  <c r="V178" i="43"/>
  <c r="U224" i="43"/>
  <c r="V224" i="43"/>
  <c r="N178" i="43"/>
  <c r="M224" i="43"/>
  <c r="N224" i="43"/>
  <c r="V168" i="43"/>
  <c r="U214" i="43"/>
  <c r="V214" i="43"/>
  <c r="R168" i="43"/>
  <c r="Q214" i="43"/>
  <c r="R214" i="43"/>
  <c r="N168" i="43"/>
  <c r="M214" i="43"/>
  <c r="N214" i="43"/>
  <c r="U218" i="43"/>
  <c r="M218" i="43"/>
  <c r="N218" i="43"/>
  <c r="G167" i="43"/>
  <c r="F181" i="43"/>
  <c r="V171" i="43"/>
  <c r="U217" i="43"/>
  <c r="V217" i="43"/>
  <c r="R171" i="43"/>
  <c r="Q217" i="43"/>
  <c r="R217" i="43"/>
  <c r="N171" i="43"/>
  <c r="M217" i="43"/>
  <c r="N217" i="43"/>
  <c r="V175" i="43"/>
  <c r="U221" i="43"/>
  <c r="V221" i="43"/>
  <c r="R175" i="43"/>
  <c r="Q221" i="43"/>
  <c r="R221" i="43"/>
  <c r="N175" i="43"/>
  <c r="M221" i="43"/>
  <c r="N221" i="43"/>
  <c r="Q225" i="43"/>
  <c r="F134" i="43"/>
  <c r="D13" i="44"/>
  <c r="BE13" i="44"/>
  <c r="D14" i="44"/>
  <c r="BE14" i="44"/>
  <c r="R170" i="43"/>
  <c r="Q216" i="43"/>
  <c r="R216" i="43"/>
  <c r="R174" i="43"/>
  <c r="Q220" i="43"/>
  <c r="R220" i="43"/>
  <c r="R178" i="43"/>
  <c r="Q224" i="43"/>
  <c r="R224" i="43"/>
  <c r="C135" i="43"/>
  <c r="B177" i="44"/>
  <c r="BC178" i="44"/>
  <c r="D9" i="44"/>
  <c r="BE9" i="44"/>
  <c r="D12" i="44"/>
  <c r="BE12" i="44"/>
  <c r="E157" i="43"/>
  <c r="F145" i="43"/>
  <c r="X145" i="43"/>
  <c r="X157" i="43"/>
  <c r="V173" i="43"/>
  <c r="U219" i="43"/>
  <c r="V219" i="43"/>
  <c r="R173" i="43"/>
  <c r="Q219" i="43"/>
  <c r="R219" i="43"/>
  <c r="N173" i="43"/>
  <c r="M219" i="43"/>
  <c r="N219" i="43"/>
  <c r="V179" i="43"/>
  <c r="R176" i="43"/>
  <c r="N223" i="43"/>
  <c r="N215" i="43"/>
  <c r="N177" i="43"/>
  <c r="R180" i="43"/>
  <c r="R223" i="43"/>
  <c r="N169" i="43"/>
  <c r="N180" i="43"/>
  <c r="R172" i="43"/>
  <c r="Q222" i="43"/>
  <c r="R222" i="43"/>
  <c r="V222" i="43"/>
  <c r="R215" i="43"/>
  <c r="R177" i="43"/>
  <c r="V180" i="43"/>
  <c r="V223" i="43"/>
  <c r="R169" i="43"/>
  <c r="N179" i="43"/>
  <c r="V177" i="43"/>
  <c r="V169" i="43"/>
  <c r="R179" i="43"/>
  <c r="Q226" i="43"/>
  <c r="R226" i="43"/>
  <c r="V218" i="43"/>
  <c r="R225" i="43"/>
  <c r="M222" i="43"/>
  <c r="N222" i="43"/>
  <c r="N172" i="43"/>
  <c r="V172" i="43"/>
  <c r="V215" i="43"/>
  <c r="V226" i="43"/>
  <c r="N225" i="43"/>
  <c r="V225" i="43"/>
  <c r="R218" i="43"/>
  <c r="V176" i="43"/>
  <c r="L145" i="43"/>
  <c r="L157" i="43"/>
  <c r="P145" i="43"/>
  <c r="P157" i="43"/>
  <c r="T145" i="43"/>
  <c r="T157" i="43"/>
  <c r="M145" i="43"/>
  <c r="Q145" i="43"/>
  <c r="S145" i="43"/>
  <c r="AI142" i="43"/>
  <c r="U145" i="43"/>
  <c r="G147" i="43"/>
  <c r="W145" i="43"/>
  <c r="AJ142" i="43"/>
  <c r="K145" i="43"/>
  <c r="F157" i="43"/>
  <c r="L167" i="43"/>
  <c r="P167" i="43"/>
  <c r="T167" i="43"/>
  <c r="G181" i="43"/>
  <c r="K167" i="43"/>
  <c r="M167" i="43"/>
  <c r="O167" i="43"/>
  <c r="Q167" i="43"/>
  <c r="S167" i="43"/>
  <c r="U167" i="43"/>
  <c r="S181" i="43"/>
  <c r="S213" i="43"/>
  <c r="S228" i="43"/>
  <c r="S229" i="43"/>
  <c r="O181" i="43"/>
  <c r="O213" i="43"/>
  <c r="O228" i="43"/>
  <c r="O229" i="43"/>
  <c r="K181" i="43"/>
  <c r="K185" i="43"/>
  <c r="K213" i="43"/>
  <c r="T181" i="43"/>
  <c r="T213" i="43"/>
  <c r="T228" i="43"/>
  <c r="T229" i="43"/>
  <c r="L181" i="43"/>
  <c r="L185" i="43"/>
  <c r="L186" i="43"/>
  <c r="L213" i="43"/>
  <c r="O145" i="43"/>
  <c r="AI141" i="43"/>
  <c r="D23" i="44"/>
  <c r="BE23" i="44"/>
  <c r="S157" i="43"/>
  <c r="AI144" i="43"/>
  <c r="N145" i="43"/>
  <c r="N157" i="43"/>
  <c r="M157" i="43"/>
  <c r="AG145" i="43"/>
  <c r="V167" i="43"/>
  <c r="V181" i="43"/>
  <c r="U181" i="43"/>
  <c r="U213" i="43"/>
  <c r="R167" i="43"/>
  <c r="R181" i="43"/>
  <c r="Q181" i="43"/>
  <c r="Q213" i="43"/>
  <c r="N167" i="43"/>
  <c r="N181" i="43"/>
  <c r="N185" i="43"/>
  <c r="M181" i="43"/>
  <c r="M185" i="43"/>
  <c r="M186" i="43"/>
  <c r="M213" i="43"/>
  <c r="P181" i="43"/>
  <c r="P213" i="43"/>
  <c r="P228" i="43"/>
  <c r="P229" i="43"/>
  <c r="V145" i="43"/>
  <c r="V157" i="43"/>
  <c r="U157" i="43"/>
  <c r="AI145" i="43"/>
  <c r="R145" i="43"/>
  <c r="Q157" i="43"/>
  <c r="AH145" i="43"/>
  <c r="D26" i="44"/>
  <c r="BE26" i="44"/>
  <c r="AH151" i="43"/>
  <c r="C32" i="44"/>
  <c r="BD32" i="44"/>
  <c r="R213" i="43"/>
  <c r="R228" i="43"/>
  <c r="R229" i="43"/>
  <c r="Q228" i="43"/>
  <c r="Q229" i="43"/>
  <c r="AH152" i="43"/>
  <c r="C33" i="44"/>
  <c r="BD33" i="44"/>
  <c r="R185" i="43"/>
  <c r="R186" i="43"/>
  <c r="U185" i="43"/>
  <c r="U186" i="43"/>
  <c r="B27" i="44"/>
  <c r="BC27" i="44"/>
  <c r="AH142" i="43"/>
  <c r="K208" i="43"/>
  <c r="K206" i="43"/>
  <c r="K186" i="43"/>
  <c r="L228" i="43"/>
  <c r="AH153" i="43"/>
  <c r="C34" i="44"/>
  <c r="BD34" i="44"/>
  <c r="C27" i="44"/>
  <c r="BD27" i="44"/>
  <c r="D27" i="44"/>
  <c r="BE27" i="44"/>
  <c r="N213" i="43"/>
  <c r="M228" i="43"/>
  <c r="Q185" i="43"/>
  <c r="Q186" i="43"/>
  <c r="V213" i="43"/>
  <c r="V228" i="43"/>
  <c r="V229" i="43"/>
  <c r="U228" i="43"/>
  <c r="U229" i="43"/>
  <c r="AI152" i="43"/>
  <c r="D33" i="44"/>
  <c r="BE33" i="44"/>
  <c r="V185" i="43"/>
  <c r="V186" i="43"/>
  <c r="AG142" i="43"/>
  <c r="K157" i="43"/>
  <c r="T185" i="43"/>
  <c r="T186" i="43"/>
  <c r="O185" i="43"/>
  <c r="O186" i="43"/>
  <c r="S185" i="43"/>
  <c r="S186" i="43"/>
  <c r="P185" i="43"/>
  <c r="P186" i="43"/>
  <c r="AI151" i="43"/>
  <c r="AI146" i="43"/>
  <c r="D28" i="44"/>
  <c r="BE28" i="44"/>
  <c r="AG152" i="43"/>
  <c r="B33" i="44"/>
  <c r="BC33" i="44"/>
  <c r="AG141" i="43"/>
  <c r="B23" i="44"/>
  <c r="BC23" i="44"/>
  <c r="B24" i="44"/>
  <c r="BC24" i="44"/>
  <c r="N206" i="43"/>
  <c r="N186" i="43"/>
  <c r="AG150" i="43"/>
  <c r="K227" i="43"/>
  <c r="C24" i="44"/>
  <c r="BD24" i="44"/>
  <c r="AI153" i="43"/>
  <c r="D34" i="44"/>
  <c r="BE34" i="44"/>
  <c r="D32" i="44"/>
  <c r="BE32" i="44"/>
  <c r="AG144" i="43"/>
  <c r="B26" i="44"/>
  <c r="BC26" i="44"/>
  <c r="N227" i="43"/>
  <c r="K228" i="43"/>
  <c r="N228" i="43"/>
  <c r="B31" i="44"/>
  <c r="BC31" i="44"/>
  <c r="AG151" i="43"/>
  <c r="B32" i="44"/>
  <c r="BC32" i="44"/>
  <c r="AG146" i="43"/>
  <c r="B28" i="44"/>
  <c r="BC28" i="44"/>
  <c r="AG153" i="43"/>
  <c r="B34" i="44"/>
  <c r="BC34" i="44"/>
  <c r="F2" i="25" a="1"/>
  <c r="W155" i="43"/>
  <c r="AJ143" i="43"/>
  <c r="O155" i="43"/>
  <c r="W154" i="43"/>
  <c r="W153" i="43"/>
  <c r="W152" i="43"/>
  <c r="W151" i="43"/>
  <c r="W148" i="43"/>
  <c r="W146" i="43"/>
  <c r="W156" i="43"/>
  <c r="W157" i="43"/>
  <c r="Y156" i="43"/>
  <c r="Z156" i="43"/>
  <c r="Y155" i="43"/>
  <c r="Z155" i="43"/>
  <c r="Y154" i="43"/>
  <c r="Y153" i="43"/>
  <c r="Y152" i="43"/>
  <c r="Y151" i="43"/>
  <c r="Y148" i="43"/>
  <c r="Y146" i="43"/>
  <c r="Y145" i="43"/>
  <c r="Y157" i="43"/>
  <c r="AJ145" i="43"/>
  <c r="E27" i="44"/>
  <c r="BF27" i="44"/>
  <c r="Y167" i="43"/>
  <c r="X167" i="43"/>
  <c r="W167" i="43"/>
  <c r="Y172" i="43"/>
  <c r="X172" i="43"/>
  <c r="W172" i="43"/>
  <c r="W218" i="43"/>
  <c r="Y176" i="43"/>
  <c r="X176" i="43"/>
  <c r="W176" i="43"/>
  <c r="W222" i="43"/>
  <c r="Y180" i="43"/>
  <c r="X180" i="43"/>
  <c r="W180" i="43"/>
  <c r="W226" i="43"/>
  <c r="Y169" i="43"/>
  <c r="X169" i="43"/>
  <c r="W169" i="43"/>
  <c r="W215" i="43"/>
  <c r="Y177" i="43"/>
  <c r="X177" i="43"/>
  <c r="W177" i="43"/>
  <c r="W223" i="43"/>
  <c r="Y179" i="43"/>
  <c r="X179" i="43"/>
  <c r="W179" i="43"/>
  <c r="W225" i="43"/>
  <c r="Y178" i="43"/>
  <c r="X178" i="43"/>
  <c r="W178" i="43"/>
  <c r="W224" i="43"/>
  <c r="Y175" i="43"/>
  <c r="X175" i="43"/>
  <c r="W175" i="43"/>
  <c r="W221" i="43"/>
  <c r="Y174" i="43"/>
  <c r="X174" i="43"/>
  <c r="W174" i="43"/>
  <c r="W220" i="43"/>
  <c r="Y173" i="43"/>
  <c r="X173" i="43"/>
  <c r="W173" i="43"/>
  <c r="W219" i="43"/>
  <c r="Y171" i="43"/>
  <c r="X171" i="43"/>
  <c r="W171" i="43"/>
  <c r="W217" i="43"/>
  <c r="Y170" i="43"/>
  <c r="X170" i="43"/>
  <c r="W170" i="43"/>
  <c r="W216" i="43"/>
  <c r="Y168" i="43"/>
  <c r="X168" i="43"/>
  <c r="W168" i="43"/>
  <c r="W214" i="43"/>
  <c r="Y192" i="43"/>
  <c r="X192" i="43"/>
  <c r="Y194" i="43"/>
  <c r="X194" i="43"/>
  <c r="Y198" i="43"/>
  <c r="X198" i="43"/>
  <c r="Y196" i="43"/>
  <c r="X196" i="43"/>
  <c r="Y202" i="43"/>
  <c r="X202" i="43"/>
  <c r="Y193" i="43"/>
  <c r="X193" i="43"/>
  <c r="Y197" i="43"/>
  <c r="X197" i="43"/>
  <c r="Y201" i="43"/>
  <c r="X201" i="43"/>
  <c r="Y205" i="43"/>
  <c r="X205" i="43"/>
  <c r="Y200" i="43"/>
  <c r="X200" i="43"/>
  <c r="Y195" i="43"/>
  <c r="X195" i="43"/>
  <c r="Y203" i="43"/>
  <c r="X203" i="43"/>
  <c r="Y204" i="43"/>
  <c r="X204" i="43"/>
  <c r="Y199" i="43"/>
  <c r="X199" i="43"/>
  <c r="W208" i="43"/>
  <c r="AJ150" i="43"/>
  <c r="E31" i="44"/>
  <c r="BF31" i="44"/>
  <c r="AJ141" i="43"/>
  <c r="E23" i="44"/>
  <c r="BF23" i="44"/>
  <c r="Z145" i="43"/>
  <c r="Z144" i="43"/>
  <c r="F2" i="25"/>
  <c r="H2" i="25"/>
  <c r="J2" i="25"/>
  <c r="G2" i="25"/>
  <c r="I2" i="25"/>
  <c r="Z146" i="43"/>
  <c r="Z148" i="43"/>
  <c r="Z151" i="43"/>
  <c r="Z152" i="43"/>
  <c r="Z153" i="43"/>
  <c r="Z154" i="43"/>
  <c r="AH143" i="43"/>
  <c r="R155" i="43"/>
  <c r="R157" i="43"/>
  <c r="O157" i="43"/>
  <c r="AJ144" i="43"/>
  <c r="Z199" i="43"/>
  <c r="Z204" i="43"/>
  <c r="Z203" i="43"/>
  <c r="Z195" i="43"/>
  <c r="Z200" i="43"/>
  <c r="Z205" i="43"/>
  <c r="Z201" i="43"/>
  <c r="Z197" i="43"/>
  <c r="Z193" i="43"/>
  <c r="Z202" i="43"/>
  <c r="Z196" i="43"/>
  <c r="Z198" i="43"/>
  <c r="Z194" i="43"/>
  <c r="X206" i="43"/>
  <c r="X208" i="43"/>
  <c r="Y206" i="43"/>
  <c r="Z192" i="43"/>
  <c r="X214" i="43"/>
  <c r="Y214" i="43"/>
  <c r="Z214" i="43"/>
  <c r="Z168" i="43"/>
  <c r="X216" i="43"/>
  <c r="Y216" i="43"/>
  <c r="Z216" i="43"/>
  <c r="Z170" i="43"/>
  <c r="X217" i="43"/>
  <c r="Y217" i="43"/>
  <c r="Z217" i="43"/>
  <c r="Z171" i="43"/>
  <c r="X219" i="43"/>
  <c r="Y219" i="43"/>
  <c r="Z219" i="43"/>
  <c r="Z173" i="43"/>
  <c r="X220" i="43"/>
  <c r="Y220" i="43"/>
  <c r="Z220" i="43"/>
  <c r="Z174" i="43"/>
  <c r="X221" i="43"/>
  <c r="Y221" i="43"/>
  <c r="Z221" i="43"/>
  <c r="Z175" i="43"/>
  <c r="X224" i="43"/>
  <c r="Y224" i="43"/>
  <c r="Z224" i="43"/>
  <c r="Z178" i="43"/>
  <c r="X225" i="43"/>
  <c r="Y225" i="43"/>
  <c r="Z225" i="43"/>
  <c r="Z179" i="43"/>
  <c r="X223" i="43"/>
  <c r="Y223" i="43"/>
  <c r="Z223" i="43"/>
  <c r="Z177" i="43"/>
  <c r="X215" i="43"/>
  <c r="Y215" i="43"/>
  <c r="Z215" i="43"/>
  <c r="Z169" i="43"/>
  <c r="X226" i="43"/>
  <c r="Y226" i="43"/>
  <c r="Z226" i="43"/>
  <c r="Z180" i="43"/>
  <c r="X222" i="43"/>
  <c r="Y222" i="43"/>
  <c r="Z222" i="43"/>
  <c r="Z176" i="43"/>
  <c r="X218" i="43"/>
  <c r="Y218" i="43"/>
  <c r="Z218" i="43"/>
  <c r="Z172" i="43"/>
  <c r="W213" i="43"/>
  <c r="W228" i="43"/>
  <c r="W229" i="43"/>
  <c r="W181" i="43"/>
  <c r="X213" i="43"/>
  <c r="X228" i="43"/>
  <c r="X229" i="43"/>
  <c r="X181" i="43"/>
  <c r="Y213" i="43"/>
  <c r="Z167" i="43"/>
  <c r="Z181" i="43"/>
  <c r="Y181" i="43"/>
  <c r="Z185" i="43"/>
  <c r="Z157" i="43"/>
  <c r="AJ146" i="43"/>
  <c r="E28" i="44"/>
  <c r="BF28" i="44"/>
  <c r="E26" i="44"/>
  <c r="BF26" i="44"/>
  <c r="C25" i="44"/>
  <c r="BD25" i="44"/>
  <c r="AH141" i="43"/>
  <c r="C23" i="44"/>
  <c r="BD23" i="44"/>
  <c r="Y186" i="43"/>
  <c r="Y185" i="43"/>
  <c r="Y228" i="43"/>
  <c r="Y229" i="43"/>
  <c r="AJ152" i="43"/>
  <c r="E33" i="44"/>
  <c r="BF33" i="44"/>
  <c r="Z213" i="43"/>
  <c r="Z228" i="43"/>
  <c r="Z229" i="43"/>
  <c r="X186" i="43"/>
  <c r="X185" i="43"/>
  <c r="W186" i="43"/>
  <c r="W185" i="43"/>
  <c r="AJ151" i="43"/>
  <c r="Y208" i="43"/>
  <c r="Z206" i="43"/>
  <c r="AJ153" i="43"/>
  <c r="E34" i="44"/>
  <c r="BF34" i="44"/>
  <c r="E32" i="44"/>
  <c r="BF32" i="44"/>
  <c r="AH144" i="43"/>
  <c r="Z208" i="43"/>
  <c r="Z186" i="43"/>
  <c r="C26" i="44"/>
  <c r="BD26" i="44"/>
  <c r="AH146" i="43"/>
  <c r="C28" i="44"/>
  <c r="BD28" i="44"/>
</calcChain>
</file>

<file path=xl/comments1.xml><?xml version="1.0" encoding="utf-8"?>
<comments xmlns="http://schemas.openxmlformats.org/spreadsheetml/2006/main">
  <authors>
    <author>Marshall Goldberg</author>
    <author>cjohnso3</author>
    <author>Chris Johnson</author>
  </authors>
  <commentList>
    <comment ref="A11" authorId="0">
      <text>
        <r>
          <rPr>
            <sz val="8"/>
            <color indexed="81"/>
            <rFont val="Tahoma"/>
            <family val="2"/>
          </rPr>
          <t xml:space="preserve">
</t>
        </r>
        <r>
          <rPr>
            <b/>
            <sz val="8"/>
            <color indexed="81"/>
            <rFont val="Tahoma"/>
            <family val="2"/>
          </rPr>
          <t xml:space="preserve">Model Analysis Type allows user to perform a "Simple" or "Advanced" analysis.  Choosing "Simple" indicates the user does not want to review and change detailed Model Inputs (project cost and related data).  Once the Project Descriptive Data is entered, press the </t>
        </r>
        <r>
          <rPr>
            <b/>
            <i/>
            <sz val="8"/>
            <color indexed="81"/>
            <rFont val="Tahoma"/>
            <family val="2"/>
          </rPr>
          <t>Go To Summary Results</t>
        </r>
        <r>
          <rPr>
            <b/>
            <sz val="8"/>
            <color indexed="81"/>
            <rFont val="Tahoma"/>
            <family val="2"/>
          </rPr>
          <t xml:space="preserve"> button to view the results and the default input data.  
Alternately, choosing "Advanced" analysis indicates the user wants to review and potentially change detailed Model Inputs (detailed project cost and related data - below Project Descriptive Data).  Once the Project Descriptive Data is entered, review and change Model Inputs if desired (below).  After completing changes press the </t>
        </r>
        <r>
          <rPr>
            <b/>
            <i/>
            <sz val="8"/>
            <color indexed="81"/>
            <rFont val="Tahoma"/>
            <family val="2"/>
          </rPr>
          <t>Go To Summary Results</t>
        </r>
        <r>
          <rPr>
            <b/>
            <sz val="8"/>
            <color indexed="81"/>
            <rFont val="Tahoma"/>
            <family val="2"/>
          </rPr>
          <t xml:space="preserve"> button to view the results and the input data or press both of the </t>
        </r>
        <r>
          <rPr>
            <b/>
            <i/>
            <sz val="8"/>
            <color indexed="81"/>
            <rFont val="Tahoma"/>
            <family val="2"/>
          </rPr>
          <t>Restore Default Values</t>
        </r>
        <r>
          <rPr>
            <b/>
            <sz val="8"/>
            <color indexed="81"/>
            <rFont val="Tahoma"/>
            <family val="2"/>
          </rPr>
          <t xml:space="preserve"> buttons to not incorporate the changes.  </t>
        </r>
        <r>
          <rPr>
            <b/>
            <i/>
            <sz val="8"/>
            <color indexed="81"/>
            <rFont val="Tahoma"/>
            <family val="2"/>
          </rPr>
          <t>(Please note: pressing the Restore Default Values buttons replaces all changes made to detailed cost data - not Project Descriptive Data - with initial default values.)</t>
        </r>
        <r>
          <rPr>
            <b/>
            <sz val="8"/>
            <color indexed="81"/>
            <rFont val="Tahoma"/>
            <family val="2"/>
          </rPr>
          <t xml:space="preserve">  </t>
        </r>
        <r>
          <rPr>
            <sz val="8"/>
            <color indexed="81"/>
            <rFont val="Tahoma"/>
            <family val="2"/>
          </rPr>
          <t xml:space="preserve">
</t>
        </r>
      </text>
    </comment>
    <comment ref="G13" authorId="1">
      <text>
        <r>
          <rPr>
            <b/>
            <sz val="8"/>
            <color indexed="81"/>
            <rFont val="Tahoma"/>
            <family val="2"/>
          </rPr>
          <t xml:space="preserve">
Nameplate capcity (gross project size) is determined by Net plant size plus parasitic losses.  Correlations are derived by  polynomial curve fits for binary and flash plants.  Sample values for gross power curves courtesy of GETEM.</t>
        </r>
        <r>
          <rPr>
            <sz val="8"/>
            <color indexed="81"/>
            <rFont val="Tahoma"/>
            <family val="2"/>
          </rPr>
          <t xml:space="preserve">
</t>
        </r>
      </text>
    </comment>
    <comment ref="G16" authorId="1">
      <text>
        <r>
          <rPr>
            <b/>
            <sz val="8"/>
            <color indexed="81"/>
            <rFont val="Tahoma"/>
            <family val="2"/>
          </rPr>
          <t xml:space="preserve">
This is based on the simple model plant cost curve and used to set cost defaults for the advanced model.</t>
        </r>
      </text>
    </comment>
    <comment ref="A18" authorId="0">
      <text>
        <r>
          <rPr>
            <sz val="8"/>
            <color indexed="81"/>
            <rFont val="Tahoma"/>
            <family val="2"/>
          </rPr>
          <t xml:space="preserve">
</t>
        </r>
        <r>
          <rPr>
            <b/>
            <sz val="8"/>
            <color indexed="81"/>
            <rFont val="Tahoma"/>
            <family val="2"/>
          </rPr>
          <t xml:space="preserve">Changing Plant Type also requires choosing a new Plant Size Scalar from the drop down list (default or user input value).
</t>
        </r>
      </text>
    </comment>
    <comment ref="A19" authorId="0">
      <text>
        <r>
          <rPr>
            <b/>
            <sz val="8"/>
            <color indexed="81"/>
            <rFont val="Tahoma"/>
            <family val="2"/>
          </rPr>
          <t xml:space="preserve">
Changing Resource Temperature also requires choosing a new Plant Size Scalar from the drop down list (default or user input value).
</t>
        </r>
        <r>
          <rPr>
            <sz val="8"/>
            <color indexed="81"/>
            <rFont val="Tahoma"/>
            <family val="2"/>
          </rPr>
          <t xml:space="preserve">
</t>
        </r>
      </text>
    </comment>
    <comment ref="G19" authorId="2">
      <text>
        <r>
          <rPr>
            <b/>
            <sz val="8"/>
            <color indexed="81"/>
            <rFont val="Tahoma"/>
            <family val="2"/>
          </rPr>
          <t xml:space="preserve">
The number of wells is based on brine effectiveness and parasitic losses.  This differs for flash and binary. 
Formula:
# Production Wells = Power Sales/ Sales per well
Sales per well = flow per well * (brine effectiveness - parasitic losses)</t>
        </r>
      </text>
    </comment>
    <comment ref="A20" authorId="0">
      <text>
        <r>
          <rPr>
            <b/>
            <sz val="8"/>
            <color indexed="81"/>
            <rFont val="Tahoma"/>
            <family val="2"/>
          </rPr>
          <t xml:space="preserve">
Changing Resource Depth also requires choosing a new Plant Size Scalar from the drop down list (default or user input value).
</t>
        </r>
        <r>
          <rPr>
            <sz val="8"/>
            <color indexed="81"/>
            <rFont val="Tahoma"/>
            <family val="2"/>
          </rPr>
          <t xml:space="preserve">
</t>
        </r>
      </text>
    </comment>
    <comment ref="G20" authorId="0">
      <text>
        <r>
          <rPr>
            <sz val="8"/>
            <color indexed="81"/>
            <rFont val="Tahoma"/>
            <family val="2"/>
          </rPr>
          <t xml:space="preserve">
</t>
        </r>
        <r>
          <rPr>
            <b/>
            <sz val="8"/>
            <color indexed="81"/>
            <rFont val="Tahoma"/>
            <family val="2"/>
          </rPr>
          <t xml:space="preserve">Ratio of production to injection wells determines number of injection wells.  </t>
        </r>
        <r>
          <rPr>
            <sz val="8"/>
            <color indexed="81"/>
            <rFont val="Tahoma"/>
            <family val="2"/>
          </rPr>
          <t xml:space="preserve">
</t>
        </r>
      </text>
    </comment>
    <comment ref="A21" authorId="0">
      <text>
        <r>
          <rPr>
            <b/>
            <sz val="8"/>
            <color indexed="81"/>
            <rFont val="Tahoma"/>
            <family val="2"/>
          </rPr>
          <t xml:space="preserve">
Plant Size Scalar is used to derive the gross plant (nameplate) capacity.
                          </t>
        </r>
        <r>
          <rPr>
            <b/>
            <i/>
            <sz val="8"/>
            <color indexed="81"/>
            <rFont val="Tahoma"/>
            <family val="2"/>
          </rPr>
          <t xml:space="preserve">Nominal plant size * (1+plant size scalar)
</t>
        </r>
        <r>
          <rPr>
            <b/>
            <sz val="8"/>
            <color indexed="81"/>
            <rFont val="Tahoma"/>
            <family val="2"/>
          </rPr>
          <t xml:space="preserve">
Changing Plant Type, Resource Temperature, and/or Resource Depth also requires choosing a new Plant Size Scalar from the drop down list (Model Derived or user Input Value).
Model Derived (default) is based on input temperature, flow rate, and resource depth and automatically entered. 
Input Value requires user  to enter a value in the cell to the right of the drop down list (input cell appears).</t>
        </r>
      </text>
    </comment>
    <comment ref="C21" authorId="0">
      <text>
        <r>
          <rPr>
            <b/>
            <sz val="8"/>
            <color indexed="81"/>
            <rFont val="Tahoma"/>
            <family val="2"/>
          </rPr>
          <t xml:space="preserve">
If user "Input Value" is chosen, enter value for Plant Size Scalar in cell to the right.</t>
        </r>
        <r>
          <rPr>
            <sz val="8"/>
            <color indexed="81"/>
            <rFont val="Tahoma"/>
            <family val="2"/>
          </rPr>
          <t xml:space="preserve">
</t>
        </r>
      </text>
    </comment>
    <comment ref="G23" authorId="1">
      <text>
        <r>
          <rPr>
            <b/>
            <sz val="8"/>
            <color indexed="81"/>
            <rFont val="Tahoma"/>
            <family val="2"/>
          </rPr>
          <t xml:space="preserve">
Not currently used for any calculations.
Gallons per minute based on 1 cubic foot of water (7.4805 gallons) * total flow/( Fluid density * 60).</t>
        </r>
      </text>
    </comment>
    <comment ref="A24" authorId="1">
      <text>
        <r>
          <rPr>
            <b/>
            <sz val="8"/>
            <color indexed="81"/>
            <rFont val="Tahoma"/>
            <family val="2"/>
          </rPr>
          <t xml:space="preserve">
This field is the multiplier for exploration well costs relative to a single production well cost. Default is .5 or half the cost of a production well.</t>
        </r>
        <r>
          <rPr>
            <sz val="8"/>
            <color indexed="81"/>
            <rFont val="Tahoma"/>
            <family val="2"/>
          </rPr>
          <t xml:space="preserve">
</t>
        </r>
      </text>
    </comment>
    <comment ref="A26" authorId="0">
      <text>
        <r>
          <rPr>
            <b/>
            <sz val="8"/>
            <color indexed="81"/>
            <rFont val="Tahoma"/>
            <family val="2"/>
          </rPr>
          <t xml:space="preserve">
Cost options (in drop down list) are approximate cost ranges used to derive number of days required for stimulation.  Actual cost may vary slightly.</t>
        </r>
      </text>
    </comment>
    <comment ref="A28" authorId="1">
      <text>
        <r>
          <rPr>
            <sz val="8"/>
            <color indexed="81"/>
            <rFont val="Tahoma"/>
            <family val="2"/>
          </rPr>
          <t xml:space="preserve">
</t>
        </r>
        <r>
          <rPr>
            <b/>
            <sz val="8"/>
            <color indexed="81"/>
            <rFont val="Tahoma"/>
            <family val="2"/>
          </rPr>
          <t>Drilling Progress defines the drilling time.  Sedimentary rock is considered easy to medium.  Crystalline rock is considered medium to hard.</t>
        </r>
        <r>
          <rPr>
            <sz val="8"/>
            <color indexed="81"/>
            <rFont val="Tahoma"/>
            <family val="2"/>
          </rPr>
          <t xml:space="preserve">
</t>
        </r>
      </text>
    </comment>
    <comment ref="A31" authorId="0">
      <text>
        <r>
          <rPr>
            <b/>
            <sz val="8"/>
            <color indexed="81"/>
            <rFont val="Tahoma"/>
            <family val="2"/>
          </rPr>
          <t xml:space="preserve">
Money value refers to the year in which the construction costs are based on (e.g., enter 2010 for construction in 2011 with cost estimates in 2010 dollar values).
The model uses this dollar year to internally adjust project costs for consistency with the year of the multipliers used in the analysis.
</t>
        </r>
      </text>
    </comment>
    <comment ref="B33" authorId="0">
      <text>
        <r>
          <rPr>
            <b/>
            <sz val="8"/>
            <color indexed="81"/>
            <rFont val="Tahoma"/>
            <family val="2"/>
          </rPr>
          <t xml:space="preserve">
If user revisions are made below (i.e., changes made to defaults) they will be incorporated in the analysis unless the Restore Default Values buttons are pressed.</t>
        </r>
        <r>
          <rPr>
            <sz val="8"/>
            <color indexed="81"/>
            <rFont val="Tahoma"/>
            <family val="2"/>
          </rPr>
          <t xml:space="preserve">
</t>
        </r>
      </text>
    </comment>
    <comment ref="C33" authorId="0">
      <text>
        <r>
          <rPr>
            <sz val="8"/>
            <color indexed="81"/>
            <rFont val="Tahoma"/>
            <family val="2"/>
          </rPr>
          <t xml:space="preserve">
</t>
        </r>
        <r>
          <rPr>
            <b/>
            <sz val="8"/>
            <color indexed="81"/>
            <rFont val="Tahoma"/>
            <family val="2"/>
          </rPr>
          <t>Press both "Restore Default Values" buttons to remove all user revisions made below. 
Note: due to the large amount of data being restored each restore button may take as much as 5-10 seconds to complete the process (depending upon the speed of the computer).</t>
        </r>
        <r>
          <rPr>
            <sz val="8"/>
            <color indexed="81"/>
            <rFont val="Tahoma"/>
            <family val="2"/>
          </rPr>
          <t xml:space="preserve">
</t>
        </r>
      </text>
    </comment>
    <comment ref="A34" authorId="0">
      <text>
        <r>
          <rPr>
            <b/>
            <sz val="8"/>
            <color indexed="81"/>
            <rFont val="Tahoma"/>
            <family val="2"/>
          </rPr>
          <t xml:space="preserve">
Please note: revising the default values in individual cells may overide any changes made in the Other Input Parameters (last section below) or in the inputs initially made in the Project Descriptive Data section above.</t>
        </r>
        <r>
          <rPr>
            <sz val="8"/>
            <color indexed="81"/>
            <rFont val="Tahoma"/>
            <family val="2"/>
          </rPr>
          <t xml:space="preserve">
</t>
        </r>
      </text>
    </comment>
    <comment ref="B35" authorId="0">
      <text>
        <r>
          <rPr>
            <b/>
            <sz val="8"/>
            <color indexed="81"/>
            <rFont val="Tahoma"/>
            <family val="2"/>
          </rPr>
          <t xml:space="preserve">
Hourly rate charged includes base wage and all employer payroll costs and overhead (i.e., fully burdened).</t>
        </r>
      </text>
    </comment>
    <comment ref="D35" authorId="0">
      <text>
        <r>
          <rPr>
            <b/>
            <sz val="8"/>
            <color indexed="81"/>
            <rFont val="Tahoma"/>
            <family val="2"/>
          </rPr>
          <t xml:space="preserve">
Cost does not include contingency.  Contingency cost is input separately and added in to the final analysis.</t>
        </r>
        <r>
          <rPr>
            <sz val="8"/>
            <color indexed="81"/>
            <rFont val="Tahoma"/>
            <family val="2"/>
          </rPr>
          <t xml:space="preserve">
</t>
        </r>
      </text>
    </comment>
    <comment ref="F35" authorId="0">
      <text>
        <r>
          <rPr>
            <b/>
            <sz val="8"/>
            <color indexed="81"/>
            <rFont val="Tahoma"/>
            <family val="2"/>
          </rPr>
          <t xml:space="preserve">
Local Share is the percentage of expenditure spent in the state or local region where the plant is constructed.</t>
        </r>
        <r>
          <rPr>
            <sz val="8"/>
            <color indexed="81"/>
            <rFont val="Tahoma"/>
            <family val="2"/>
          </rPr>
          <t xml:space="preserve">
</t>
        </r>
      </text>
    </comment>
    <comment ref="B50" authorId="0">
      <text>
        <r>
          <rPr>
            <b/>
            <sz val="8"/>
            <color indexed="81"/>
            <rFont val="Tahoma"/>
            <family val="2"/>
          </rPr>
          <t xml:space="preserve">
Daily rate charged includes base wage and all employer payroll costs and overhead (i.e., fully burdened).</t>
        </r>
        <r>
          <rPr>
            <sz val="8"/>
            <color indexed="81"/>
            <rFont val="Tahoma"/>
            <family val="2"/>
          </rPr>
          <t xml:space="preserve">
</t>
        </r>
      </text>
    </comment>
    <comment ref="D50" authorId="0">
      <text>
        <r>
          <rPr>
            <b/>
            <sz val="8"/>
            <color indexed="81"/>
            <rFont val="Tahoma"/>
            <family val="2"/>
          </rPr>
          <t xml:space="preserve">
Includes all exploration wells.
Cost does not include contingency.  Contingency cost is input separately and added in to the final analysis.</t>
        </r>
      </text>
    </comment>
    <comment ref="F50" authorId="0">
      <text>
        <r>
          <rPr>
            <b/>
            <sz val="8"/>
            <color indexed="81"/>
            <rFont val="Tahoma"/>
            <family val="2"/>
          </rPr>
          <t xml:space="preserve">
Local Share is the percentage of expenditure spent in the state or local region where the plant is constructed.</t>
        </r>
        <r>
          <rPr>
            <sz val="8"/>
            <color indexed="81"/>
            <rFont val="Tahoma"/>
            <family val="2"/>
          </rPr>
          <t xml:space="preserve">
</t>
        </r>
      </text>
    </comment>
    <comment ref="BB50" authorId="0">
      <text>
        <r>
          <rPr>
            <b/>
            <sz val="8"/>
            <color indexed="81"/>
            <rFont val="Tahoma"/>
            <family val="2"/>
          </rPr>
          <t xml:space="preserve">
Daily rate charged includes base wage and all employer payroll costs and overhead (i.e., fully burdened).</t>
        </r>
        <r>
          <rPr>
            <sz val="8"/>
            <color indexed="81"/>
            <rFont val="Tahoma"/>
            <family val="2"/>
          </rPr>
          <t xml:space="preserve">
</t>
        </r>
      </text>
    </comment>
    <comment ref="BD50" authorId="0">
      <text>
        <r>
          <rPr>
            <sz val="8"/>
            <color indexed="81"/>
            <rFont val="Tahoma"/>
            <family val="2"/>
          </rPr>
          <t xml:space="preserve">
Includes all exploration wells.
Cost does not include contingency.  Contingency cost is input separately and added in to the final analysis.</t>
        </r>
      </text>
    </comment>
    <comment ref="BF50" authorId="0">
      <text>
        <r>
          <rPr>
            <sz val="8"/>
            <color indexed="81"/>
            <rFont val="Tahoma"/>
            <family val="2"/>
          </rPr>
          <t xml:space="preserve">
Local Share is the percentage of expenditure spent in the state or local region where the plant is constructed.
</t>
        </r>
      </text>
    </comment>
    <comment ref="A57" authorId="0">
      <text>
        <r>
          <rPr>
            <sz val="8"/>
            <color indexed="81"/>
            <rFont val="Tahoma"/>
            <family val="2"/>
          </rPr>
          <t xml:space="preserve">
</t>
        </r>
        <r>
          <rPr>
            <b/>
            <sz val="8"/>
            <color indexed="81"/>
            <rFont val="Tahoma"/>
            <family val="2"/>
          </rPr>
          <t>Drill Rig Rate includes Drill Hands labor.</t>
        </r>
        <r>
          <rPr>
            <sz val="8"/>
            <color indexed="81"/>
            <rFont val="Tahoma"/>
            <family val="2"/>
          </rPr>
          <t xml:space="preserve">
</t>
        </r>
      </text>
    </comment>
    <comment ref="BA57" authorId="0">
      <text>
        <r>
          <rPr>
            <sz val="8"/>
            <color indexed="81"/>
            <rFont val="Tahoma"/>
            <family val="2"/>
          </rPr>
          <t xml:space="preserve">
Drill Rig Rate includes Drill Hands labor.
</t>
        </r>
      </text>
    </comment>
    <comment ref="A58" authorId="2">
      <text>
        <r>
          <rPr>
            <sz val="8"/>
            <color indexed="81"/>
            <rFont val="Tahoma"/>
            <family val="2"/>
          </rPr>
          <t xml:space="preserve">
</t>
        </r>
        <r>
          <rPr>
            <b/>
            <sz val="8"/>
            <color indexed="81"/>
            <rFont val="Tahoma"/>
            <family val="2"/>
          </rPr>
          <t>Drill Hands Labor is based on two 6 person crews each working 12 hour shifts. This base labor cost and the additional payroll/overhead costs are included in Drill Rig Rate.</t>
        </r>
        <r>
          <rPr>
            <sz val="8"/>
            <color indexed="81"/>
            <rFont val="Tahoma"/>
            <family val="2"/>
          </rPr>
          <t xml:space="preserve">
</t>
        </r>
      </text>
    </comment>
    <comment ref="BA58" authorId="2">
      <text>
        <r>
          <rPr>
            <sz val="8"/>
            <color indexed="81"/>
            <rFont val="Tahoma"/>
            <family val="2"/>
          </rPr>
          <t xml:space="preserve">
Drill Hands Labor is based on 2 - 6 person crews each working 12 hour shifts. This base labor cost and the additional payroll/overheads costs are included in Drill Rig Rate.
</t>
        </r>
      </text>
    </comment>
    <comment ref="B71" authorId="0">
      <text>
        <r>
          <rPr>
            <b/>
            <sz val="8"/>
            <color indexed="81"/>
            <rFont val="Tahoma"/>
            <family val="2"/>
          </rPr>
          <t xml:space="preserve">
Daily rate charged includes base wage and all employer payroll costs and overhead (i.e., fully burdened).</t>
        </r>
        <r>
          <rPr>
            <sz val="8"/>
            <color indexed="81"/>
            <rFont val="Tahoma"/>
            <family val="2"/>
          </rPr>
          <t xml:space="preserve">
</t>
        </r>
      </text>
    </comment>
    <comment ref="C71" authorId="0">
      <text>
        <r>
          <rPr>
            <b/>
            <sz val="8"/>
            <color indexed="81"/>
            <rFont val="Tahoma"/>
            <family val="2"/>
          </rPr>
          <t xml:space="preserve">
Cost per Well includes production and injections wells.</t>
        </r>
      </text>
    </comment>
    <comment ref="D71" authorId="0">
      <text>
        <r>
          <rPr>
            <b/>
            <sz val="8"/>
            <color indexed="81"/>
            <rFont val="Tahoma"/>
            <family val="2"/>
          </rPr>
          <t xml:space="preserve">
Cost does not include contingency.  Contingency cost is input separately and added in to the final analysis.</t>
        </r>
        <r>
          <rPr>
            <sz val="8"/>
            <color indexed="81"/>
            <rFont val="Tahoma"/>
            <family val="2"/>
          </rPr>
          <t xml:space="preserve">
</t>
        </r>
      </text>
    </comment>
    <comment ref="F71" authorId="0">
      <text>
        <r>
          <rPr>
            <b/>
            <sz val="8"/>
            <color indexed="81"/>
            <rFont val="Tahoma"/>
            <family val="2"/>
          </rPr>
          <t xml:space="preserve">
Local Share is the percentage of expenditure spent in the state or local region where the plant is constructed.</t>
        </r>
        <r>
          <rPr>
            <sz val="8"/>
            <color indexed="81"/>
            <rFont val="Tahoma"/>
            <family val="2"/>
          </rPr>
          <t xml:space="preserve">
</t>
        </r>
      </text>
    </comment>
    <comment ref="BB71" authorId="0">
      <text>
        <r>
          <rPr>
            <b/>
            <sz val="8"/>
            <color indexed="81"/>
            <rFont val="Tahoma"/>
            <family val="2"/>
          </rPr>
          <t xml:space="preserve">
Daily rate charged includes base wage and all employer payroll costs and overhead (i.e., fully burdened).</t>
        </r>
        <r>
          <rPr>
            <sz val="8"/>
            <color indexed="81"/>
            <rFont val="Tahoma"/>
            <family val="2"/>
          </rPr>
          <t xml:space="preserve">
</t>
        </r>
      </text>
    </comment>
    <comment ref="BC71" authorId="0">
      <text>
        <r>
          <rPr>
            <b/>
            <sz val="8"/>
            <color indexed="81"/>
            <rFont val="Tahoma"/>
            <family val="2"/>
          </rPr>
          <t xml:space="preserve">
Cost per Well includes production and injections wells.</t>
        </r>
      </text>
    </comment>
    <comment ref="BD71" authorId="0">
      <text>
        <r>
          <rPr>
            <sz val="8"/>
            <color indexed="81"/>
            <rFont val="Tahoma"/>
            <family val="2"/>
          </rPr>
          <t xml:space="preserve">
Cost does not include contingency.  Contingency cost is input separately and added in to the final analysis.
</t>
        </r>
      </text>
    </comment>
    <comment ref="BF71" authorId="0">
      <text>
        <r>
          <rPr>
            <sz val="8"/>
            <color indexed="81"/>
            <rFont val="Tahoma"/>
            <family val="2"/>
          </rPr>
          <t xml:space="preserve">
Local Share is the percentage of expenditure spent in the state or local region where the plant is constructed.
</t>
        </r>
      </text>
    </comment>
    <comment ref="A78" authorId="0">
      <text>
        <r>
          <rPr>
            <sz val="8"/>
            <color indexed="81"/>
            <rFont val="Tahoma"/>
            <family val="2"/>
          </rPr>
          <t xml:space="preserve">
Drill Rig Rate includes Drill Hands.
</t>
        </r>
      </text>
    </comment>
    <comment ref="BA78" authorId="0">
      <text>
        <r>
          <rPr>
            <sz val="8"/>
            <color indexed="81"/>
            <rFont val="Tahoma"/>
            <family val="2"/>
          </rPr>
          <t xml:space="preserve">
Drill Rig Rate includes Drill Hands.
</t>
        </r>
      </text>
    </comment>
    <comment ref="A79" authorId="2">
      <text>
        <r>
          <rPr>
            <sz val="8"/>
            <color indexed="81"/>
            <rFont val="Tahoma"/>
            <family val="2"/>
          </rPr>
          <t xml:space="preserve">
Drill Hands Labor is based on 2 - 6 person crews each working 12 hour shifts. This base labor cost and the additional payroll/overheads costs are included in Drill Rig Rate.
</t>
        </r>
      </text>
    </comment>
    <comment ref="BA79" authorId="2">
      <text>
        <r>
          <rPr>
            <sz val="8"/>
            <color indexed="81"/>
            <rFont val="Tahoma"/>
            <family val="2"/>
          </rPr>
          <t xml:space="preserve">
Drill Hands Labor is based on 2 - 6 person crews each working 12 hour shifts. This base labor cost and the additional payroll/overheads costs are included in Drill Rig Rate.
</t>
        </r>
      </text>
    </comment>
    <comment ref="B92" authorId="0">
      <text>
        <r>
          <rPr>
            <b/>
            <sz val="8"/>
            <color indexed="81"/>
            <rFont val="Tahoma"/>
            <family val="2"/>
          </rPr>
          <t xml:space="preserve">
Daily rate charged includes base wage and all employer payroll costs and overhead (i.e., fully burdened).</t>
        </r>
        <r>
          <rPr>
            <sz val="8"/>
            <color indexed="81"/>
            <rFont val="Tahoma"/>
            <family val="2"/>
          </rPr>
          <t xml:space="preserve">
</t>
        </r>
      </text>
    </comment>
    <comment ref="C92" authorId="0">
      <text>
        <r>
          <rPr>
            <b/>
            <sz val="8"/>
            <color indexed="81"/>
            <rFont val="Tahoma"/>
            <family val="2"/>
          </rPr>
          <t xml:space="preserve">
Cost per Well includes production and injections wells.</t>
        </r>
      </text>
    </comment>
    <comment ref="D92" authorId="0">
      <text>
        <r>
          <rPr>
            <b/>
            <sz val="8"/>
            <color indexed="81"/>
            <rFont val="Tahoma"/>
            <family val="2"/>
          </rPr>
          <t xml:space="preserve">
Cost does not include contingency.  Contingency cost is input separately and added in to the final analysis.</t>
        </r>
        <r>
          <rPr>
            <sz val="8"/>
            <color indexed="81"/>
            <rFont val="Tahoma"/>
            <family val="2"/>
          </rPr>
          <t xml:space="preserve">
</t>
        </r>
      </text>
    </comment>
    <comment ref="F92" authorId="0">
      <text>
        <r>
          <rPr>
            <b/>
            <sz val="8"/>
            <color indexed="81"/>
            <rFont val="Tahoma"/>
            <family val="2"/>
          </rPr>
          <t xml:space="preserve">
Local Share is the percentage of expenditure spent in the state or local region where the plant is constructed.</t>
        </r>
        <r>
          <rPr>
            <sz val="8"/>
            <color indexed="81"/>
            <rFont val="Tahoma"/>
            <family val="2"/>
          </rPr>
          <t xml:space="preserve">
</t>
        </r>
      </text>
    </comment>
    <comment ref="BB92" authorId="0">
      <text>
        <r>
          <rPr>
            <b/>
            <sz val="8"/>
            <color indexed="81"/>
            <rFont val="Tahoma"/>
            <family val="2"/>
          </rPr>
          <t xml:space="preserve">
Daily rate charged includes base wage and all employer payroll costs and overhead (i.e., fully burdened).</t>
        </r>
        <r>
          <rPr>
            <sz val="8"/>
            <color indexed="81"/>
            <rFont val="Tahoma"/>
            <family val="2"/>
          </rPr>
          <t xml:space="preserve">
</t>
        </r>
      </text>
    </comment>
    <comment ref="BC92" authorId="0">
      <text>
        <r>
          <rPr>
            <b/>
            <sz val="8"/>
            <color indexed="81"/>
            <rFont val="Tahoma"/>
            <family val="2"/>
          </rPr>
          <t xml:space="preserve">
Cost per Well includes production and injections wells.</t>
        </r>
      </text>
    </comment>
    <comment ref="BD92" authorId="0">
      <text>
        <r>
          <rPr>
            <sz val="8"/>
            <color indexed="81"/>
            <rFont val="Tahoma"/>
            <family val="2"/>
          </rPr>
          <t xml:space="preserve">
Cost does not include contingency.  Contingency cost is input separately and added in to the final analysis.
</t>
        </r>
      </text>
    </comment>
    <comment ref="BF92" authorId="0">
      <text>
        <r>
          <rPr>
            <sz val="8"/>
            <color indexed="81"/>
            <rFont val="Tahoma"/>
            <family val="2"/>
          </rPr>
          <t xml:space="preserve">
Local Share is the percentage of expenditure spent in the state or local region where the plant is constructed.
</t>
        </r>
      </text>
    </comment>
    <comment ref="A98" authorId="2">
      <text>
        <r>
          <rPr>
            <b/>
            <sz val="8"/>
            <color indexed="81"/>
            <rFont val="Tahoma"/>
            <family val="2"/>
          </rPr>
          <t xml:space="preserve">
Drill Hands Labor is based on 2 - 6 person crews each working 12 hour shifts. This base labor cost and the additional payroll/overheads costs are included in Drill Rig Rate.</t>
        </r>
        <r>
          <rPr>
            <sz val="8"/>
            <color indexed="81"/>
            <rFont val="Tahoma"/>
            <family val="2"/>
          </rPr>
          <t xml:space="preserve">
</t>
        </r>
      </text>
    </comment>
    <comment ref="BA98" authorId="2">
      <text>
        <r>
          <rPr>
            <sz val="8"/>
            <color indexed="81"/>
            <rFont val="Tahoma"/>
            <family val="2"/>
          </rPr>
          <t xml:space="preserve">
Drill Hands Labor is based on 2 - 6 person crews each working 12 hour shifts. This base labor cost and the additional payroll/overheads costs are included in Drill Rig Rate.
</t>
        </r>
      </text>
    </comment>
    <comment ref="B111" authorId="0">
      <text>
        <r>
          <rPr>
            <b/>
            <sz val="8"/>
            <color indexed="81"/>
            <rFont val="Tahoma"/>
            <family val="2"/>
          </rPr>
          <t xml:space="preserve">
Hourly rate charged includes base wage and all employer payroll costs and overhead (i.e., fully burdened).</t>
        </r>
      </text>
    </comment>
    <comment ref="D111" authorId="0">
      <text>
        <r>
          <rPr>
            <b/>
            <sz val="8"/>
            <color indexed="81"/>
            <rFont val="Tahoma"/>
            <family val="2"/>
          </rPr>
          <t xml:space="preserve">
Cost does not include contingency.  Contingency cost is input separately and added in to the final analysis.</t>
        </r>
        <r>
          <rPr>
            <sz val="8"/>
            <color indexed="81"/>
            <rFont val="Tahoma"/>
            <family val="2"/>
          </rPr>
          <t xml:space="preserve">
</t>
        </r>
      </text>
    </comment>
    <comment ref="F111" authorId="0">
      <text>
        <r>
          <rPr>
            <b/>
            <sz val="8"/>
            <color indexed="81"/>
            <rFont val="Tahoma"/>
            <family val="2"/>
          </rPr>
          <t xml:space="preserve">
Local Share is the percentage of expenditure spent in the state or local region where the plant is constructed.</t>
        </r>
        <r>
          <rPr>
            <sz val="8"/>
            <color indexed="81"/>
            <rFont val="Tahoma"/>
            <family val="2"/>
          </rPr>
          <t xml:space="preserve">
</t>
        </r>
      </text>
    </comment>
    <comment ref="BB111" authorId="0">
      <text>
        <r>
          <rPr>
            <b/>
            <sz val="8"/>
            <color indexed="81"/>
            <rFont val="Tahoma"/>
            <family val="2"/>
          </rPr>
          <t xml:space="preserve">
Hourly rate charged includes base wage and all employer payroll costs and overhead (i.e., fully burdened).</t>
        </r>
      </text>
    </comment>
    <comment ref="BD111" authorId="0">
      <text>
        <r>
          <rPr>
            <sz val="8"/>
            <color indexed="81"/>
            <rFont val="Tahoma"/>
            <family val="2"/>
          </rPr>
          <t xml:space="preserve">
Cost does not include contingency.  Contingency cost is input separately and added in to the final analysis.
</t>
        </r>
      </text>
    </comment>
    <comment ref="BF111" authorId="0">
      <text>
        <r>
          <rPr>
            <sz val="8"/>
            <color indexed="81"/>
            <rFont val="Tahoma"/>
            <family val="2"/>
          </rPr>
          <t xml:space="preserve">
Local Share is the percentage of expenditure spent in the state or local region where the plant is constructed.
</t>
        </r>
      </text>
    </comment>
    <comment ref="D118" authorId="0">
      <text>
        <r>
          <rPr>
            <b/>
            <sz val="8"/>
            <color indexed="81"/>
            <rFont val="Tahoma"/>
            <family val="2"/>
          </rPr>
          <t xml:space="preserve">
Cost does not include contingency.  Contingency cost is input separately and added in to the final analysis.</t>
        </r>
        <r>
          <rPr>
            <sz val="8"/>
            <color indexed="81"/>
            <rFont val="Tahoma"/>
            <family val="2"/>
          </rPr>
          <t xml:space="preserve">
</t>
        </r>
      </text>
    </comment>
    <comment ref="F118" authorId="0">
      <text>
        <r>
          <rPr>
            <b/>
            <sz val="8"/>
            <color indexed="81"/>
            <rFont val="Tahoma"/>
            <family val="2"/>
          </rPr>
          <t xml:space="preserve">
Local Share is the percentage of expenditure spent in the state or local region where the plant is constructed.</t>
        </r>
        <r>
          <rPr>
            <sz val="8"/>
            <color indexed="81"/>
            <rFont val="Tahoma"/>
            <family val="2"/>
          </rPr>
          <t xml:space="preserve">
</t>
        </r>
      </text>
    </comment>
    <comment ref="BD118" authorId="0">
      <text>
        <r>
          <rPr>
            <sz val="8"/>
            <color indexed="81"/>
            <rFont val="Tahoma"/>
            <family val="2"/>
          </rPr>
          <t xml:space="preserve">
Cost does not include contingency.  Contingency cost is input separately and added in to the final analysis.
</t>
        </r>
      </text>
    </comment>
    <comment ref="BF118" authorId="0">
      <text>
        <r>
          <rPr>
            <sz val="8"/>
            <color indexed="81"/>
            <rFont val="Tahoma"/>
            <family val="2"/>
          </rPr>
          <t xml:space="preserve">
Local Share is the percentage of expenditure spent in the state or local region where the plant is constructed.
</t>
        </r>
      </text>
    </comment>
    <comment ref="D126" authorId="0">
      <text>
        <r>
          <rPr>
            <sz val="8"/>
            <color indexed="81"/>
            <rFont val="Tahoma"/>
            <family val="2"/>
          </rPr>
          <t xml:space="preserve">
</t>
        </r>
        <r>
          <rPr>
            <b/>
            <sz val="8"/>
            <color indexed="81"/>
            <rFont val="Tahoma"/>
            <family val="2"/>
          </rPr>
          <t>Cost does not include contingency.  Contingency cost is input separately and added in to the final analysis.</t>
        </r>
        <r>
          <rPr>
            <sz val="8"/>
            <color indexed="81"/>
            <rFont val="Tahoma"/>
            <family val="2"/>
          </rPr>
          <t xml:space="preserve">
</t>
        </r>
      </text>
    </comment>
    <comment ref="F126" authorId="0">
      <text>
        <r>
          <rPr>
            <sz val="8"/>
            <color indexed="81"/>
            <rFont val="Tahoma"/>
            <family val="2"/>
          </rPr>
          <t xml:space="preserve">
</t>
        </r>
        <r>
          <rPr>
            <b/>
            <sz val="8"/>
            <color indexed="81"/>
            <rFont val="Tahoma"/>
            <family val="2"/>
          </rPr>
          <t>Local Share is the percentage of expenditure spent in the state or local region where the plant is constructed.</t>
        </r>
        <r>
          <rPr>
            <sz val="8"/>
            <color indexed="81"/>
            <rFont val="Tahoma"/>
            <family val="2"/>
          </rPr>
          <t xml:space="preserve">
</t>
        </r>
      </text>
    </comment>
    <comment ref="BD126" authorId="0">
      <text>
        <r>
          <rPr>
            <sz val="8"/>
            <color indexed="81"/>
            <rFont val="Tahoma"/>
            <family val="2"/>
          </rPr>
          <t xml:space="preserve">
Cost does not include contingency.  Contingency cost is input separately and added in to the final analysis.
</t>
        </r>
      </text>
    </comment>
    <comment ref="BF126" authorId="0">
      <text>
        <r>
          <rPr>
            <sz val="8"/>
            <color indexed="81"/>
            <rFont val="Tahoma"/>
            <family val="2"/>
          </rPr>
          <t xml:space="preserve">
Local Share is the percentage of expenditure spent in the state or local region where the plant is constructed.
</t>
        </r>
      </text>
    </comment>
    <comment ref="A139" authorId="0">
      <text>
        <r>
          <rPr>
            <b/>
            <sz val="8"/>
            <color indexed="81"/>
            <rFont val="Tahoma"/>
            <family val="2"/>
          </rPr>
          <t xml:space="preserve">
Please note: revising the default values in individual cells may overide any changes made in the Input Parmeters section below or in the inputs initially made in the Project Descriptive Data section above.</t>
        </r>
      </text>
    </comment>
    <comment ref="BA139" authorId="0">
      <text>
        <r>
          <rPr>
            <b/>
            <sz val="8"/>
            <color indexed="81"/>
            <rFont val="Tahoma"/>
            <family val="2"/>
          </rPr>
          <t xml:space="preserve">
Please note: revising the default values in individual cells may overide any changes made in the Input Parmeters section below or in the inputs initially made in the Project Descriptive Data section above.</t>
        </r>
      </text>
    </comment>
    <comment ref="D140" authorId="0">
      <text>
        <r>
          <rPr>
            <b/>
            <sz val="8"/>
            <color indexed="81"/>
            <rFont val="Tahoma"/>
            <family val="2"/>
          </rPr>
          <t xml:space="preserve">
Cost does not include contingency or land lease.  Contingency cost is input separately (from initial cost paramenters (above) and added in to the final analysis.  Annual Land Lease cost during production is input separately based on Land Lease Parameters input below detailed cost data.</t>
        </r>
        <r>
          <rPr>
            <sz val="8"/>
            <color indexed="81"/>
            <rFont val="Tahoma"/>
            <family val="2"/>
          </rPr>
          <t xml:space="preserve">
</t>
        </r>
      </text>
    </comment>
    <comment ref="F140" authorId="0">
      <text>
        <r>
          <rPr>
            <b/>
            <sz val="8"/>
            <color indexed="81"/>
            <rFont val="Tahoma"/>
            <family val="2"/>
          </rPr>
          <t xml:space="preserve">
Local Share is the percentage of expenditure spent in the state or local region where the plant is constructed.</t>
        </r>
        <r>
          <rPr>
            <sz val="8"/>
            <color indexed="81"/>
            <rFont val="Tahoma"/>
            <family val="2"/>
          </rPr>
          <t xml:space="preserve">
</t>
        </r>
      </text>
    </comment>
    <comment ref="BD140" authorId="0">
      <text>
        <r>
          <rPr>
            <sz val="8"/>
            <color indexed="81"/>
            <rFont val="Tahoma"/>
            <family val="2"/>
          </rPr>
          <t xml:space="preserve">
Cost does not include contingency or land lease.  Contingency cost is input separately (from initial cost paramenters (above) and added in to the final analysis.  Annual Land Lease cost during production is input separately based on Land Lease Parameters input below detailed cost data.
</t>
        </r>
      </text>
    </comment>
    <comment ref="BF140" authorId="0">
      <text>
        <r>
          <rPr>
            <sz val="8"/>
            <color indexed="81"/>
            <rFont val="Tahoma"/>
            <family val="2"/>
          </rPr>
          <t xml:space="preserve">
Local Share is the percentage of expenditure spent in the state or local region where the plant is constructed.
</t>
        </r>
      </text>
    </comment>
    <comment ref="E164" authorId="0">
      <text>
        <r>
          <rPr>
            <b/>
            <sz val="8"/>
            <color indexed="81"/>
            <rFont val="Tahoma"/>
            <family val="2"/>
          </rPr>
          <t xml:space="preserve">
Local Share is the percentage of expenditure spent in the state or local region where the plant is constructed.</t>
        </r>
      </text>
    </comment>
    <comment ref="BE164" authorId="0">
      <text>
        <r>
          <rPr>
            <b/>
            <sz val="8"/>
            <color indexed="81"/>
            <rFont val="Tahoma"/>
            <family val="2"/>
          </rPr>
          <t xml:space="preserve">
Local Share is the percentage of expenditure spent in the state or local region where the plant is constructed.</t>
        </r>
      </text>
    </comment>
    <comment ref="A175" authorId="0">
      <text>
        <r>
          <rPr>
            <sz val="8"/>
            <color indexed="81"/>
            <rFont val="Tahoma"/>
            <family val="2"/>
          </rPr>
          <t xml:space="preserve">
</t>
        </r>
        <r>
          <rPr>
            <b/>
            <sz val="8"/>
            <color indexed="81"/>
            <rFont val="Tahoma"/>
            <family val="2"/>
          </rPr>
          <t>Property tax methodologies vary widely between states and often within regions within the same state. The methodolgy here is one example, if applicable users can inputthe appropriate data or simply enter the local taxes if known.</t>
        </r>
        <r>
          <rPr>
            <sz val="8"/>
            <color indexed="81"/>
            <rFont val="Tahoma"/>
            <family val="2"/>
          </rPr>
          <t xml:space="preserve">
</t>
        </r>
      </text>
    </comment>
    <comment ref="BA175" authorId="0">
      <text>
        <r>
          <rPr>
            <sz val="8"/>
            <color indexed="81"/>
            <rFont val="Tahoma"/>
            <family val="2"/>
          </rPr>
          <t xml:space="preserve">
Property tax methodologies vary widely between states and often within regions within the same state. The methodolgy here is one example, if applicable users can inputthe appropriate data or simply enter the local taxes if known.
</t>
        </r>
      </text>
    </comment>
    <comment ref="A176" authorId="0">
      <text>
        <r>
          <rPr>
            <b/>
            <sz val="8"/>
            <color indexed="81"/>
            <rFont val="Tahoma"/>
            <family val="2"/>
          </rPr>
          <t xml:space="preserve">
The default Local Property Tax rate is set to 0%.  Due to the large variation in methods and rates used to derive local taxes property taxes are not included in the analysis unless data is entered by the user.  Users are encouraged to incorporate a local tax rate using the parameters in this model to calculate the amount or by entering the Local Property Taxes (dollars) if know, below. 
</t>
        </r>
      </text>
    </comment>
    <comment ref="BA176" authorId="0">
      <text>
        <r>
          <rPr>
            <b/>
            <sz val="8"/>
            <color indexed="81"/>
            <rFont val="Tahoma"/>
            <family val="2"/>
          </rPr>
          <t xml:space="preserve">
The default Local Property Tax rate is 0%.  Due to the large variation in methods and rates used to derive local taxes property taxes are not included in the analysis unless data is entered by the user.  Users are encouraged to incorporate a local tax rate using the parameters in this model to calculate the amount or by entering the Local Property Taxes (dollars) if know, below. 
</t>
        </r>
      </text>
    </comment>
    <comment ref="A182" authorId="0">
      <text>
        <r>
          <rPr>
            <b/>
            <sz val="8"/>
            <color indexed="81"/>
            <rFont val="Tahoma"/>
            <family val="2"/>
          </rPr>
          <t xml:space="preserve">
Changes made to the acreage and cost per acre are linked to iniial land lease, acquisition cost above.  However, if changes are made above to the lease/acquisition cost, revising the acreage and cost per acre here will not overide the change.</t>
        </r>
      </text>
    </comment>
    <comment ref="BA182" authorId="0">
      <text>
        <r>
          <rPr>
            <b/>
            <sz val="8"/>
            <color indexed="81"/>
            <rFont val="Tahoma"/>
            <family val="2"/>
          </rPr>
          <t xml:space="preserve">
Changes made to the acreage and cost per acre are linked to iniial land lease, acquisition cost above.  However, if changes are made above to the lease/acquisition cost, revising the acreage and cost per acre here will not overide the change.</t>
        </r>
      </text>
    </comment>
    <comment ref="A183" authorId="0">
      <text>
        <r>
          <rPr>
            <b/>
            <sz val="8"/>
            <color indexed="81"/>
            <rFont val="Tahoma"/>
            <family val="2"/>
          </rPr>
          <t xml:space="preserve">
Initial land lease/acquisition cost includes bonus bid.  Changes made to the acreage and cost per acre are linked to iniial land lease, acquisition cost above.  However, if changes are made above to the lease/acquisition cost, revising the acreage and cost per acre here will not overide the change.</t>
        </r>
        <r>
          <rPr>
            <sz val="8"/>
            <color indexed="81"/>
            <rFont val="Tahoma"/>
            <family val="2"/>
          </rPr>
          <t xml:space="preserve">
</t>
        </r>
      </text>
    </comment>
    <comment ref="BA183" authorId="0">
      <text>
        <r>
          <rPr>
            <b/>
            <sz val="8"/>
            <color indexed="81"/>
            <rFont val="Tahoma"/>
            <family val="2"/>
          </rPr>
          <t xml:space="preserve">
Initial land lease/acquisition cost includes bonus bid.  Changes made to the acreage and cost per acre are linked to iniial land lease, acquisition cost above.  However, if changes are made above to the lease/acquisition cost, revising the acreage and cost per acre here will not overide the change.</t>
        </r>
        <r>
          <rPr>
            <sz val="8"/>
            <color indexed="81"/>
            <rFont val="Tahoma"/>
            <family val="2"/>
          </rPr>
          <t xml:space="preserve">
</t>
        </r>
      </text>
    </comment>
    <comment ref="A184" authorId="0">
      <text>
        <r>
          <rPr>
            <b/>
            <sz val="8"/>
            <color indexed="81"/>
            <rFont val="Tahoma"/>
            <family val="2"/>
          </rPr>
          <t xml:space="preserve">
Automatic calculation based on number of acres and cost per acre.  Changes made to the acreage and cost per acre are linked to initial land lease, acquisition cost above.  However, if changes are made above to the lease/acquisition cost, revising the acreage and cost per acre here will not override the change.</t>
        </r>
        <r>
          <rPr>
            <sz val="8"/>
            <color indexed="81"/>
            <rFont val="Tahoma"/>
            <family val="2"/>
          </rPr>
          <t xml:space="preserve">
</t>
        </r>
      </text>
    </comment>
    <comment ref="BA184" authorId="0">
      <text>
        <r>
          <rPr>
            <b/>
            <sz val="8"/>
            <color indexed="81"/>
            <rFont val="Tahoma"/>
            <family val="2"/>
          </rPr>
          <t xml:space="preserve">
Automatic calculation based on number of acres and cost per acre.  Changes made to the acreage and cost per acre are linked to iniial land lease, acquisition cost above.  However, if changes are made above to the lease/acquisition cost, revising the acreage and cost per acre here will not overide the change.</t>
        </r>
        <r>
          <rPr>
            <sz val="8"/>
            <color indexed="81"/>
            <rFont val="Tahoma"/>
            <family val="2"/>
          </rPr>
          <t xml:space="preserve">
</t>
        </r>
      </text>
    </comment>
    <comment ref="A186" authorId="0">
      <text>
        <r>
          <rPr>
            <b/>
            <sz val="8"/>
            <color indexed="81"/>
            <rFont val="Tahoma"/>
            <family val="2"/>
          </rPr>
          <t xml:space="preserve">
Automatic calculation based on number of acres and cost per acre.  </t>
        </r>
        <r>
          <rPr>
            <sz val="8"/>
            <color indexed="81"/>
            <rFont val="Tahoma"/>
            <family val="2"/>
          </rPr>
          <t xml:space="preserve">
</t>
        </r>
      </text>
    </comment>
    <comment ref="BA186" authorId="0">
      <text>
        <r>
          <rPr>
            <b/>
            <sz val="8"/>
            <color indexed="81"/>
            <rFont val="Tahoma"/>
            <family val="2"/>
          </rPr>
          <t xml:space="preserve">
Automatic calculation based on number of acres and cost per acre.  </t>
        </r>
        <r>
          <rPr>
            <sz val="8"/>
            <color indexed="81"/>
            <rFont val="Tahoma"/>
            <family val="2"/>
          </rPr>
          <t xml:space="preserve">
</t>
        </r>
      </text>
    </comment>
    <comment ref="A190" authorId="0">
      <text>
        <r>
          <rPr>
            <b/>
            <sz val="8"/>
            <color indexed="81"/>
            <rFont val="Tahoma"/>
            <family val="2"/>
          </rPr>
          <t xml:space="preserve">
Labor Multiplier refers to the ratio of total employer costs (for wages, benefits, statutory costs, etc., and other related overhead) to the base wage per hour.  
For example, if the base wage paid to the employee/laborer is $20 per hour and the total employer cost is $40 per hour for each hour an employee works, the Labor Multiplier is 2 (40 divided by 20).</t>
        </r>
        <r>
          <rPr>
            <sz val="8"/>
            <color indexed="81"/>
            <rFont val="Tahoma"/>
            <family val="2"/>
          </rPr>
          <t xml:space="preserve">
</t>
        </r>
      </text>
    </comment>
    <comment ref="BA190" authorId="0">
      <text>
        <r>
          <rPr>
            <b/>
            <sz val="8"/>
            <color indexed="81"/>
            <rFont val="Tahoma"/>
            <family val="2"/>
          </rPr>
          <t xml:space="preserve">
Labor Multiplier refers to the ratio of total employer costs (for wages, benefits, statutory costs, etc., and other related overhead) to the base wage per hour.  
For example, if the base wage paid to the employee/laborer is $20 per hour and the total employer cost is $40 per hour for each hour an employee works, the Labor Multiplier is 2 (40 divided by 20).</t>
        </r>
        <r>
          <rPr>
            <sz val="8"/>
            <color indexed="81"/>
            <rFont val="Tahoma"/>
            <family val="2"/>
          </rPr>
          <t xml:space="preserve">
</t>
        </r>
      </text>
    </comment>
    <comment ref="B191" authorId="0">
      <text>
        <r>
          <rPr>
            <b/>
            <sz val="8"/>
            <color indexed="81"/>
            <rFont val="Tahoma"/>
            <family val="2"/>
          </rPr>
          <t xml:space="preserve">
Wage per Hour does not include payroll costs and or employer overhead unless noted as (fully burdened).  To account for related payroll and overhead costs enter a value above in Labor Multiplier. </t>
        </r>
        <r>
          <rPr>
            <sz val="8"/>
            <color indexed="81"/>
            <rFont val="Tahoma"/>
            <family val="2"/>
          </rPr>
          <t xml:space="preserve">
</t>
        </r>
      </text>
    </comment>
    <comment ref="F191" authorId="0">
      <text>
        <r>
          <rPr>
            <b/>
            <sz val="8"/>
            <color indexed="81"/>
            <rFont val="Tahoma"/>
            <family val="2"/>
          </rPr>
          <t xml:space="preserve">
Wage per Hour does not include payroll costs and or employer overhead unless noted as (fully burdened).  To account for related payroll and overhead costs enter a value above in Labor Multiplier. </t>
        </r>
        <r>
          <rPr>
            <sz val="8"/>
            <color indexed="81"/>
            <rFont val="Tahoma"/>
            <family val="2"/>
          </rPr>
          <t xml:space="preserve">
</t>
        </r>
      </text>
    </comment>
    <comment ref="BB191" authorId="0">
      <text>
        <r>
          <rPr>
            <b/>
            <sz val="8"/>
            <color indexed="81"/>
            <rFont val="Tahoma"/>
            <family val="2"/>
          </rPr>
          <t xml:space="preserve">
Wage per Hour does not include payroll costs and or employer overhead unless noted as (fully burdened).  To account for related payroll and overhead costs enter a value above in Labor Multiplier. </t>
        </r>
        <r>
          <rPr>
            <sz val="8"/>
            <color indexed="81"/>
            <rFont val="Tahoma"/>
            <family val="2"/>
          </rPr>
          <t xml:space="preserve">
</t>
        </r>
      </text>
    </comment>
    <comment ref="BF191" authorId="0">
      <text>
        <r>
          <rPr>
            <b/>
            <sz val="8"/>
            <color indexed="81"/>
            <rFont val="Tahoma"/>
            <family val="2"/>
          </rPr>
          <t xml:space="preserve">
Wage per Hour does not include payroll costs and or employer overhead unless noted as (fully burdened).  To account for related payroll and overhead costs enter a value above in Labor Multiplier. </t>
        </r>
        <r>
          <rPr>
            <sz val="8"/>
            <color indexed="81"/>
            <rFont val="Tahoma"/>
            <family val="2"/>
          </rPr>
          <t xml:space="preserve">
</t>
        </r>
      </text>
    </comment>
    <comment ref="A195" authorId="0">
      <text>
        <r>
          <rPr>
            <b/>
            <sz val="8"/>
            <color indexed="81"/>
            <rFont val="Tahoma"/>
            <family val="2"/>
          </rPr>
          <t xml:space="preserve">
Outside Services Rate (fully burderned) includes all payroll/employer costs per hour for providing services.</t>
        </r>
        <r>
          <rPr>
            <sz val="8"/>
            <color indexed="81"/>
            <rFont val="Tahoma"/>
            <family val="2"/>
          </rPr>
          <t xml:space="preserve">
</t>
        </r>
      </text>
    </comment>
    <comment ref="BA195" authorId="0">
      <text>
        <r>
          <rPr>
            <b/>
            <sz val="8"/>
            <color indexed="81"/>
            <rFont val="Tahoma"/>
            <family val="2"/>
          </rPr>
          <t xml:space="preserve">
Rate includes all payroll/employer costs per hour for providing services.</t>
        </r>
        <r>
          <rPr>
            <sz val="8"/>
            <color indexed="81"/>
            <rFont val="Tahoma"/>
            <family val="2"/>
          </rPr>
          <t xml:space="preserve">
</t>
        </r>
      </text>
    </comment>
    <comment ref="A201" authorId="0">
      <text>
        <r>
          <rPr>
            <b/>
            <sz val="8"/>
            <color indexed="81"/>
            <rFont val="Tahoma"/>
            <family val="2"/>
          </rPr>
          <t xml:space="preserve">
Please note: revising the default values in the Input Parameters section (below) may not be reflected in values (above) or in the final analysis if changes are made directly in individual cells above.</t>
        </r>
      </text>
    </comment>
    <comment ref="BA201" authorId="0">
      <text>
        <r>
          <rPr>
            <b/>
            <sz val="8"/>
            <color indexed="81"/>
            <rFont val="Tahoma"/>
            <family val="2"/>
          </rPr>
          <t xml:space="preserve">
Please note: revising the default values in the Input Parameters section (below) may not be reflected in values (above) or in the final analysis if changes are made directly in individual cells above.</t>
        </r>
      </text>
    </comment>
    <comment ref="A202" authorId="0">
      <text>
        <r>
          <rPr>
            <b/>
            <sz val="8"/>
            <color indexed="81"/>
            <rFont val="Tahoma"/>
            <family val="2"/>
          </rPr>
          <t xml:space="preserve">
Labor Multiplier refers to the ratio of total employer costs (for wages, benefits, statutory costs, etc., and other related overhead) to the base wage per hour.  
For example, if the base wage is $20 per hour and the total employer cost is $40 per hour for each hour an employee works, the Labor Multiplier is 2 (40 divided by 20).</t>
        </r>
        <r>
          <rPr>
            <sz val="8"/>
            <color indexed="81"/>
            <rFont val="Tahoma"/>
            <family val="2"/>
          </rPr>
          <t xml:space="preserve">
</t>
        </r>
      </text>
    </comment>
    <comment ref="BA202" authorId="0">
      <text>
        <r>
          <rPr>
            <b/>
            <sz val="8"/>
            <color indexed="81"/>
            <rFont val="Tahoma"/>
            <family val="2"/>
          </rPr>
          <t xml:space="preserve">
Labor Multiplier refers to the ratio of total employer costs (for wages, benefits, statutory costs, etc., and other related overhead) to the base wage per hour.  
For example, if the base wage is $20 per hour and the total employer cost is $40 per hour for each hour an employee works, the Labor Multiplier is 2 (40 divided by 20).</t>
        </r>
        <r>
          <rPr>
            <sz val="8"/>
            <color indexed="81"/>
            <rFont val="Tahoma"/>
            <family val="2"/>
          </rPr>
          <t xml:space="preserve">
</t>
        </r>
      </text>
    </comment>
    <comment ref="B203" authorId="0">
      <text>
        <r>
          <rPr>
            <b/>
            <sz val="8"/>
            <color indexed="81"/>
            <rFont val="Tahoma"/>
            <family val="2"/>
          </rPr>
          <t xml:space="preserve">
Wage per Hour does not include payroll costs and or employer overhead.  To account for related payroll and overhead costs enter a value above in Labor Multiplier. </t>
        </r>
        <r>
          <rPr>
            <sz val="8"/>
            <color indexed="81"/>
            <rFont val="Tahoma"/>
            <family val="2"/>
          </rPr>
          <t xml:space="preserve">
</t>
        </r>
      </text>
    </comment>
    <comment ref="BB203" authorId="0">
      <text>
        <r>
          <rPr>
            <b/>
            <sz val="8"/>
            <color indexed="81"/>
            <rFont val="Tahoma"/>
            <family val="2"/>
          </rPr>
          <t xml:space="preserve">
Wage per Hour does not include payroll costs and or employer overhead.  To account for related payroll and overhead costs enter a value above in Labor Multiplier. </t>
        </r>
        <r>
          <rPr>
            <sz val="8"/>
            <color indexed="81"/>
            <rFont val="Tahoma"/>
            <family val="2"/>
          </rPr>
          <t xml:space="preserve">
</t>
        </r>
      </text>
    </comment>
    <comment ref="B213" authorId="0">
      <text>
        <r>
          <rPr>
            <b/>
            <sz val="8"/>
            <color indexed="81"/>
            <rFont val="Tahoma"/>
            <family val="2"/>
          </rPr>
          <t xml:space="preserve">
If user revisions are made above (i.e., changes made to defaults) they will be incorporated in the analysis unless both Restore Default Values buttons are pressed.</t>
        </r>
        <r>
          <rPr>
            <sz val="8"/>
            <color indexed="81"/>
            <rFont val="Tahoma"/>
            <family val="2"/>
          </rPr>
          <t xml:space="preserve">
</t>
        </r>
      </text>
    </comment>
  </commentList>
</comments>
</file>

<file path=xl/comments2.xml><?xml version="1.0" encoding="utf-8"?>
<comments xmlns="http://schemas.openxmlformats.org/spreadsheetml/2006/main">
  <authors>
    <author>Marshall Goldberg</author>
    <author xml:space="preserve"> </author>
    <author>Chris Johnson</author>
  </authors>
  <commentList>
    <comment ref="C5" authorId="0">
      <text>
        <r>
          <rPr>
            <b/>
            <sz val="8"/>
            <color indexed="81"/>
            <rFont val="Tahoma"/>
            <family val="2"/>
          </rPr>
          <t xml:space="preserve">
Annual Operations and</t>
        </r>
        <r>
          <rPr>
            <sz val="8"/>
            <color indexed="81"/>
            <rFont val="Tahoma"/>
            <family val="2"/>
          </rPr>
          <t xml:space="preserve"> </t>
        </r>
        <r>
          <rPr>
            <b/>
            <sz val="8"/>
            <color indexed="81"/>
            <rFont val="Tahoma"/>
            <family val="2"/>
          </rPr>
          <t>Maintenance Cost does not include costs associated with debt or equity financing, land easement or taxes.</t>
        </r>
        <r>
          <rPr>
            <sz val="8"/>
            <color indexed="81"/>
            <rFont val="Tahoma"/>
            <family val="2"/>
          </rPr>
          <t xml:space="preserve">
</t>
        </r>
      </text>
    </comment>
    <comment ref="C8" authorId="0">
      <text>
        <r>
          <rPr>
            <b/>
            <sz val="8"/>
            <color indexed="81"/>
            <rFont val="Tahoma"/>
            <family val="2"/>
          </rPr>
          <t xml:space="preserve">
Local Spending refers to the actual dollars spent on goods and services in the state (or  local county or region) where the plant is built</t>
        </r>
      </text>
    </comment>
    <comment ref="E19" authorId="0">
      <text>
        <r>
          <rPr>
            <sz val="8"/>
            <color indexed="81"/>
            <rFont val="Tahoma"/>
            <family val="2"/>
          </rPr>
          <t xml:space="preserve">
</t>
        </r>
        <r>
          <rPr>
            <b/>
            <sz val="8"/>
            <color indexed="81"/>
            <rFont val="Tahoma"/>
            <family val="2"/>
          </rPr>
          <t xml:space="preserve">Value added is the difference between total gross output and the cost of intermediate inputs. It is comprised of payments made to workers (wages and salaries and benefits), proprietary income, other property type income (payments from interest, rents, royalties, dividends, and profits), indirect business taxes (excise and sales taxes paid by individuals to businesses, and taxes on production and imports less subsidies. </t>
        </r>
        <r>
          <rPr>
            <sz val="8"/>
            <color indexed="81"/>
            <rFont val="Tahoma"/>
            <family val="2"/>
          </rPr>
          <t xml:space="preserve">
</t>
        </r>
      </text>
    </comment>
    <comment ref="B21" authorId="0">
      <text>
        <r>
          <rPr>
            <b/>
            <sz val="8"/>
            <color indexed="81"/>
            <rFont val="Tahoma"/>
            <family val="2"/>
          </rPr>
          <t xml:space="preserve">
Jobs refers to full-time equivalent (FTE) employment for one year. (1 FTE = 2,080 hours)</t>
        </r>
      </text>
    </comment>
    <comment ref="C21" authorId="0">
      <text>
        <r>
          <rPr>
            <b/>
            <sz val="8"/>
            <color indexed="81"/>
            <rFont val="Tahoma"/>
            <family val="2"/>
          </rPr>
          <t xml:space="preserve">
Earnings refers to wage and salary compensation paid to workers.</t>
        </r>
      </text>
    </comment>
    <comment ref="D21" authorId="0">
      <text>
        <r>
          <rPr>
            <b/>
            <sz val="8"/>
            <color indexed="81"/>
            <rFont val="Tahoma"/>
            <family val="2"/>
          </rPr>
          <t xml:space="preserve">
Output refers to economic activity or the value of production in the state or local economy.</t>
        </r>
      </text>
    </comment>
    <comment ref="E21" authorId="0">
      <text>
        <r>
          <rPr>
            <b/>
            <sz val="8"/>
            <color indexed="81"/>
            <rFont val="Tahoma"/>
            <family val="2"/>
          </rPr>
          <t xml:space="preserve">
Value added is the difference between total gross output and the cost of intermediate inputs. It is comprised of payments made to workers (wages and salaries and benefits), proprietary income, other property type income (payments from interest, rents, royalties, dividends, and profits), indirect business taxes (excise and sales taxes paid by individuals to businesses, and taxes on production and imports less subsidies. </t>
        </r>
      </text>
    </comment>
    <comment ref="BC21" authorId="0">
      <text>
        <r>
          <rPr>
            <b/>
            <sz val="8"/>
            <color indexed="81"/>
            <rFont val="Tahoma"/>
            <family val="2"/>
          </rPr>
          <t xml:space="preserve">
Jobs refers to full-time equivalent (FTE) employment for one year. (1 FTE = 2,080 hours)</t>
        </r>
      </text>
    </comment>
    <comment ref="BD21" authorId="0">
      <text>
        <r>
          <rPr>
            <b/>
            <sz val="8"/>
            <color indexed="81"/>
            <rFont val="Tahoma"/>
            <family val="2"/>
          </rPr>
          <t xml:space="preserve">
Earnings refers to wage and salary compensation paid to workers.</t>
        </r>
      </text>
    </comment>
    <comment ref="BE21" authorId="0">
      <text>
        <r>
          <rPr>
            <b/>
            <sz val="8"/>
            <color indexed="81"/>
            <rFont val="Tahoma"/>
            <family val="2"/>
          </rPr>
          <t xml:space="preserve">
Output refers to economic activity or the value of production in the state or local economy.</t>
        </r>
      </text>
    </comment>
    <comment ref="BF21" authorId="0">
      <text>
        <r>
          <rPr>
            <b/>
            <sz val="8"/>
            <color indexed="81"/>
            <rFont val="Tahoma"/>
            <family val="2"/>
          </rPr>
          <t xml:space="preserve">
Value added is the difference between total gross output and the cost of intermediate inputs. It is comprised of payments made to workers (wages and salaries and benefits), proprietary income, other property type income (payments from interest, rents, royalties, dividends, and profits), indirect business taxes (excise and sales taxes paid by individuals to businesses, and taxes on production and imports less subsidies. </t>
        </r>
      </text>
    </comment>
    <comment ref="A23" authorId="0">
      <text>
        <r>
          <rPr>
            <b/>
            <sz val="8"/>
            <color indexed="81"/>
            <rFont val="Tahoma"/>
            <family val="2"/>
          </rPr>
          <t xml:space="preserve">
Project Development and Onsite Labor Impacts refers to the changes that occur in the onsite construction industries and project development related industries to which the direct final demand (i.e., spending on construction labor and services) change is made.</t>
        </r>
      </text>
    </comment>
    <comment ref="A25" authorId="1">
      <text>
        <r>
          <rPr>
            <b/>
            <sz val="8"/>
            <color indexed="81"/>
            <rFont val="Tahoma"/>
            <family val="2"/>
          </rPr>
          <t xml:space="preserve">
Construction Related Services includes engineering, design, and other professional services for project development.</t>
        </r>
        <r>
          <rPr>
            <sz val="8"/>
            <color indexed="81"/>
            <rFont val="Tahoma"/>
            <family val="2"/>
          </rPr>
          <t xml:space="preserve">
</t>
        </r>
      </text>
    </comment>
    <comment ref="A26" authorId="0">
      <text>
        <r>
          <rPr>
            <b/>
            <sz val="8"/>
            <color indexed="81"/>
            <rFont val="Tahoma"/>
            <family val="2"/>
          </rPr>
          <t xml:space="preserve">
Turbine and Supply Chain Impacts refers to the changes in inter-industry purchases resulting from the direct final demand (i.e., construction and development spending on materials and plant equipment and other purchases of goods and offsite services) changes.</t>
        </r>
      </text>
    </comment>
    <comment ref="A27" authorId="0">
      <text>
        <r>
          <rPr>
            <sz val="8"/>
            <color indexed="81"/>
            <rFont val="Tahoma"/>
            <family val="2"/>
          </rPr>
          <t xml:space="preserve">
</t>
        </r>
        <r>
          <rPr>
            <b/>
            <sz val="8"/>
            <color indexed="81"/>
            <rFont val="Tahoma"/>
            <family val="2"/>
          </rPr>
          <t>Induced Impacts refers to the changes  that occur in household spending as household income increases or decreases as a result of the direct and indirect effects from final demand  (i.e., purchases of goods and services) changes.</t>
        </r>
        <r>
          <rPr>
            <sz val="8"/>
            <color indexed="81"/>
            <rFont val="Tahoma"/>
            <family val="2"/>
          </rPr>
          <t xml:space="preserve">
</t>
        </r>
      </text>
    </comment>
    <comment ref="A31" authorId="1">
      <text>
        <r>
          <rPr>
            <b/>
            <sz val="8"/>
            <color indexed="81"/>
            <rFont val="Tahoma"/>
            <family val="2"/>
          </rPr>
          <t>Onsite Labor Impacts refers to the final demand changes that occur in the onsite spending for plant and wellfield workers (i.e., spending on operators, field technicians, administration and management) .</t>
        </r>
        <r>
          <rPr>
            <sz val="8"/>
            <color indexed="81"/>
            <rFont val="Tahoma"/>
            <family val="2"/>
          </rPr>
          <t xml:space="preserve">
</t>
        </r>
      </text>
    </comment>
    <comment ref="A32" authorId="1">
      <text>
        <r>
          <rPr>
            <b/>
            <sz val="8"/>
            <color indexed="81"/>
            <rFont val="Tahoma"/>
            <family val="2"/>
          </rPr>
          <t xml:space="preserve">
Local Revenue includes property tax and landowner leases as well as any return on investment paid to local owners; Supply chain impacts include all components and off-site labor or services for the project</t>
        </r>
        <r>
          <rPr>
            <sz val="8"/>
            <color indexed="81"/>
            <rFont val="Tahoma"/>
            <family val="2"/>
          </rPr>
          <t xml:space="preserve">
</t>
        </r>
      </text>
    </comment>
    <comment ref="A33" authorId="1">
      <text>
        <r>
          <rPr>
            <b/>
            <sz val="8"/>
            <color indexed="81"/>
            <rFont val="Tahoma"/>
            <family val="2"/>
          </rPr>
          <t>Induced Impacts refers to the changes  that occur in household spending as household income increases or decreases as a result of the direct and indirect effects from final demand  (i.e., purchases of goods and services) changes.</t>
        </r>
        <r>
          <rPr>
            <sz val="8"/>
            <color indexed="81"/>
            <rFont val="Tahoma"/>
            <family val="2"/>
          </rPr>
          <t xml:space="preserve">
</t>
        </r>
      </text>
    </comment>
    <comment ref="A67" authorId="0">
      <text>
        <r>
          <rPr>
            <sz val="8"/>
            <color indexed="81"/>
            <rFont val="Tahoma"/>
            <family val="2"/>
          </rPr>
          <t xml:space="preserve">
Drill Rig Rate includes Drill Hands labor.
</t>
        </r>
      </text>
    </comment>
    <comment ref="A68" authorId="2">
      <text>
        <r>
          <rPr>
            <sz val="8"/>
            <color indexed="81"/>
            <rFont val="Tahoma"/>
            <family val="2"/>
          </rPr>
          <t xml:space="preserve">
Drill Hands Labor is based on 2 - 6 person crews each working 12 hour shifts.  Included in Drill Rig Rate.
</t>
        </r>
      </text>
    </comment>
    <comment ref="A88" authorId="0">
      <text>
        <r>
          <rPr>
            <sz val="8"/>
            <color indexed="81"/>
            <rFont val="Tahoma"/>
            <family val="2"/>
          </rPr>
          <t xml:space="preserve">
Drill Rig Rate includes Drill Hands.
</t>
        </r>
      </text>
    </comment>
    <comment ref="A89" authorId="2">
      <text>
        <r>
          <rPr>
            <sz val="8"/>
            <color indexed="81"/>
            <rFont val="Tahoma"/>
            <family val="2"/>
          </rPr>
          <t xml:space="preserve">
Default Labor based on 2 - 6 person crews each working 12 hour shifts.  Included in Drill Rig Rate.
</t>
        </r>
      </text>
    </comment>
    <comment ref="A108" authorId="2">
      <text>
        <r>
          <rPr>
            <sz val="8"/>
            <color indexed="81"/>
            <rFont val="Tahoma"/>
            <family val="2"/>
          </rPr>
          <t xml:space="preserve">
Default Labor based on 2 - 6 person crews each working 12 hour shifts.  Included in Drill Rig Rate.
</t>
        </r>
      </text>
    </comment>
    <comment ref="C180" authorId="0">
      <text>
        <r>
          <rPr>
            <b/>
            <sz val="8"/>
            <color indexed="81"/>
            <rFont val="Tahoma"/>
            <family val="2"/>
          </rPr>
          <t xml:space="preserve">
Local Share is the percentage of expenditure spent in the state or local region where the plant is constructed.</t>
        </r>
      </text>
    </comment>
    <comment ref="A192" authorId="0">
      <text>
        <r>
          <rPr>
            <b/>
            <sz val="8"/>
            <color indexed="81"/>
            <rFont val="Tahoma"/>
            <family val="2"/>
          </rPr>
          <t xml:space="preserve">
The default Local Property Tax rate is 0%.  Due to the large variation in methods and rates used to derive local taxes property taxes are not included in the analysis unless data is entered by the user.  Users are encouraged to incorporate a local tax rate using the parameters in this model to calculate the amount or by entering the Local Property Taxes (dollars) if know, below. 
</t>
        </r>
      </text>
    </comment>
    <comment ref="A198" authorId="0">
      <text>
        <r>
          <rPr>
            <b/>
            <sz val="8"/>
            <color indexed="81"/>
            <rFont val="Tahoma"/>
            <family val="2"/>
          </rPr>
          <t xml:space="preserve">
Changes made to the acreage and cost per acre are linked to iniial land lease, acquisition cost above.  However, if changes are made above to the lease/acquisition cost, revising the acreage and cost per acre here will not overide the change.</t>
        </r>
      </text>
    </comment>
    <comment ref="A199" authorId="0">
      <text>
        <r>
          <rPr>
            <b/>
            <sz val="8"/>
            <color indexed="81"/>
            <rFont val="Tahoma"/>
            <family val="2"/>
          </rPr>
          <t xml:space="preserve">
Initial land lease/acquisition cost includes bonus bid.  Changes made to the acreage and cost per acre are linked to iniial land lease, acquisition cost above.  However, if changes are made above to the lease/acquisition cost, revising the acreage and cost per acre here will not overide the change.</t>
        </r>
        <r>
          <rPr>
            <sz val="8"/>
            <color indexed="81"/>
            <rFont val="Tahoma"/>
            <family val="2"/>
          </rPr>
          <t xml:space="preserve">
</t>
        </r>
      </text>
    </comment>
    <comment ref="A200" authorId="0">
      <text>
        <r>
          <rPr>
            <b/>
            <sz val="8"/>
            <color indexed="81"/>
            <rFont val="Tahoma"/>
            <family val="2"/>
          </rPr>
          <t xml:space="preserve">
Automatic calculation based on number of acres and cost per acre.  Changes made to the acreage and cost per acre are linked to iniial land lease, acquisition cost above.  However, if changes are made above to the lease/acquisition cost, revising the acreage and cost per acre here will not overide the change.</t>
        </r>
        <r>
          <rPr>
            <sz val="8"/>
            <color indexed="81"/>
            <rFont val="Tahoma"/>
            <family val="2"/>
          </rPr>
          <t xml:space="preserve">
</t>
        </r>
      </text>
    </comment>
    <comment ref="A202" authorId="0">
      <text>
        <r>
          <rPr>
            <b/>
            <sz val="8"/>
            <color indexed="81"/>
            <rFont val="Tahoma"/>
            <family val="2"/>
          </rPr>
          <t xml:space="preserve">
Automatic calculation based on number of acres and cost per acre.  </t>
        </r>
        <r>
          <rPr>
            <sz val="8"/>
            <color indexed="81"/>
            <rFont val="Tahoma"/>
            <family val="2"/>
          </rPr>
          <t xml:space="preserve">
</t>
        </r>
      </text>
    </comment>
    <comment ref="A206" authorId="0">
      <text>
        <r>
          <rPr>
            <b/>
            <sz val="8"/>
            <color indexed="81"/>
            <rFont val="Tahoma"/>
            <family val="2"/>
          </rPr>
          <t xml:space="preserve">
Labor Multiplier refers to the ratio of total employer costs (for wages, benefits, statutory costs, etc., and other related overhead) to the base wage per hour.  
For example, if the base wage paid to the employee/laborer is $20 per hour and the total employer cost is $40 per hour for each hour an employee works, the Labor Multiplier is 2 (40 divided by 20).</t>
        </r>
        <r>
          <rPr>
            <sz val="8"/>
            <color indexed="81"/>
            <rFont val="Tahoma"/>
            <family val="2"/>
          </rPr>
          <t xml:space="preserve">
</t>
        </r>
      </text>
    </comment>
    <comment ref="D207" authorId="0">
      <text>
        <r>
          <rPr>
            <b/>
            <sz val="8"/>
            <color indexed="81"/>
            <rFont val="Tahoma"/>
            <family val="2"/>
          </rPr>
          <t xml:space="preserve">
Wage per Hour does not include payroll costs and or employer overhead unless noted as (fully burdened).  To account for related payroll and overhead costs enter a value above in Labor Multiplier. </t>
        </r>
        <r>
          <rPr>
            <sz val="8"/>
            <color indexed="81"/>
            <rFont val="Tahoma"/>
            <family val="2"/>
          </rPr>
          <t xml:space="preserve">
</t>
        </r>
      </text>
    </comment>
    <comment ref="A211" authorId="0">
      <text>
        <r>
          <rPr>
            <b/>
            <sz val="8"/>
            <color indexed="81"/>
            <rFont val="Tahoma"/>
            <family val="2"/>
          </rPr>
          <t xml:space="preserve">
Rate includes all payroll/employer costs per hour for providing services.</t>
        </r>
        <r>
          <rPr>
            <sz val="8"/>
            <color indexed="81"/>
            <rFont val="Tahoma"/>
            <family val="2"/>
          </rPr>
          <t xml:space="preserve">
</t>
        </r>
      </text>
    </comment>
    <comment ref="A217" authorId="0">
      <text>
        <r>
          <rPr>
            <b/>
            <sz val="8"/>
            <color indexed="81"/>
            <rFont val="Tahoma"/>
            <family val="2"/>
          </rPr>
          <t xml:space="preserve">
Please note: revising the default values in the Input Parameters section (below) may not be reflected in values (above) or in the final analysis if changes are made directly in individual cells above.</t>
        </r>
      </text>
    </comment>
    <comment ref="A218" authorId="0">
      <text>
        <r>
          <rPr>
            <b/>
            <sz val="8"/>
            <color indexed="81"/>
            <rFont val="Tahoma"/>
            <family val="2"/>
          </rPr>
          <t xml:space="preserve">
Labor Multiplier refers to the ratio of total employer costs (for wages, benefits, statutory costs, etc., and other related overhead) to the base wage per hour.  
For example, if the base wage is $20 per hour and the total employer cost is $40 per hour for each hour an employee works, the Labor Multiplier is 2 (40 divided by 20).</t>
        </r>
        <r>
          <rPr>
            <sz val="8"/>
            <color indexed="81"/>
            <rFont val="Tahoma"/>
            <family val="2"/>
          </rPr>
          <t xml:space="preserve">
</t>
        </r>
      </text>
    </comment>
  </commentList>
</comments>
</file>

<file path=xl/comments3.xml><?xml version="1.0" encoding="utf-8"?>
<comments xmlns="http://schemas.openxmlformats.org/spreadsheetml/2006/main">
  <authors>
    <author>Marshall Goldberg</author>
  </authors>
  <commentList>
    <comment ref="A3" authorId="0">
      <text>
        <r>
          <rPr>
            <b/>
            <sz val="8"/>
            <color indexed="81"/>
            <rFont val="Tahoma"/>
            <family val="2"/>
          </rPr>
          <t xml:space="preserve">
To use MyCounty multipliers and PCE (once they are imported) name of county and year of data (cell to the right) must be entered.</t>
        </r>
      </text>
    </comment>
    <comment ref="A4" authorId="0">
      <text>
        <r>
          <rPr>
            <b/>
            <sz val="8"/>
            <color indexed="81"/>
            <rFont val="Tahoma"/>
            <family val="2"/>
          </rPr>
          <t xml:space="preserve">
To use MyRegion multipliers and PCE (once they are imported) name of region and year of data (cell to the right) must be entered.</t>
        </r>
        <r>
          <rPr>
            <sz val="8"/>
            <color indexed="81"/>
            <rFont val="Tahoma"/>
            <family val="2"/>
          </rPr>
          <t xml:space="preserve">
</t>
        </r>
      </text>
    </comment>
    <comment ref="C8" authorId="0">
      <text>
        <r>
          <rPr>
            <b/>
            <sz val="8"/>
            <color indexed="81"/>
            <rFont val="Tahoma"/>
            <family val="2"/>
          </rPr>
          <t xml:space="preserve">
Personal Consumption Expenditures are entered as decimals (e.g., 10% is entered as .10) with the sum of all industries being 1.00)</t>
        </r>
        <r>
          <rPr>
            <sz val="8"/>
            <color indexed="81"/>
            <rFont val="Tahoma"/>
            <family val="2"/>
          </rPr>
          <t xml:space="preserve">
</t>
        </r>
      </text>
    </comment>
  </commentList>
</comments>
</file>

<file path=xl/comments4.xml><?xml version="1.0" encoding="utf-8"?>
<comments xmlns="http://schemas.openxmlformats.org/spreadsheetml/2006/main">
  <authors>
    <author>Marshall Goldberg</author>
    <author>Chris Johnson</author>
  </authors>
  <commentList>
    <comment ref="B24" authorId="0">
      <text>
        <r>
          <rPr>
            <sz val="8"/>
            <color indexed="81"/>
            <rFont val="Tahoma"/>
            <family val="2"/>
          </rPr>
          <t xml:space="preserve">
Drill Rig Rate includes Drill Hands.
</t>
        </r>
      </text>
    </comment>
    <comment ref="B25" authorId="1">
      <text>
        <r>
          <rPr>
            <sz val="8"/>
            <color indexed="81"/>
            <rFont val="Tahoma"/>
            <family val="2"/>
          </rPr>
          <t xml:space="preserve">
Default Labor based on 6 person crew. Included in Drill Rig Rate.
</t>
        </r>
      </text>
    </comment>
    <comment ref="B318" authorId="0">
      <text>
        <r>
          <rPr>
            <b/>
            <sz val="8"/>
            <color indexed="81"/>
            <rFont val="Tahoma"/>
            <family val="2"/>
          </rPr>
          <t xml:space="preserve">
The default Local Property Tax rate is 0%.  Due to the large variation in methods and rates used to derive local taxes property taxes are not included in the analysis unless data is entered by the user.  Users are encouraged to incorporate a local tax rate using the parameters in this model to calculate the amount or by entering the Local Property Taxes (dollars) if know, below. 
</t>
        </r>
      </text>
    </comment>
    <comment ref="B324" authorId="0">
      <text>
        <r>
          <rPr>
            <b/>
            <sz val="8"/>
            <color indexed="81"/>
            <rFont val="Tahoma"/>
            <family val="2"/>
          </rPr>
          <t xml:space="preserve">
Changes made to the acreage and cost per acre are linked to iniial land lease, acquisition cost above.  However, if changes are made above to the lease/acquisition cost, revising the acreage and cost per acre here will not overide the change.</t>
        </r>
      </text>
    </comment>
    <comment ref="B325" authorId="0">
      <text>
        <r>
          <rPr>
            <b/>
            <sz val="8"/>
            <color indexed="81"/>
            <rFont val="Tahoma"/>
            <family val="2"/>
          </rPr>
          <t xml:space="preserve">
Initial land lease/acquisition cost includes bonus bid.  Changes made to the acreage and cost per acre are linked to iniial land lease, acquisition cost above.  However, if changes are made above to the lease/acquisition cost, revising the acreage and cost per acre here will not overide the change.</t>
        </r>
        <r>
          <rPr>
            <sz val="8"/>
            <color indexed="81"/>
            <rFont val="Tahoma"/>
            <family val="2"/>
          </rPr>
          <t xml:space="preserve">
</t>
        </r>
      </text>
    </comment>
    <comment ref="B326" authorId="0">
      <text>
        <r>
          <rPr>
            <b/>
            <sz val="8"/>
            <color indexed="81"/>
            <rFont val="Tahoma"/>
            <family val="2"/>
          </rPr>
          <t xml:space="preserve">
Automatic calculation based on number of acres and cost per acre.  Changes made to the acreage and cost per acre are linked to iniial land lease, acquisition cost above.  However, if changes are made above to the lease/acquisition cost, revising the acreage and cost per acre here will not overide the change.</t>
        </r>
        <r>
          <rPr>
            <sz val="8"/>
            <color indexed="81"/>
            <rFont val="Tahoma"/>
            <family val="2"/>
          </rPr>
          <t xml:space="preserve">
</t>
        </r>
      </text>
    </comment>
    <comment ref="B328" authorId="0">
      <text>
        <r>
          <rPr>
            <b/>
            <sz val="8"/>
            <color indexed="81"/>
            <rFont val="Tahoma"/>
            <family val="2"/>
          </rPr>
          <t xml:space="preserve">
Automatic calculation based on number of acres and cost per acre.  </t>
        </r>
        <r>
          <rPr>
            <sz val="8"/>
            <color indexed="81"/>
            <rFont val="Tahoma"/>
            <family val="2"/>
          </rPr>
          <t xml:space="preserve">
</t>
        </r>
      </text>
    </comment>
    <comment ref="B332" authorId="0">
      <text>
        <r>
          <rPr>
            <b/>
            <sz val="8"/>
            <color indexed="81"/>
            <rFont val="Tahoma"/>
            <family val="2"/>
          </rPr>
          <t xml:space="preserve">
Labor Multiplier refers to the ratio of total employer costs (for wages, benefits, statutory costs, etc., and other related overhead) to the base wage per hour.  
For example, if the base wage paid to the employee/laborer is $20 per hour and the total employer cost is $40 per hour for each hour an employee works, the Labor Multiplier is 2 (40 divided by 20).</t>
        </r>
        <r>
          <rPr>
            <sz val="8"/>
            <color indexed="81"/>
            <rFont val="Tahoma"/>
            <family val="2"/>
          </rPr>
          <t xml:space="preserve">
</t>
        </r>
      </text>
    </comment>
    <comment ref="C333" authorId="0">
      <text>
        <r>
          <rPr>
            <b/>
            <sz val="8"/>
            <color indexed="81"/>
            <rFont val="Tahoma"/>
            <family val="2"/>
          </rPr>
          <t xml:space="preserve">
Wage per Hour does not include payroll costs and or employer overhead unless noted as (fully burdened).  To account for related payroll and overhead costs enter a value above in Labor Multiplier. </t>
        </r>
        <r>
          <rPr>
            <sz val="8"/>
            <color indexed="81"/>
            <rFont val="Tahoma"/>
            <family val="2"/>
          </rPr>
          <t xml:space="preserve">
</t>
        </r>
      </text>
    </comment>
    <comment ref="F333" authorId="0">
      <text>
        <r>
          <rPr>
            <b/>
            <sz val="8"/>
            <color indexed="81"/>
            <rFont val="Tahoma"/>
            <family val="2"/>
          </rPr>
          <t xml:space="preserve">
Wage per Hour does not include payroll costs and or employer overhead unless noted as (fully burdened).  To account for related payroll and overhead costs enter a value above in Labor Multiplier. </t>
        </r>
        <r>
          <rPr>
            <sz val="8"/>
            <color indexed="81"/>
            <rFont val="Tahoma"/>
            <family val="2"/>
          </rPr>
          <t xml:space="preserve">
</t>
        </r>
      </text>
    </comment>
    <comment ref="B337" authorId="0">
      <text>
        <r>
          <rPr>
            <b/>
            <sz val="8"/>
            <color indexed="81"/>
            <rFont val="Tahoma"/>
            <family val="2"/>
          </rPr>
          <t xml:space="preserve">
Rate includes all payroll/employer costs per hour for providing services.</t>
        </r>
        <r>
          <rPr>
            <sz val="8"/>
            <color indexed="81"/>
            <rFont val="Tahoma"/>
            <family val="2"/>
          </rPr>
          <t xml:space="preserve">
</t>
        </r>
      </text>
    </comment>
    <comment ref="B343" authorId="0">
      <text>
        <r>
          <rPr>
            <b/>
            <sz val="8"/>
            <color indexed="81"/>
            <rFont val="Tahoma"/>
            <family val="2"/>
          </rPr>
          <t xml:space="preserve">
Please note: revising the default values in the Input Parameters section (below) may not be reflected in values (above) or in the final analysis if changes are made directly in individual cells above.</t>
        </r>
      </text>
    </comment>
    <comment ref="B344" authorId="0">
      <text>
        <r>
          <rPr>
            <b/>
            <sz val="8"/>
            <color indexed="81"/>
            <rFont val="Tahoma"/>
            <family val="2"/>
          </rPr>
          <t xml:space="preserve">
Labor Multiplier refers to the ratio of total employer costs (for wages, benefits, statutory costs, etc., and other related overhead) to the base wage per hour.  
For example, if the base wage is $20 per hour and the total employer cost is $40 per hour for each hour an employee works, the Labor Multiplier is 2 (40 divided by 20).</t>
        </r>
        <r>
          <rPr>
            <sz val="8"/>
            <color indexed="81"/>
            <rFont val="Tahoma"/>
            <family val="2"/>
          </rPr>
          <t xml:space="preserve">
</t>
        </r>
      </text>
    </comment>
  </commentList>
</comments>
</file>

<file path=xl/comments5.xml><?xml version="1.0" encoding="utf-8"?>
<comments xmlns="http://schemas.openxmlformats.org/spreadsheetml/2006/main">
  <authors>
    <author>cjohnso3</author>
    <author>Chris Johnson</author>
    <author>Marshall Goldberg</author>
  </authors>
  <commentList>
    <comment ref="L49" authorId="0">
      <text>
        <r>
          <rPr>
            <b/>
            <sz val="8"/>
            <color indexed="81"/>
            <rFont val="Tahoma"/>
            <family val="2"/>
          </rPr>
          <t>cjohnso3:</t>
        </r>
        <r>
          <rPr>
            <sz val="8"/>
            <color indexed="81"/>
            <rFont val="Tahoma"/>
            <family val="2"/>
          </rPr>
          <t xml:space="preserve">
I used a 3000m depth for the cost shares.  Shares are adjusted based on cost structure selection (low/med/high) and drilling rate progress.
Low=easy
Medium=medium
High = hard</t>
        </r>
      </text>
    </comment>
    <comment ref="L67" authorId="0">
      <text>
        <r>
          <rPr>
            <b/>
            <sz val="8"/>
            <color indexed="81"/>
            <rFont val="Tahoma"/>
            <family val="2"/>
          </rPr>
          <t>cjohnso3:</t>
        </r>
        <r>
          <rPr>
            <sz val="8"/>
            <color indexed="81"/>
            <rFont val="Tahoma"/>
            <family val="2"/>
          </rPr>
          <t xml:space="preserve">
This value changes a lot with changes in the Model cost structure (high/med/low). Because material cost is a static cost only varying with depth.
  It is determined by taking the sum of the previous costs and subtracting from 100% to determine the unallocated cost share allocation.  Essentially a slack variable to satisfy the constraint that the total % is equal to 100%.  </t>
        </r>
      </text>
    </comment>
    <comment ref="L70" authorId="0">
      <text>
        <r>
          <rPr>
            <b/>
            <sz val="8"/>
            <color indexed="81"/>
            <rFont val="Tahoma"/>
            <family val="2"/>
          </rPr>
          <t>cjohnso3:</t>
        </r>
        <r>
          <rPr>
            <sz val="8"/>
            <color indexed="81"/>
            <rFont val="Tahoma"/>
            <family val="2"/>
          </rPr>
          <t xml:space="preserve">
I used a 3000m depth for the cost shares.  Shares are adjusted based on cost structure selection (low/med/high) and drilling rate progress.
Low=easy
Medium=medium
High = hard</t>
        </r>
      </text>
    </comment>
    <comment ref="L88" authorId="0">
      <text>
        <r>
          <rPr>
            <b/>
            <sz val="8"/>
            <color indexed="81"/>
            <rFont val="Tahoma"/>
            <family val="2"/>
          </rPr>
          <t>cjohnso3:</t>
        </r>
        <r>
          <rPr>
            <sz val="8"/>
            <color indexed="81"/>
            <rFont val="Tahoma"/>
            <family val="2"/>
          </rPr>
          <t xml:space="preserve">
This value changes a lot with changes in the Model cost structure (high/med/low). Because material cost is a static cost only varying with depth.
  It is determined by taking the sum of the previous costs and subtracting from 100% to determine the unallocated cost share allocation.  Essentially a slack variable to satisfy the constraint that the total % is equal to 100%.  </t>
        </r>
      </text>
    </comment>
    <comment ref="B110" authorId="1">
      <text>
        <r>
          <rPr>
            <b/>
            <sz val="8"/>
            <color indexed="81"/>
            <rFont val="Tahoma"/>
            <family val="2"/>
          </rPr>
          <t>Chris Johnson:</t>
        </r>
        <r>
          <rPr>
            <sz val="8"/>
            <color indexed="81"/>
            <rFont val="Tahoma"/>
            <family val="2"/>
          </rPr>
          <t xml:space="preserve">
Bill Lewis at Power Engineers confirmed this number.  Default value in System Advisor Model.</t>
        </r>
      </text>
    </comment>
    <comment ref="B117" authorId="0">
      <text>
        <r>
          <rPr>
            <b/>
            <sz val="8"/>
            <color indexed="81"/>
            <rFont val="Tahoma"/>
            <family val="2"/>
          </rPr>
          <t>cjohnso3:</t>
        </r>
        <r>
          <rPr>
            <sz val="8"/>
            <color indexed="81"/>
            <rFont val="Tahoma"/>
            <family val="2"/>
          </rPr>
          <t xml:space="preserve">
See GETEM Worksheet 4D for plant component costs. </t>
        </r>
      </text>
    </comment>
    <comment ref="C140" authorId="1">
      <text>
        <r>
          <rPr>
            <b/>
            <sz val="8"/>
            <color indexed="81"/>
            <rFont val="Tahoma"/>
            <family val="2"/>
          </rPr>
          <t>Chris Johnson:</t>
        </r>
        <r>
          <rPr>
            <sz val="8"/>
            <color indexed="81"/>
            <rFont val="Tahoma"/>
            <family val="2"/>
          </rPr>
          <t xml:space="preserve">
GETEM O&amp;M 2004 rates sheet 2F adjusted to current year dollars with labor cost index.</t>
        </r>
      </text>
    </comment>
    <comment ref="D140" authorId="1">
      <text>
        <r>
          <rPr>
            <b/>
            <sz val="8"/>
            <color indexed="81"/>
            <rFont val="Tahoma"/>
            <family val="2"/>
          </rPr>
          <t>Chris Johnson:</t>
        </r>
        <r>
          <rPr>
            <sz val="8"/>
            <color indexed="81"/>
            <rFont val="Tahoma"/>
            <family val="2"/>
          </rPr>
          <t xml:space="preserve">
GETEM correlations</t>
        </r>
      </text>
    </comment>
    <comment ref="T158" authorId="1">
      <text>
        <r>
          <rPr>
            <b/>
            <sz val="8"/>
            <color indexed="81"/>
            <rFont val="Tahoma"/>
            <family val="2"/>
          </rPr>
          <t>Chris Johnson:</t>
        </r>
        <r>
          <rPr>
            <sz val="8"/>
            <color indexed="81"/>
            <rFont val="Tahoma"/>
            <family val="2"/>
          </rPr>
          <t xml:space="preserve">
GETEM O&amp;M 2004 rates sheet 2F</t>
        </r>
      </text>
    </comment>
    <comment ref="U158" authorId="1">
      <text>
        <r>
          <rPr>
            <b/>
            <sz val="8"/>
            <color indexed="81"/>
            <rFont val="Tahoma"/>
            <family val="2"/>
          </rPr>
          <t>Chris Johnson:</t>
        </r>
        <r>
          <rPr>
            <sz val="8"/>
            <color indexed="81"/>
            <rFont val="Tahoma"/>
            <family val="2"/>
          </rPr>
          <t xml:space="preserve">
GETEM correlations</t>
        </r>
      </text>
    </comment>
    <comment ref="C162" authorId="1">
      <text>
        <r>
          <rPr>
            <b/>
            <sz val="8"/>
            <color indexed="81"/>
            <rFont val="Tahoma"/>
            <family val="2"/>
          </rPr>
          <t>Chris Johnson:</t>
        </r>
        <r>
          <rPr>
            <sz val="8"/>
            <color indexed="81"/>
            <rFont val="Tahoma"/>
            <family val="2"/>
          </rPr>
          <t xml:space="preserve">
GETEM O&amp;M 2004 rates sheet 2F adjusted to current year dollars with labor cost index.</t>
        </r>
      </text>
    </comment>
    <comment ref="D162" authorId="1">
      <text>
        <r>
          <rPr>
            <b/>
            <sz val="8"/>
            <color indexed="81"/>
            <rFont val="Tahoma"/>
            <family val="2"/>
          </rPr>
          <t>Chris Johnson:</t>
        </r>
        <r>
          <rPr>
            <sz val="8"/>
            <color indexed="81"/>
            <rFont val="Tahoma"/>
            <family val="2"/>
          </rPr>
          <t xml:space="preserve">
GETEM correlations</t>
        </r>
      </text>
    </comment>
    <comment ref="T173" authorId="1">
      <text>
        <r>
          <rPr>
            <b/>
            <sz val="8"/>
            <color indexed="81"/>
            <rFont val="Tahoma"/>
            <family val="2"/>
          </rPr>
          <t>Chris Johnson:</t>
        </r>
        <r>
          <rPr>
            <sz val="8"/>
            <color indexed="81"/>
            <rFont val="Tahoma"/>
            <family val="2"/>
          </rPr>
          <t xml:space="preserve">
GETEM O&amp;M 2004 rates sheet 2F</t>
        </r>
      </text>
    </comment>
    <comment ref="U173" authorId="1">
      <text>
        <r>
          <rPr>
            <b/>
            <sz val="8"/>
            <color indexed="81"/>
            <rFont val="Tahoma"/>
            <family val="2"/>
          </rPr>
          <t>Chris Johnson:</t>
        </r>
        <r>
          <rPr>
            <sz val="8"/>
            <color indexed="81"/>
            <rFont val="Tahoma"/>
            <family val="2"/>
          </rPr>
          <t xml:space="preserve">
GETEM correlations</t>
        </r>
      </text>
    </comment>
    <comment ref="B228" authorId="2">
      <text>
        <r>
          <rPr>
            <b/>
            <sz val="8"/>
            <color indexed="81"/>
            <rFont val="Tahoma"/>
            <family val="2"/>
          </rPr>
          <t xml:space="preserve">
Initial land lease/acquisition cost includes bonus bid.</t>
        </r>
        <r>
          <rPr>
            <sz val="8"/>
            <color indexed="81"/>
            <rFont val="Tahoma"/>
            <family val="2"/>
          </rPr>
          <t xml:space="preserve">
</t>
        </r>
      </text>
    </comment>
    <comment ref="B229" authorId="2">
      <text>
        <r>
          <rPr>
            <b/>
            <sz val="8"/>
            <color indexed="81"/>
            <rFont val="Tahoma"/>
            <family val="2"/>
          </rPr>
          <t xml:space="preserve">
Automatic calculation based on number of acres and cost per acre.  </t>
        </r>
        <r>
          <rPr>
            <sz val="8"/>
            <color indexed="81"/>
            <rFont val="Tahoma"/>
            <family val="2"/>
          </rPr>
          <t xml:space="preserve">
</t>
        </r>
      </text>
    </comment>
  </commentList>
</comments>
</file>

<file path=xl/comments6.xml><?xml version="1.0" encoding="utf-8"?>
<comments xmlns="http://schemas.openxmlformats.org/spreadsheetml/2006/main">
  <authors>
    <author>Chris Johnson</author>
    <author>Marshall Goldberg</author>
  </authors>
  <commentList>
    <comment ref="C36" authorId="0">
      <text>
        <r>
          <rPr>
            <b/>
            <sz val="8"/>
            <color indexed="81"/>
            <rFont val="Tahoma"/>
            <family val="2"/>
          </rPr>
          <t>Chris Johnson:</t>
        </r>
        <r>
          <rPr>
            <sz val="8"/>
            <color indexed="81"/>
            <rFont val="Tahoma"/>
            <family val="2"/>
          </rPr>
          <t xml:space="preserve">
GETEM O&amp;M 2004 rates sheet 2F </t>
        </r>
      </text>
    </comment>
    <comment ref="D36" authorId="0">
      <text>
        <r>
          <rPr>
            <b/>
            <sz val="8"/>
            <color indexed="81"/>
            <rFont val="Tahoma"/>
            <family val="2"/>
          </rPr>
          <t>Chris Johnson:</t>
        </r>
        <r>
          <rPr>
            <sz val="8"/>
            <color indexed="81"/>
            <rFont val="Tahoma"/>
            <family val="2"/>
          </rPr>
          <t xml:space="preserve">
GETEM O&amp;M 2004 rates sheet 2F </t>
        </r>
      </text>
    </comment>
    <comment ref="B74" authorId="1">
      <text>
        <r>
          <rPr>
            <b/>
            <sz val="8"/>
            <color indexed="81"/>
            <rFont val="Tahoma"/>
            <family val="2"/>
          </rPr>
          <t xml:space="preserve">
Initial land lease/acquisition cost includes bonus bid.</t>
        </r>
        <r>
          <rPr>
            <sz val="8"/>
            <color indexed="81"/>
            <rFont val="Tahoma"/>
            <family val="2"/>
          </rPr>
          <t xml:space="preserve">
</t>
        </r>
      </text>
    </comment>
    <comment ref="B75" authorId="1">
      <text>
        <r>
          <rPr>
            <b/>
            <sz val="8"/>
            <color indexed="81"/>
            <rFont val="Tahoma"/>
            <family val="2"/>
          </rPr>
          <t xml:space="preserve">
Automatic calculation based on number of acres and cost per acre.  </t>
        </r>
        <r>
          <rPr>
            <sz val="8"/>
            <color indexed="81"/>
            <rFont val="Tahoma"/>
            <family val="2"/>
          </rPr>
          <t xml:space="preserve">
</t>
        </r>
      </text>
    </comment>
  </commentList>
</comments>
</file>

<file path=xl/comments7.xml><?xml version="1.0" encoding="utf-8"?>
<comments xmlns="http://schemas.openxmlformats.org/spreadsheetml/2006/main">
  <authors>
    <author>cjohnso3</author>
  </authors>
  <commentList>
    <comment ref="AM4" authorId="0">
      <text>
        <r>
          <rPr>
            <b/>
            <sz val="8"/>
            <color indexed="81"/>
            <rFont val="Tahoma"/>
            <family val="2"/>
          </rPr>
          <t xml:space="preserve">cjohnso3:
Values pulled from L39 and down.
</t>
        </r>
      </text>
    </comment>
    <comment ref="M5" authorId="0">
      <text>
        <r>
          <rPr>
            <b/>
            <sz val="8"/>
            <color indexed="81"/>
            <rFont val="Tahoma"/>
            <family val="2"/>
          </rPr>
          <t>cjohnso3:</t>
        </r>
        <r>
          <rPr>
            <sz val="8"/>
            <color indexed="81"/>
            <rFont val="Tahoma"/>
            <family val="2"/>
          </rPr>
          <t xml:space="preserve">
cjohnso3:
Expressed as a percentage of 5MW facility (assumed to be the most expensive ) $/kW basis
</t>
        </r>
      </text>
    </comment>
  </commentList>
</comments>
</file>

<file path=xl/comments8.xml><?xml version="1.0" encoding="utf-8"?>
<comments xmlns="http://schemas.openxmlformats.org/spreadsheetml/2006/main">
  <authors>
    <author>cjohnso3</author>
  </authors>
  <commentList>
    <comment ref="G17" authorId="0">
      <text>
        <r>
          <rPr>
            <b/>
            <sz val="8"/>
            <color indexed="81"/>
            <rFont val="Tahoma"/>
            <family val="2"/>
          </rPr>
          <t>cjohnso3:</t>
        </r>
        <r>
          <rPr>
            <sz val="8"/>
            <color indexed="81"/>
            <rFont val="Tahoma"/>
            <family val="2"/>
          </rPr>
          <t xml:space="preserve">
2000m depth with varying temp. 50MW net output</t>
        </r>
      </text>
    </comment>
    <comment ref="J18" authorId="0">
      <text>
        <r>
          <rPr>
            <b/>
            <sz val="8"/>
            <color indexed="81"/>
            <rFont val="Tahoma"/>
            <family val="2"/>
          </rPr>
          <t>cjohnso3:</t>
        </r>
        <r>
          <rPr>
            <sz val="8"/>
            <color indexed="81"/>
            <rFont val="Tahoma"/>
            <family val="2"/>
          </rPr>
          <t xml:space="preserve">
Cost at year of construction given by user
</t>
        </r>
      </text>
    </comment>
    <comment ref="J19" authorId="0">
      <text>
        <r>
          <rPr>
            <b/>
            <sz val="8"/>
            <color indexed="81"/>
            <rFont val="Tahoma"/>
            <family val="2"/>
          </rPr>
          <t>cjohnso3:</t>
        </r>
        <r>
          <rPr>
            <sz val="8"/>
            <color indexed="81"/>
            <rFont val="Tahoma"/>
            <family val="2"/>
          </rPr>
          <t xml:space="preserve">
2004 cost
</t>
        </r>
      </text>
    </comment>
    <comment ref="B25" authorId="0">
      <text>
        <r>
          <rPr>
            <b/>
            <sz val="8"/>
            <color indexed="81"/>
            <rFont val="Tahoma"/>
            <family val="2"/>
          </rPr>
          <t>cjohnso3:</t>
        </r>
        <r>
          <rPr>
            <sz val="8"/>
            <color indexed="81"/>
            <rFont val="Tahoma"/>
            <family val="2"/>
          </rPr>
          <t xml:space="preserve">
Year of construction/2004
</t>
        </r>
      </text>
    </comment>
    <comment ref="AE40" authorId="0">
      <text>
        <r>
          <rPr>
            <b/>
            <sz val="8"/>
            <color indexed="81"/>
            <rFont val="Tahoma"/>
            <family val="2"/>
          </rPr>
          <t>cjohnso3:</t>
        </r>
        <r>
          <rPr>
            <sz val="8"/>
            <color indexed="81"/>
            <rFont val="Tahoma"/>
            <family val="2"/>
          </rPr>
          <t xml:space="preserve">
cjohnso3:
Expressed as a percentage of 5MW facility (assumed to be the most expensive ) $/kW basis
</t>
        </r>
      </text>
    </comment>
  </commentList>
</comments>
</file>

<file path=xl/comments9.xml><?xml version="1.0" encoding="utf-8"?>
<comments xmlns="http://schemas.openxmlformats.org/spreadsheetml/2006/main">
  <authors>
    <author>cjohnso3</author>
  </authors>
  <commentList>
    <comment ref="O19" authorId="0">
      <text>
        <r>
          <rPr>
            <b/>
            <sz val="8"/>
            <color indexed="81"/>
            <rFont val="Tahoma"/>
            <family val="2"/>
          </rPr>
          <t>cjohnso3:</t>
        </r>
        <r>
          <rPr>
            <sz val="8"/>
            <color indexed="81"/>
            <rFont val="Tahoma"/>
            <family val="2"/>
          </rPr>
          <t xml:space="preserve">
Input Plant size values from GETEM. Varying temp value holding Net ouput at 50MW.</t>
        </r>
      </text>
    </comment>
    <comment ref="R19" authorId="0">
      <text>
        <r>
          <rPr>
            <b/>
            <sz val="8"/>
            <color indexed="81"/>
            <rFont val="Tahoma"/>
            <family val="2"/>
          </rPr>
          <t>cjohnso3:</t>
        </r>
        <r>
          <rPr>
            <sz val="8"/>
            <color indexed="81"/>
            <rFont val="Tahoma"/>
            <family val="2"/>
          </rPr>
          <t xml:space="preserve">
Divide by .93 to get current $2010/2011
</t>
        </r>
      </text>
    </comment>
    <comment ref="Q20" authorId="0">
      <text>
        <r>
          <rPr>
            <b/>
            <sz val="8"/>
            <color indexed="81"/>
            <rFont val="Tahoma"/>
            <family val="2"/>
          </rPr>
          <t>cjohnso3:</t>
        </r>
        <r>
          <rPr>
            <sz val="8"/>
            <color indexed="81"/>
            <rFont val="Tahoma"/>
            <family val="2"/>
          </rPr>
          <t xml:space="preserve">
Based on nominal plant size.
</t>
        </r>
      </text>
    </comment>
  </commentList>
</comments>
</file>

<file path=xl/comments10.xml><?xml version="1.0" encoding="utf-8"?>
<comments xmlns="http://schemas.openxmlformats.org/spreadsheetml/2006/main">
  <authors>
    <author>cjohnso3</author>
  </authors>
  <commentList>
    <comment ref="D1" authorId="0">
      <text>
        <r>
          <rPr>
            <b/>
            <sz val="8"/>
            <color indexed="81"/>
            <rFont val="Tahoma"/>
            <family val="2"/>
          </rPr>
          <t>cjohnso3:</t>
        </r>
        <r>
          <rPr>
            <sz val="8"/>
            <color indexed="81"/>
            <rFont val="Tahoma"/>
            <family val="2"/>
          </rPr>
          <t xml:space="preserve">
Plant costs are initially determined on a 50MW facility basis and scaled to plant size. An exponential relationship was employed to determine the correct economies of scale relationship.                               y= (Initial plant cost)* 0.9944*X^-0.26 where X is the Nominal plant size given by the user.</t>
        </r>
      </text>
    </comment>
    <comment ref="AS3" authorId="0">
      <text>
        <r>
          <rPr>
            <b/>
            <sz val="8"/>
            <color indexed="81"/>
            <rFont val="Tahoma"/>
            <family val="2"/>
          </rPr>
          <t>cjohnso3:</t>
        </r>
        <r>
          <rPr>
            <sz val="8"/>
            <color indexed="81"/>
            <rFont val="Tahoma"/>
            <family val="2"/>
          </rPr>
          <t xml:space="preserve">
cjohnso3:
Expressed as a percentage of 5MW facility (assumed to be the most expensive ) $/kW basis
</t>
        </r>
      </text>
    </comment>
    <comment ref="AY3" authorId="0">
      <text>
        <r>
          <rPr>
            <b/>
            <sz val="8"/>
            <color indexed="81"/>
            <rFont val="Tahoma"/>
            <family val="2"/>
          </rPr>
          <t>cjohnso3:</t>
        </r>
        <r>
          <rPr>
            <sz val="8"/>
            <color indexed="81"/>
            <rFont val="Tahoma"/>
            <family val="2"/>
          </rPr>
          <t xml:space="preserve">
cjohnso3:
Expressed as a percentage of 5MW facility (assumed to be the most expensive ) $/kW basis
</t>
        </r>
      </text>
    </comment>
    <comment ref="N5" authorId="0">
      <text>
        <r>
          <rPr>
            <b/>
            <sz val="8"/>
            <color indexed="81"/>
            <rFont val="Tahoma"/>
            <family val="2"/>
          </rPr>
          <t>cjohnso3:</t>
        </r>
        <r>
          <rPr>
            <sz val="8"/>
            <color indexed="81"/>
            <rFont val="Tahoma"/>
            <family val="2"/>
          </rPr>
          <t xml:space="preserve">
0.00000395233*E6^4 - 0.00470295*E6^3 + 2.10482*E6^2 - 422.181*E6 + 33242.3</t>
        </r>
      </text>
    </comment>
    <comment ref="S5" authorId="0">
      <text>
        <r>
          <rPr>
            <b/>
            <sz val="8"/>
            <color indexed="81"/>
            <rFont val="Tahoma"/>
            <family val="2"/>
          </rPr>
          <t>cjohnso3:</t>
        </r>
        <r>
          <rPr>
            <sz val="8"/>
            <color indexed="81"/>
            <rFont val="Tahoma"/>
            <family val="2"/>
          </rPr>
          <t xml:space="preserve">
0.00000395233*E6^4 - 0.00470295*E6^3 + 2.10482*E6^2 - 422.181*E6 + 33242.3</t>
        </r>
      </text>
    </comment>
    <comment ref="X5" authorId="0">
      <text>
        <r>
          <rPr>
            <b/>
            <sz val="8"/>
            <color indexed="81"/>
            <rFont val="Tahoma"/>
            <family val="2"/>
          </rPr>
          <t>cjohnso3:</t>
        </r>
        <r>
          <rPr>
            <sz val="8"/>
            <color indexed="81"/>
            <rFont val="Tahoma"/>
            <family val="2"/>
          </rPr>
          <t xml:space="preserve">
0.00000395233*E6^4 - 0.00470295*E6^3 + 2.10482*E6^2 - 422.181*E6 + 33242.3</t>
        </r>
      </text>
    </comment>
    <comment ref="AC5" authorId="0">
      <text>
        <r>
          <rPr>
            <b/>
            <sz val="8"/>
            <color indexed="81"/>
            <rFont val="Tahoma"/>
            <family val="2"/>
          </rPr>
          <t>cjohnso3:</t>
        </r>
        <r>
          <rPr>
            <sz val="8"/>
            <color indexed="81"/>
            <rFont val="Tahoma"/>
            <family val="2"/>
          </rPr>
          <t xml:space="preserve">
0.00000395233*E6^4 - 0.00470295*E6^3 + 2.10482*E6^2 - 422.181*E6 + 33242.3</t>
        </r>
      </text>
    </comment>
    <comment ref="AH5" authorId="0">
      <text>
        <r>
          <rPr>
            <b/>
            <sz val="8"/>
            <color indexed="81"/>
            <rFont val="Tahoma"/>
            <family val="2"/>
          </rPr>
          <t>cjohnso3:</t>
        </r>
        <r>
          <rPr>
            <sz val="8"/>
            <color indexed="81"/>
            <rFont val="Tahoma"/>
            <family val="2"/>
          </rPr>
          <t xml:space="preserve">
0.00000395233*E6^4 - 0.00470295*E6^3 + 2.10482*E6^2 - 422.181*E6 + 33242.3</t>
        </r>
      </text>
    </comment>
    <comment ref="E6" authorId="0">
      <text>
        <r>
          <rPr>
            <b/>
            <sz val="8"/>
            <color indexed="81"/>
            <rFont val="Tahoma"/>
            <family val="2"/>
          </rPr>
          <t>cjohnso3:</t>
        </r>
        <r>
          <rPr>
            <sz val="8"/>
            <color indexed="81"/>
            <rFont val="Tahoma"/>
            <family val="2"/>
          </rPr>
          <t xml:space="preserve">
5MW-1 Scaled
</t>
        </r>
      </text>
    </comment>
    <comment ref="E13" authorId="0">
      <text>
        <r>
          <rPr>
            <b/>
            <sz val="8"/>
            <color indexed="81"/>
            <rFont val="Tahoma"/>
            <family val="2"/>
          </rPr>
          <t>cjohnso3:</t>
        </r>
        <r>
          <rPr>
            <sz val="8"/>
            <color indexed="81"/>
            <rFont val="Tahoma"/>
            <family val="2"/>
          </rPr>
          <t xml:space="preserve">
5MW-1 Scaled
</t>
        </r>
      </text>
    </comment>
    <comment ref="E22" authorId="0">
      <text>
        <r>
          <rPr>
            <b/>
            <sz val="8"/>
            <color indexed="81"/>
            <rFont val="Tahoma"/>
            <family val="2"/>
          </rPr>
          <t>cjohnso3:</t>
        </r>
        <r>
          <rPr>
            <sz val="8"/>
            <color indexed="81"/>
            <rFont val="Tahoma"/>
            <family val="2"/>
          </rPr>
          <t xml:space="preserve">
50MW-1 curve fit
</t>
        </r>
      </text>
    </comment>
    <comment ref="E23" authorId="0">
      <text>
        <r>
          <rPr>
            <b/>
            <sz val="8"/>
            <color indexed="81"/>
            <rFont val="Tahoma"/>
            <family val="2"/>
          </rPr>
          <t>cjohnso3:</t>
        </r>
        <r>
          <rPr>
            <sz val="8"/>
            <color indexed="81"/>
            <rFont val="Tahoma"/>
            <family val="2"/>
          </rPr>
          <t xml:space="preserve">
The plant cost is determined given a user specificed temperature, plant type, and nominal plant size.  The polynominal equation y = 3.95233E-06x4 - 4.70295E-03x3 + 2.10482E+00x2 - 4.22181E+02x + 3.32423E+04 is given where X is a user specified temperature.</t>
        </r>
      </text>
    </comment>
    <comment ref="AS28" authorId="0">
      <text>
        <r>
          <rPr>
            <b/>
            <sz val="8"/>
            <color indexed="81"/>
            <rFont val="Tahoma"/>
            <family val="2"/>
          </rPr>
          <t>cjohnso3:</t>
        </r>
        <r>
          <rPr>
            <sz val="8"/>
            <color indexed="81"/>
            <rFont val="Tahoma"/>
            <family val="2"/>
          </rPr>
          <t xml:space="preserve">
cjohnso3:
Expressed as a percentage of 5MW facility (assumed to be the most expensive ) $/kW basis
</t>
        </r>
      </text>
    </comment>
    <comment ref="E31" authorId="0">
      <text>
        <r>
          <rPr>
            <b/>
            <sz val="8"/>
            <color indexed="81"/>
            <rFont val="Tahoma"/>
            <family val="2"/>
          </rPr>
          <t>cjohnso3:</t>
        </r>
        <r>
          <rPr>
            <sz val="8"/>
            <color indexed="81"/>
            <rFont val="Tahoma"/>
            <family val="2"/>
          </rPr>
          <t xml:space="preserve">
5MW-1 Scaled
</t>
        </r>
      </text>
    </comment>
    <comment ref="E40" authorId="0">
      <text>
        <r>
          <rPr>
            <b/>
            <sz val="8"/>
            <color indexed="81"/>
            <rFont val="Tahoma"/>
            <family val="2"/>
          </rPr>
          <t>cjohnso3:</t>
        </r>
        <r>
          <rPr>
            <sz val="8"/>
            <color indexed="81"/>
            <rFont val="Tahoma"/>
            <family val="2"/>
          </rPr>
          <t xml:space="preserve">
5MW-1 Scaled
</t>
        </r>
      </text>
    </comment>
    <comment ref="Q114" authorId="0">
      <text>
        <r>
          <rPr>
            <b/>
            <sz val="8"/>
            <color indexed="81"/>
            <rFont val="Tahoma"/>
            <family val="2"/>
          </rPr>
          <t>cjohnso3:</t>
        </r>
        <r>
          <rPr>
            <sz val="8"/>
            <color indexed="81"/>
            <rFont val="Tahoma"/>
            <family val="2"/>
          </rPr>
          <t xml:space="preserve">
</t>
        </r>
      </text>
    </comment>
    <comment ref="W114" authorId="0">
      <text>
        <r>
          <rPr>
            <b/>
            <sz val="8"/>
            <color indexed="81"/>
            <rFont val="Tahoma"/>
            <family val="2"/>
          </rPr>
          <t>cjohnso3:</t>
        </r>
        <r>
          <rPr>
            <sz val="8"/>
            <color indexed="81"/>
            <rFont val="Tahoma"/>
            <family val="2"/>
          </rPr>
          <t xml:space="preserve">
</t>
        </r>
      </text>
    </comment>
    <comment ref="AC114" authorId="0">
      <text>
        <r>
          <rPr>
            <b/>
            <sz val="8"/>
            <color indexed="81"/>
            <rFont val="Tahoma"/>
            <family val="2"/>
          </rPr>
          <t>cjohnso3:</t>
        </r>
        <r>
          <rPr>
            <sz val="8"/>
            <color indexed="81"/>
            <rFont val="Tahoma"/>
            <family val="2"/>
          </rPr>
          <t xml:space="preserve">
</t>
        </r>
      </text>
    </comment>
    <comment ref="AI114" authorId="0">
      <text>
        <r>
          <rPr>
            <b/>
            <sz val="8"/>
            <color indexed="81"/>
            <rFont val="Tahoma"/>
            <family val="2"/>
          </rPr>
          <t>cjohnso3:</t>
        </r>
        <r>
          <rPr>
            <sz val="8"/>
            <color indexed="81"/>
            <rFont val="Tahoma"/>
            <family val="2"/>
          </rPr>
          <t xml:space="preserve">
</t>
        </r>
      </text>
    </comment>
  </commentList>
</comments>
</file>

<file path=xl/comments11.xml><?xml version="1.0" encoding="utf-8"?>
<comments xmlns="http://schemas.openxmlformats.org/spreadsheetml/2006/main">
  <authors>
    <author/>
  </authors>
  <commentList>
    <comment ref="J36" authorId="0">
      <text>
        <r>
          <rPr>
            <sz val="10"/>
            <rFont val="Arial"/>
            <family val="2"/>
          </rPr>
          <t xml:space="preserve">*  Preliminary. All indexes are subject to revision four months after original publication.
</t>
        </r>
      </text>
    </comment>
    <comment ref="K36" authorId="0">
      <text>
        <r>
          <rPr>
            <sz val="10"/>
            <rFont val="Arial"/>
            <family val="2"/>
          </rPr>
          <t xml:space="preserve">*  Preliminary. All indexes are subject to revision four months after original publication.
</t>
        </r>
      </text>
    </comment>
    <comment ref="L36" authorId="0">
      <text>
        <r>
          <rPr>
            <sz val="10"/>
            <rFont val="Arial"/>
            <family val="2"/>
          </rPr>
          <t xml:space="preserve">*  Preliminary. All indexes are subject to revision four months after original publication.
</t>
        </r>
      </text>
    </comment>
    <comment ref="M36" authorId="0">
      <text>
        <r>
          <rPr>
            <sz val="10"/>
            <rFont val="Arial"/>
            <family val="2"/>
          </rPr>
          <t xml:space="preserve">*  Preliminary. All indexes are subject to revision four months after original publication.
</t>
        </r>
      </text>
    </comment>
  </commentList>
</comments>
</file>

<file path=xl/sharedStrings.xml><?xml version="1.0" encoding="utf-8"?>
<sst xmlns="http://schemas.openxmlformats.org/spreadsheetml/2006/main" count="4897" uniqueCount="1433">
  <si>
    <t>** Drilling Costs from GETEM exponential cost curves</t>
  </si>
  <si>
    <t>Depth (km)</t>
  </si>
  <si>
    <t>Low cost estimate</t>
  </si>
  <si>
    <t>Medium cost estimate</t>
  </si>
  <si>
    <t>High cost estimate</t>
  </si>
  <si>
    <t>Exponential  Drilling cost rate</t>
  </si>
  <si>
    <t>ft</t>
  </si>
  <si>
    <t>Low Cost</t>
  </si>
  <si>
    <t>Medium Cost</t>
  </si>
  <si>
    <t>High Cost</t>
  </si>
  <si>
    <t>Depth (ft)</t>
  </si>
  <si>
    <t xml:space="preserve">Low = 580*EXP(0.0001188*D) </t>
  </si>
  <si>
    <t>Medium =  580*EXP(0.000149*D)</t>
  </si>
  <si>
    <t>High  = 580*EXP(0.0001893*D)</t>
  </si>
  <si>
    <t>Where D = depth in feet</t>
  </si>
  <si>
    <t xml:space="preserve">GETEM drilling cost estimates: </t>
  </si>
  <si>
    <t xml:space="preserve"> </t>
  </si>
  <si>
    <t>Drilling Costs (cost/well)  2004 $000</t>
  </si>
  <si>
    <t>Drilling Costs ($000) 2004</t>
  </si>
  <si>
    <t>Drilling Index</t>
  </si>
  <si>
    <t>WellCost Lite Model (MIT p 6-21)</t>
  </si>
  <si>
    <t># of casings</t>
  </si>
  <si>
    <t>Cost (2004$) M</t>
  </si>
  <si>
    <t>GETEM</t>
  </si>
  <si>
    <t xml:space="preserve">MIT Appendix A.6.1 Well Cost Lite </t>
  </si>
  <si>
    <t>Average Depth (meters)</t>
  </si>
  <si>
    <t>avg cost $M (2004)</t>
  </si>
  <si>
    <t>2004 $</t>
  </si>
  <si>
    <t>Depth km</t>
  </si>
  <si>
    <t>Fuel</t>
  </si>
  <si>
    <t>Year</t>
  </si>
  <si>
    <t>Oil&amp;Gas Well</t>
  </si>
  <si>
    <t>Cost</t>
  </si>
  <si>
    <t>Daily Rate</t>
  </si>
  <si>
    <t>Daily rate</t>
  </si>
  <si>
    <t>PPIACO</t>
  </si>
  <si>
    <t>Drilling Costs ($000) 2008</t>
  </si>
  <si>
    <t>PPI Index from GETEM Table 10A</t>
  </si>
  <si>
    <t>Degrees C</t>
  </si>
  <si>
    <t>K0</t>
  </si>
  <si>
    <t>K1</t>
  </si>
  <si>
    <t>K2</t>
  </si>
  <si>
    <t>K3</t>
  </si>
  <si>
    <t>Brine Effectiveness</t>
  </si>
  <si>
    <t>C1</t>
  </si>
  <si>
    <t>C2</t>
  </si>
  <si>
    <t>C0</t>
  </si>
  <si>
    <t>Single Flash</t>
  </si>
  <si>
    <t>Temp</t>
  </si>
  <si>
    <t>Producer Price Index Industry Data</t>
  </si>
  <si>
    <t>Original Data Value</t>
  </si>
  <si>
    <t>Series Id:</t>
  </si>
  <si>
    <t>PCU21311121311101</t>
  </si>
  <si>
    <t>Industry:</t>
  </si>
  <si>
    <t>Drilling oil and gas wells</t>
  </si>
  <si>
    <t>Product:</t>
  </si>
  <si>
    <t>Drilling oil, gas, dry, or service wells</t>
  </si>
  <si>
    <t>Base Date:</t>
  </si>
  <si>
    <t>198512</t>
  </si>
  <si>
    <t>Years:</t>
  </si>
  <si>
    <t>Jan</t>
  </si>
  <si>
    <t>Feb</t>
  </si>
  <si>
    <t>Mar</t>
  </si>
  <si>
    <t>Apr</t>
  </si>
  <si>
    <t>May</t>
  </si>
  <si>
    <t>Jun</t>
  </si>
  <si>
    <t>Jul</t>
  </si>
  <si>
    <t>Aug</t>
  </si>
  <si>
    <t>Sep</t>
  </si>
  <si>
    <t>Oct</t>
  </si>
  <si>
    <t>Nov</t>
  </si>
  <si>
    <t>Dec</t>
  </si>
  <si>
    <t>Annual</t>
  </si>
  <si>
    <t>1985 to 2010</t>
  </si>
  <si>
    <t>Rebase to 2004</t>
  </si>
  <si>
    <t xml:space="preserve">Retrieved from: http://data.bls.gov/PDQ/servlet/SurveyOutputServlet </t>
  </si>
  <si>
    <t>By Chris Johnson on 12/21/10</t>
  </si>
  <si>
    <r>
      <t xml:space="preserve">Table 1: Cost Indices - Normalized to 2002 and 2004                                                                                         </t>
    </r>
    <r>
      <rPr>
        <sz val="9"/>
        <rFont val="Arial"/>
        <family val="2"/>
      </rPr>
      <t>(Source US Bureau of Labor Statistics )</t>
    </r>
  </si>
  <si>
    <t>Manufact Labor</t>
  </si>
  <si>
    <t>Construct</t>
  </si>
  <si>
    <t>Engineering</t>
  </si>
  <si>
    <t>Steel</t>
  </si>
  <si>
    <t>Pipe</t>
  </si>
  <si>
    <t>Electrical</t>
  </si>
  <si>
    <t>Turb-Gen</t>
  </si>
  <si>
    <t>HX's</t>
  </si>
  <si>
    <t>Pumps</t>
  </si>
  <si>
    <t>Process Equip</t>
  </si>
  <si>
    <t>GETEM Table 10A</t>
  </si>
  <si>
    <t>Maintenance</t>
  </si>
  <si>
    <t>Operators</t>
  </si>
  <si>
    <t>electrician</t>
  </si>
  <si>
    <t>operations manager</t>
  </si>
  <si>
    <t>clerical</t>
  </si>
  <si>
    <t xml:space="preserve">  Consumables/Tools and Misc. Supplies</t>
  </si>
  <si>
    <t xml:space="preserve">  Fuel (motor vehicle gasoline)</t>
  </si>
  <si>
    <t xml:space="preserve">  Insurance</t>
  </si>
  <si>
    <t xml:space="preserve">  Fees, Permits, Licenses</t>
  </si>
  <si>
    <t>Management/Administrative</t>
  </si>
  <si>
    <t>Laborers</t>
  </si>
  <si>
    <t xml:space="preserve">  Vehicles</t>
  </si>
  <si>
    <t>Materials and Services</t>
  </si>
  <si>
    <t>Labor</t>
  </si>
  <si>
    <t>facility manager/plant engineer</t>
  </si>
  <si>
    <t>general maintenance labor</t>
  </si>
  <si>
    <t>maintenance mechanic</t>
  </si>
  <si>
    <t>Construction Equipment</t>
  </si>
  <si>
    <t>Mechanical</t>
  </si>
  <si>
    <t>% of Project Cost</t>
  </si>
  <si>
    <t xml:space="preserve">Engineering </t>
  </si>
  <si>
    <t>Construction Labor</t>
  </si>
  <si>
    <t>Drilling Engineering</t>
  </si>
  <si>
    <t>2.  Production Drilling</t>
  </si>
  <si>
    <t xml:space="preserve">1. Exploration  Drilling </t>
  </si>
  <si>
    <t>Exploration Equipment, Tests, Surveys</t>
  </si>
  <si>
    <t>Field Crew</t>
  </si>
  <si>
    <t>Other Geo scientists:</t>
  </si>
  <si>
    <t>Geochemist</t>
  </si>
  <si>
    <t>Geophysicist</t>
  </si>
  <si>
    <t>Geologist</t>
  </si>
  <si>
    <t>Exploration (Pre-Drilling)</t>
  </si>
  <si>
    <t xml:space="preserve">     Land</t>
  </si>
  <si>
    <t xml:space="preserve">     Transmission Line Permits</t>
  </si>
  <si>
    <t xml:space="preserve">     Environmental Impact Assessment</t>
  </si>
  <si>
    <t xml:space="preserve">     Environmental Analysis</t>
  </si>
  <si>
    <t>Permitting</t>
  </si>
  <si>
    <t>Detailed Geothermal Plant Project Data Costs</t>
  </si>
  <si>
    <t xml:space="preserve">     Total Impacts</t>
  </si>
  <si>
    <t xml:space="preserve">     Induced Impacts</t>
  </si>
  <si>
    <t xml:space="preserve">  During operating years (annual)</t>
  </si>
  <si>
    <t xml:space="preserve">Model Inputs </t>
  </si>
  <si>
    <t xml:space="preserve">  During construction period</t>
  </si>
  <si>
    <t>Pump rate (kg/s)</t>
  </si>
  <si>
    <t>Output</t>
  </si>
  <si>
    <t>Earnings</t>
  </si>
  <si>
    <t>Jobs</t>
  </si>
  <si>
    <t># Injection Wells</t>
  </si>
  <si>
    <t># Production Wells</t>
  </si>
  <si>
    <t>Ratio of Production to Injection Wells</t>
  </si>
  <si>
    <r>
      <t xml:space="preserve">Resource Temperature </t>
    </r>
    <r>
      <rPr>
        <sz val="11"/>
        <color theme="1"/>
        <rFont val="Calibri"/>
        <family val="2"/>
      </rPr>
      <t>°C</t>
    </r>
  </si>
  <si>
    <t>Binary</t>
  </si>
  <si>
    <t>Total Project Size - Nameplate Capacity (MW)</t>
  </si>
  <si>
    <t xml:space="preserve">Year of Construction </t>
  </si>
  <si>
    <t>Colorado</t>
  </si>
  <si>
    <t>Project Location</t>
  </si>
  <si>
    <t>User Input:</t>
  </si>
  <si>
    <t>Geothermal Input Sheet</t>
  </si>
  <si>
    <t>Project Descriptive Data</t>
  </si>
  <si>
    <t>Total Cost</t>
  </si>
  <si>
    <t>·      Service repairmen</t>
  </si>
  <si>
    <t>·      Site Operators</t>
  </si>
  <si>
    <t>·      Plant technicians</t>
  </si>
  <si>
    <t>·      Engineers</t>
  </si>
  <si>
    <t>·      Plant managers</t>
  </si>
  <si>
    <t>·      Inspection personnel</t>
  </si>
  <si>
    <t>·      Assembly mechanics</t>
  </si>
  <si>
    <t>·      Concrete placers</t>
  </si>
  <si>
    <t>·      Steel erectors</t>
  </si>
  <si>
    <t>·      Welders</t>
  </si>
  <si>
    <t>·      Safety managers</t>
  </si>
  <si>
    <t>·      Field Engineers</t>
  </si>
  <si>
    <t>·      Project engineers</t>
  </si>
  <si>
    <t>·      Construction managers</t>
  </si>
  <si>
    <t>·      Admin Support</t>
  </si>
  <si>
    <t>·      Project managers</t>
  </si>
  <si>
    <t>·      Document controllers</t>
  </si>
  <si>
    <t>·      Power plant designers</t>
  </si>
  <si>
    <t>·      Geologists</t>
  </si>
  <si>
    <t>·      Safety Managers</t>
  </si>
  <si>
    <t>National avg</t>
  </si>
  <si>
    <t>·      Welders – $17.60/hour – national average</t>
  </si>
  <si>
    <t>·      Fuel transportation</t>
  </si>
  <si>
    <t>flat rate or daily</t>
  </si>
  <si>
    <t>·      Rig Transportation</t>
  </si>
  <si>
    <t>2650/day - motorman and MWD operator</t>
  </si>
  <si>
    <t>·      Directional drillers</t>
  </si>
  <si>
    <t>·      Casing Crews</t>
  </si>
  <si>
    <t>·      Cementing personnel</t>
  </si>
  <si>
    <t>·      Drilling Fluids personnel</t>
  </si>
  <si>
    <t>800-850</t>
  </si>
  <si>
    <t>·      Mud Loggers</t>
  </si>
  <si>
    <t>·      Rig Site Managers</t>
  </si>
  <si>
    <t>- $20.22/hr (Occupational Employment and Wages, May 2009 47-5021 Earth Drillers, Except Oil and Gas)</t>
  </si>
  <si>
    <t xml:space="preserve">·       Rig Hands </t>
    <phoneticPr fontId="1" type="noConversion"/>
  </si>
  <si>
    <t>·      Drilling Engineers</t>
  </si>
  <si>
    <t>·      Management Staff</t>
  </si>
  <si>
    <t>·      Clerical Staff</t>
  </si>
  <si>
    <t>·      Consultants</t>
  </si>
  <si>
    <t>·      Sample Analysts</t>
  </si>
  <si>
    <t>·      Exploration Drillers</t>
  </si>
  <si>
    <t>·      GIS specialists</t>
  </si>
  <si>
    <t>Median annual wages of geoscientists were $79,160 in May 2008.  In March 2009, the Federal Government's average salary was $94,085 for geologists, $108,118 for geophysicists, $89,404 for hydrologists, and $105,671 for oceanographers.</t>
  </si>
  <si>
    <t>·      Geochemists</t>
  </si>
  <si>
    <t>·      Geophysicists</t>
  </si>
  <si>
    <t>·      Paralegals</t>
  </si>
  <si>
    <t>·      Lawyers</t>
  </si>
  <si>
    <t>·      NEPA coordinators</t>
  </si>
  <si>
    <t>·      Adjudicators</t>
  </si>
  <si>
    <t>·      Hydrologists</t>
  </si>
  <si>
    <t>·      Archaelologists</t>
  </si>
  <si>
    <t>·      Wildlife biologists</t>
  </si>
  <si>
    <t>Notes</t>
    <phoneticPr fontId="1" type="noConversion"/>
  </si>
  <si>
    <t>Daily Wage</t>
    <phoneticPr fontId="1" type="noConversion"/>
  </si>
  <si>
    <t>Job type</t>
    <phoneticPr fontId="1" type="noConversion"/>
  </si>
  <si>
    <t>600/day for a corehole drilling engineer.  1400/day for a production or slimwell</t>
  </si>
  <si>
    <t>labor</t>
  </si>
  <si>
    <t>comes with rig and rig hands (16000-18000/day)</t>
  </si>
  <si>
    <t>Engineers, all other 80560</t>
  </si>
  <si>
    <t>Health and safety engineers, except mining safety engineers and inspectors $74080</t>
  </si>
  <si>
    <t>Inspectors, testers, sorters, samplers, and weighers $37500</t>
  </si>
  <si>
    <t>Annual Earnings</t>
  </si>
  <si>
    <t>Median annual wages of hydrologists were $71,450 in May 2008</t>
  </si>
  <si>
    <t>** Data Source -  from Careers in Wind Energy - BLS  (http://www.bls.gov/green/wind_energy/#relevproj) 11/10 report</t>
  </si>
  <si>
    <t>59560 - May 2009 (oil and gas)</t>
  </si>
  <si>
    <t>drill derrick operator</t>
  </si>
  <si>
    <t>cement finisher</t>
  </si>
  <si>
    <t>Median annual wages of geoscientists were $79,160 in May 2008.  In March 2009, the Federal Government's average salary was $94,085 for geologists, $108,118 for geophysicists, $89,404 for hydrologists, and $105,671 for oceanographers.  Higher for Oil, gas and, mining</t>
  </si>
  <si>
    <t>58470 - May 2008</t>
  </si>
  <si>
    <t>May 2008 - legal services</t>
  </si>
  <si>
    <t>truck driver</t>
  </si>
  <si>
    <t>Totals:</t>
  </si>
  <si>
    <t>Name</t>
  </si>
  <si>
    <t>SheetRef</t>
  </si>
  <si>
    <t>GenInfo</t>
  </si>
  <si>
    <t>FILEVER</t>
  </si>
  <si>
    <t>RETFUNC</t>
  </si>
  <si>
    <t>Payoff Node</t>
  </si>
  <si>
    <t>NODES</t>
  </si>
  <si>
    <t>highest#</t>
  </si>
  <si>
    <t>#</t>
  </si>
  <si>
    <t>iNodeInfo</t>
  </si>
  <si>
    <t>Succ.</t>
  </si>
  <si>
    <t>Pred.</t>
  </si>
  <si>
    <t>Link</t>
  </si>
  <si>
    <t>N. Name</t>
  </si>
  <si>
    <t>St. Nodes</t>
  </si>
  <si>
    <t>BName1</t>
  </si>
  <si>
    <t>BName2</t>
  </si>
  <si>
    <t>BName3</t>
  </si>
  <si>
    <t>BName4</t>
  </si>
  <si>
    <t>BName5</t>
  </si>
  <si>
    <t>BName6</t>
  </si>
  <si>
    <t>BName7</t>
  </si>
  <si>
    <t>BName8</t>
  </si>
  <si>
    <t>BName9</t>
  </si>
  <si>
    <t>BName10</t>
  </si>
  <si>
    <t>BName11</t>
  </si>
  <si>
    <t>BName12</t>
  </si>
  <si>
    <t>BName13</t>
  </si>
  <si>
    <t>BName14</t>
  </si>
  <si>
    <t>BName15</t>
  </si>
  <si>
    <t>BName16</t>
  </si>
  <si>
    <t>BName17</t>
  </si>
  <si>
    <t>BName18</t>
  </si>
  <si>
    <t>BName19</t>
  </si>
  <si>
    <t>BName20</t>
  </si>
  <si>
    <t>BName21</t>
  </si>
  <si>
    <t>BName22</t>
  </si>
  <si>
    <t>BName23</t>
  </si>
  <si>
    <t>BName24</t>
  </si>
  <si>
    <t>BName25</t>
  </si>
  <si>
    <t>BName26</t>
  </si>
  <si>
    <t>BName27</t>
  </si>
  <si>
    <t>BName28</t>
  </si>
  <si>
    <t>BName29</t>
  </si>
  <si>
    <t>BName30</t>
  </si>
  <si>
    <t>ARCS</t>
  </si>
  <si>
    <t>Diagram #1</t>
  </si>
  <si>
    <t>0,0,0,Exponential,0,0,-1,-1,-1</t>
  </si>
  <si>
    <t>2,2,0,0</t>
  </si>
  <si>
    <t>Outcome #1</t>
  </si>
  <si>
    <t>Outcome #2</t>
  </si>
  <si>
    <t>Plant type</t>
  </si>
  <si>
    <t>Flash</t>
  </si>
  <si>
    <t>Nameplate Capacity</t>
  </si>
  <si>
    <t>2,2,114,350</t>
  </si>
  <si>
    <t>Resource Depth</t>
  </si>
  <si>
    <t>Low</t>
  </si>
  <si>
    <t>Drilling Cost Curve</t>
  </si>
  <si>
    <t>Medium</t>
  </si>
  <si>
    <t>High</t>
  </si>
  <si>
    <t>2,3,116,435</t>
  </si>
  <si>
    <t>Drilling Costs</t>
  </si>
  <si>
    <t>2,2,116,435</t>
  </si>
  <si>
    <t>Decision #10</t>
  </si>
  <si>
    <t>2,3,112,453</t>
  </si>
  <si>
    <t>Plant Cost curve</t>
  </si>
  <si>
    <t>1,1</t>
  </si>
  <si>
    <t>9,7,6,2,1,0,1,0</t>
  </si>
  <si>
    <t>1,2</t>
  </si>
  <si>
    <t>2,1,2</t>
  </si>
  <si>
    <t>3,7,6,2,1,0,1,0</t>
  </si>
  <si>
    <t>1,2,250,453</t>
  </si>
  <si>
    <t>Resource Temperature</t>
  </si>
  <si>
    <t>2,2,208,178</t>
  </si>
  <si>
    <t>1,2,349,235</t>
  </si>
  <si>
    <t>2,2,218,280</t>
  </si>
  <si>
    <t>2,2,343,368</t>
  </si>
  <si>
    <t>2,2,35,334</t>
  </si>
  <si>
    <t>1,2,18,193</t>
  </si>
  <si>
    <t>2,2,29,342</t>
  </si>
  <si>
    <t>Resource Potential</t>
  </si>
  <si>
    <t>Year of Construction</t>
  </si>
  <si>
    <t>Drilling Depth</t>
  </si>
  <si>
    <t># of Wells</t>
  </si>
  <si>
    <t>Injection</t>
  </si>
  <si>
    <t>Production</t>
  </si>
  <si>
    <t>2,2,205,79</t>
  </si>
  <si>
    <t>2,2,417,71</t>
  </si>
  <si>
    <t>2,3,92,449</t>
  </si>
  <si>
    <t>Flow Rate</t>
  </si>
  <si>
    <t>1,2,513,191</t>
  </si>
  <si>
    <t>Exploration Jobs</t>
  </si>
  <si>
    <t>Geoscientists</t>
  </si>
  <si>
    <t>Engineers</t>
  </si>
  <si>
    <t>Drilling Jobs</t>
  </si>
  <si>
    <t>7,2,788,229</t>
  </si>
  <si>
    <t>Plant Construction Jobs</t>
  </si>
  <si>
    <t>O&amp;M Jobs</t>
  </si>
  <si>
    <t>7,2,788,117</t>
  </si>
  <si>
    <t>7,2,776,331</t>
  </si>
  <si>
    <t>7,2,792,436</t>
  </si>
  <si>
    <t xml:space="preserve"> Economic Impacts</t>
  </si>
  <si>
    <t>4,2,1071,259</t>
  </si>
  <si>
    <t>Plant Costs</t>
  </si>
  <si>
    <t>1,2,26,90</t>
  </si>
  <si>
    <t>Mud Engineer(s)</t>
  </si>
  <si>
    <t>Total Project Cost</t>
  </si>
  <si>
    <t>Plant Capital Cost</t>
  </si>
  <si>
    <t>2004 Cost  $/kW</t>
  </si>
  <si>
    <t>Input Model Temp</t>
  </si>
  <si>
    <t>Completion drill time (days) per well</t>
  </si>
  <si>
    <t>Drill Rig Rate</t>
  </si>
  <si>
    <t>Total:</t>
  </si>
  <si>
    <t>Site Construction</t>
  </si>
  <si>
    <t>Drilling Tools</t>
  </si>
  <si>
    <t>Move Services and equipment</t>
  </si>
  <si>
    <t>Drilling Fluids - Mud (5950/day)</t>
  </si>
  <si>
    <t>Outside Services</t>
  </si>
  <si>
    <t>Location Maintenance</t>
  </si>
  <si>
    <t>Camp</t>
  </si>
  <si>
    <t>Drill Hands - labor (6 men)</t>
  </si>
  <si>
    <t>Rotary time  per well (days)</t>
  </si>
  <si>
    <t>Move time per well (days)</t>
  </si>
  <si>
    <t>Table ES-1</t>
  </si>
  <si>
    <t>CCAF–P Market Index and 12-month Outlook</t>
  </si>
  <si>
    <t>Market Index</t>
  </si>
  <si>
    <t>2006</t>
  </si>
  <si>
    <t>2007</t>
  </si>
  <si>
    <t>2008</t>
  </si>
  <si>
    <t>2009</t>
  </si>
  <si>
    <t>2010</t>
  </si>
  <si>
    <t>PCCI</t>
  </si>
  <si>
    <t>Overall PCCI</t>
  </si>
  <si>
    <t>Overall PCCI, without nuclear</t>
  </si>
  <si>
    <t>Source: IHS CERA.</t>
  </si>
  <si>
    <r>
      <t xml:space="preserve">November 2010 CERA Special Report </t>
    </r>
    <r>
      <rPr>
        <i/>
        <sz val="8"/>
        <color indexed="8"/>
        <rFont val="Arial"/>
        <family val="2"/>
      </rPr>
      <t>Capital Costs Analysis Forum—North America Power: Market Update.</t>
    </r>
  </si>
  <si>
    <t>Multiplier</t>
  </si>
  <si>
    <r>
      <t>The IHS CERA Power Capital Costs Index (PCCI)</t>
    </r>
    <r>
      <rPr>
        <sz val="11"/>
        <color theme="1"/>
        <rFont val="Calibri"/>
        <family val="2"/>
        <scheme val="minor"/>
      </rPr>
      <t xml:space="preserve"> Leveraging IHS CERA's Index + Scenarios methodology, the PCCI tracks and forecasts the costs associated with the construction of a portfolio of 30 different power generation plants in North America. The PCCI tracks the costs of building coal, gas, wind and nuclear power plants, indexed to year 2000. The PCCI is a work product of the Capital Costs Analysis Forum for Power-North America, an annual renewable service managed by IHS CERA. For further information on the PCCI or the Forum, please contact Roger Kranenburg.</t>
    </r>
  </si>
  <si>
    <t>PPI</t>
  </si>
  <si>
    <t>1977 base</t>
  </si>
  <si>
    <t>2000 base</t>
  </si>
  <si>
    <t>Hybrid PPI/PCCI</t>
  </si>
  <si>
    <t># ofemployees</t>
  </si>
  <si>
    <t>Labor multiplier</t>
  </si>
  <si>
    <t>man hours</t>
  </si>
  <si>
    <t>hours</t>
  </si>
  <si>
    <t>total</t>
  </si>
  <si>
    <t>$/hr (2004 rates)</t>
  </si>
  <si>
    <t>Labor cost index</t>
  </si>
  <si>
    <t>Total Labor</t>
  </si>
  <si>
    <t>Plant Labor</t>
  </si>
  <si>
    <t>Field labor (25% of operators)</t>
  </si>
  <si>
    <t>Plant O&amp;M (% of total plant cost)</t>
  </si>
  <si>
    <t>Non Labor (Equipment)</t>
  </si>
  <si>
    <t>Total Plant O&amp;M( Plant and Labor)</t>
  </si>
  <si>
    <t>Total Wellfield O&amp;M (4.5% of development costs)</t>
  </si>
  <si>
    <t>Total O&amp;M</t>
  </si>
  <si>
    <t xml:space="preserve">F/T Jobs </t>
  </si>
  <si>
    <t>** Table from GEA green Jobs report  - October 2010</t>
  </si>
  <si>
    <t>Data Source</t>
  </si>
  <si>
    <t>C3</t>
  </si>
  <si>
    <t>C4</t>
  </si>
  <si>
    <t>Turbines, Generators  (36.3%)</t>
  </si>
  <si>
    <t>Air Cooled Condenser (55.8)</t>
  </si>
  <si>
    <t>Well Field Pumps (2.3%)</t>
  </si>
  <si>
    <t>Geothermal Fluid Heat Exchangers (5.5%)</t>
  </si>
  <si>
    <t>Material Costs - Cement and Casing</t>
  </si>
  <si>
    <t>Power Plant Cost</t>
  </si>
  <si>
    <t>Material Costs - (Cement and Casing)</t>
  </si>
  <si>
    <t>Estimated Cost/well</t>
  </si>
  <si>
    <t>Turbine Generator Cost</t>
  </si>
  <si>
    <t>Flash Vessels</t>
  </si>
  <si>
    <t>Cooling Tower Cost</t>
  </si>
  <si>
    <t>Condenser Cost</t>
  </si>
  <si>
    <t>Pump Costs</t>
  </si>
  <si>
    <t>NCG Removal System</t>
  </si>
  <si>
    <t>H2S Removal System</t>
  </si>
  <si>
    <r>
      <t>BE = C0 + C1*T + C2* T</t>
    </r>
    <r>
      <rPr>
        <sz val="11"/>
        <color theme="1"/>
        <rFont val="Calibri"/>
        <family val="2"/>
      </rPr>
      <t>²</t>
    </r>
    <r>
      <rPr>
        <sz val="11"/>
        <color theme="1"/>
        <rFont val="Calibri"/>
        <family val="2"/>
        <scheme val="minor"/>
      </rPr>
      <t xml:space="preserve"> + C3* T</t>
    </r>
    <r>
      <rPr>
        <sz val="11"/>
        <color theme="1"/>
        <rFont val="Calibri"/>
        <family val="2"/>
      </rPr>
      <t>³</t>
    </r>
    <r>
      <rPr>
        <sz val="11"/>
        <color theme="1"/>
        <rFont val="Calibri"/>
        <family val="2"/>
        <scheme val="minor"/>
      </rPr>
      <t xml:space="preserve"> + C4* T</t>
    </r>
    <r>
      <rPr>
        <sz val="11"/>
        <color theme="1"/>
        <rFont val="Calibri"/>
        <family val="2"/>
      </rPr>
      <t>⁴</t>
    </r>
  </si>
  <si>
    <t>Brine effectiveness - binary plant (w-h/kg)</t>
  </si>
  <si>
    <t xml:space="preserve">C0 </t>
  </si>
  <si>
    <t>T = temp in C</t>
  </si>
  <si>
    <t>BE coefficient (w-h/kg)</t>
  </si>
  <si>
    <t>BE coefficient (w-h/lb)</t>
  </si>
  <si>
    <r>
      <t xml:space="preserve">BE = C0 + C1*T + C2* T </t>
    </r>
    <r>
      <rPr>
        <sz val="11"/>
        <color theme="1"/>
        <rFont val="Calibri"/>
        <family val="2"/>
      </rPr>
      <t>²</t>
    </r>
  </si>
  <si>
    <t>Brine effectiveness - single flash (w-h/lb)</t>
  </si>
  <si>
    <r>
      <t xml:space="preserve">T = temp in </t>
    </r>
    <r>
      <rPr>
        <sz val="11"/>
        <color theme="1"/>
        <rFont val="Calibri"/>
        <family val="2"/>
      </rPr>
      <t>°</t>
    </r>
    <r>
      <rPr>
        <sz val="11"/>
        <color theme="1"/>
        <rFont val="Calibri"/>
        <family val="2"/>
        <scheme val="minor"/>
      </rPr>
      <t>F</t>
    </r>
  </si>
  <si>
    <t>Total Flow</t>
  </si>
  <si>
    <t xml:space="preserve"> Flash Plant Equipment (84% of plant cost)</t>
  </si>
  <si>
    <t>BE with parasitic losses (w-h/lb)</t>
  </si>
  <si>
    <t>BE (w-h/lb)</t>
  </si>
  <si>
    <t>Well flow (lb/hour)</t>
  </si>
  <si>
    <t>Gross Power (50MW net)</t>
  </si>
  <si>
    <t>Operations</t>
  </si>
  <si>
    <t>Office</t>
  </si>
  <si>
    <t># employees</t>
  </si>
  <si>
    <t>Flash O&amp;M Worksheet</t>
  </si>
  <si>
    <t>Binary O&amp;M Worksheet</t>
  </si>
  <si>
    <t>Annual Direct O&amp;M Cost ($/kW)</t>
  </si>
  <si>
    <t>Installed Project Cost ($/kW)</t>
  </si>
  <si>
    <t xml:space="preserve">     Land (Leasing, Acquisition)</t>
  </si>
  <si>
    <t>hours per year</t>
  </si>
  <si>
    <t>1. Exploration  Drilling Costs per well</t>
  </si>
  <si>
    <t>2.  Production Drilling Costs per well</t>
  </si>
  <si>
    <t>Jobs/year</t>
  </si>
  <si>
    <t>Total Man hours</t>
  </si>
  <si>
    <t>Wage ($/hr)</t>
  </si>
  <si>
    <t>Hourly Wage (median value)</t>
  </si>
  <si>
    <t>* Sourced from GETEM table -4B</t>
  </si>
  <si>
    <t>* Sourced from GETEM table -5B</t>
  </si>
  <si>
    <t>Stimulation cost per well</t>
  </si>
  <si>
    <t>Plant type (Flash, Binary)</t>
  </si>
  <si>
    <t>Technology: (Hydrothermal or EGS)</t>
  </si>
  <si>
    <t>Cost ($/kW)</t>
  </si>
  <si>
    <t>Resource Depth (meters)</t>
  </si>
  <si>
    <t>Gross Capacity</t>
  </si>
  <si>
    <t># Production wells</t>
  </si>
  <si>
    <t>Plant Type</t>
  </si>
  <si>
    <t>Production Wells</t>
  </si>
  <si>
    <t>Well Flow</t>
  </si>
  <si>
    <t>Nominal Capacity (MW)</t>
  </si>
  <si>
    <t>Plant Brine Effectiveness</t>
  </si>
  <si>
    <t>Resource Depth  (select meters or feet)</t>
  </si>
  <si>
    <t>Resource Temperature (select Celsius or Farenheit)</t>
  </si>
  <si>
    <t>Gross Power at 2000m Depth</t>
  </si>
  <si>
    <t>Nominal Power Output</t>
  </si>
  <si>
    <t>% buffer</t>
  </si>
  <si>
    <t>Nominal Plant Size</t>
  </si>
  <si>
    <t>Gross Plant Size</t>
  </si>
  <si>
    <t>Scalar</t>
  </si>
  <si>
    <t>Plant Size scalar</t>
  </si>
  <si>
    <t>Production well flow rate (kg/s)</t>
  </si>
  <si>
    <t>Property calculations have the form:</t>
  </si>
  <si>
    <t>Property = C6*T^6+C5*T^5+C4*T^4+C3*T^3+C2*T^2+C1*T+C0. where T is F</t>
  </si>
  <si>
    <t>Saturated Water (40 - 500F)</t>
  </si>
  <si>
    <t>C6</t>
  </si>
  <si>
    <t>C5</t>
  </si>
  <si>
    <t>Pressure</t>
  </si>
  <si>
    <t>psia</t>
  </si>
  <si>
    <t>enthalpy</t>
  </si>
  <si>
    <t>btu/lb</t>
  </si>
  <si>
    <t>entropy</t>
  </si>
  <si>
    <t>btu/lb-R</t>
  </si>
  <si>
    <t>specific vol</t>
  </si>
  <si>
    <t>ft^3/lb</t>
  </si>
  <si>
    <t>** Data Source - GETEM Worksheet 10B (GeoFluid)</t>
  </si>
  <si>
    <t>cubic feet/pound</t>
  </si>
  <si>
    <t>Temp in F</t>
  </si>
  <si>
    <t>Temp in C</t>
  </si>
  <si>
    <t>Fluid Density</t>
  </si>
  <si>
    <t>Model Input Calculations:</t>
  </si>
  <si>
    <t>Total Flow (lb/hr)</t>
  </si>
  <si>
    <t xml:space="preserve">Gallons per minute </t>
  </si>
  <si>
    <t>Other Unallocated Costs</t>
  </si>
  <si>
    <t>Advanced Model Drilling Time:</t>
  </si>
  <si>
    <t>Gross Plant Size (MW)</t>
  </si>
  <si>
    <t>Plant Size(MW)</t>
  </si>
  <si>
    <t>&lt;5MW</t>
  </si>
  <si>
    <t>&lt;10MW</t>
  </si>
  <si>
    <t>&lt;20MW</t>
  </si>
  <si>
    <t>&lt;30MW</t>
  </si>
  <si>
    <t>&lt;40MW</t>
  </si>
  <si>
    <t>&gt; 40MW</t>
  </si>
  <si>
    <t>Job Type</t>
  </si>
  <si>
    <t>Table Data Source: GETEM Technical documentation Appendix C P C-25 (Conversion Systems)</t>
  </si>
  <si>
    <t xml:space="preserve">Plant Size </t>
  </si>
  <si>
    <t>Output to Model</t>
  </si>
  <si>
    <t>Occupation</t>
  </si>
  <si>
    <t>Startup Phase</t>
  </si>
  <si>
    <t>Exploration Phase</t>
  </si>
  <si>
    <t>Feasibility Drilling</t>
  </si>
  <si>
    <t>Drilling and Construction</t>
  </si>
  <si>
    <t>Operations and Maintenance</t>
  </si>
  <si>
    <t>Daily Wage</t>
  </si>
  <si>
    <t>·      Electrician</t>
  </si>
  <si>
    <t xml:space="preserve"> ·     Construction laborer</t>
  </si>
  <si>
    <t>industial engineer</t>
  </si>
  <si>
    <t xml:space="preserve">·      Construction personnel </t>
  </si>
  <si>
    <t>600-1400</t>
  </si>
  <si>
    <t>77000-90000</t>
  </si>
  <si>
    <t>Nominal Plant size (MW net output)</t>
  </si>
  <si>
    <t>Total Equipment Dollars</t>
  </si>
  <si>
    <t>300C  ; 63 MW gross output</t>
  </si>
  <si>
    <t>275C ; 63 MW gross output</t>
  </si>
  <si>
    <t>250C ; 64.4 MW gross output</t>
  </si>
  <si>
    <t>$/kW</t>
  </si>
  <si>
    <t>Size of plant (Gross MW)</t>
  </si>
  <si>
    <t>Plant Cost</t>
  </si>
  <si>
    <t>Depth</t>
  </si>
  <si>
    <t>Temp C</t>
  </si>
  <si>
    <t>$2010</t>
  </si>
  <si>
    <t>$2008</t>
  </si>
  <si>
    <t>225C ; 67.6 MW gross output</t>
  </si>
  <si>
    <t>Single Flash Plant Costs (50MW) Nominal Size used with varying temp, 2000m depth</t>
  </si>
  <si>
    <t>$ per kW</t>
  </si>
  <si>
    <t>User Adjust</t>
  </si>
  <si>
    <t>Equipment Cost</t>
  </si>
  <si>
    <t xml:space="preserve"> (PPI)</t>
  </si>
  <si>
    <t>ref equip cost</t>
  </si>
  <si>
    <t>reference yr</t>
  </si>
  <si>
    <t>200C ; 75MW gross output</t>
  </si>
  <si>
    <t>Flash Costs (2000m at varying temps)</t>
  </si>
  <si>
    <t>Test Temp</t>
  </si>
  <si>
    <t>50MW</t>
  </si>
  <si>
    <t>25MW</t>
  </si>
  <si>
    <t>10MW</t>
  </si>
  <si>
    <t>Economies of Scale $/kW</t>
  </si>
  <si>
    <t>75MW</t>
  </si>
  <si>
    <t xml:space="preserve">Economies of Scale (GETEM Output)  200C @ 2000m </t>
  </si>
  <si>
    <t>Nominal Output</t>
  </si>
  <si>
    <t>Gross (Plant size)</t>
  </si>
  <si>
    <t>$/kW (nominal)</t>
  </si>
  <si>
    <t>$/kW (gross)</t>
  </si>
  <si>
    <t xml:space="preserve">Economies of Scale (GETEM Output)  250C @ 2000m </t>
  </si>
  <si>
    <t>Easy</t>
  </si>
  <si>
    <t xml:space="preserve"> Multipliers For Economic Input-Output Analysis</t>
  </si>
  <si>
    <t>Year of Data</t>
  </si>
  <si>
    <t>Jobs Per Million Dollars Change in Final Demand</t>
  </si>
  <si>
    <t xml:space="preserve">  Jobs Direct Multipliers</t>
  </si>
  <si>
    <t>Alabama</t>
  </si>
  <si>
    <t>Alaska</t>
  </si>
  <si>
    <t>Arizona</t>
  </si>
  <si>
    <t>Arkansas</t>
  </si>
  <si>
    <t>California</t>
  </si>
  <si>
    <t>Connecticut</t>
  </si>
  <si>
    <t>Delaware</t>
  </si>
  <si>
    <t>District of Columbia</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</si>
  <si>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</si>
  <si>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</si>
  <si>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</si>
  <si>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</si>
  <si>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</si>
  <si>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</si>
  <si>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</si>
  <si>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</si>
  <si>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</si>
  <si>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</si>
  <si>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</si>
  <si>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</si>
  <si>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</si>
  <si>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</si>
  <si>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</si>
  <si>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</si>
  <si>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</si>
  <si>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</si>
  <si>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MyCounty</t>
  </si>
  <si>
    <t>MyRegion</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</si>
  <si>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</si>
  <si>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</si>
  <si>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</si>
  <si>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</si>
  <si>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</si>
  <si>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</si>
  <si>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</si>
  <si>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</si>
  <si>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</si>
  <si>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</si>
  <si>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</si>
  <si>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</si>
  <si>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</si>
  <si>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</si>
  <si>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</si>
  <si>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</si>
  <si>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</si>
  <si>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</si>
  <si>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</si>
  <si>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</si>
  <si>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</si>
  <si>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</si>
  <si>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</si>
  <si>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</si>
  <si>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Warning</t>
  </si>
  <si>
    <t>Agriculture</t>
  </si>
  <si>
    <t>Mining</t>
  </si>
  <si>
    <t xml:space="preserve">This Worksheet contains Data and Formulas that are an integral part of the JEDI model.  </t>
  </si>
  <si>
    <t>Construction</t>
  </si>
  <si>
    <t>Manufacturing</t>
  </si>
  <si>
    <t>Although the data and formulas are available for review they must not be changed.</t>
  </si>
  <si>
    <t>Fabricated Metals</t>
  </si>
  <si>
    <t>Machinery</t>
  </si>
  <si>
    <t>Any changes to the data or formulas will impact the analysis and may invalidate the model results.</t>
  </si>
  <si>
    <t>Electrical Equipment</t>
  </si>
  <si>
    <t>TCPU</t>
  </si>
  <si>
    <t>Wholesale Trade</t>
  </si>
  <si>
    <t>Retail Trade</t>
  </si>
  <si>
    <t>FIRE</t>
  </si>
  <si>
    <t>Misc. Services</t>
  </si>
  <si>
    <t>Professional Services</t>
  </si>
  <si>
    <t>To view the data and formulas simply scroll over to the adjacent columns to the right.</t>
  </si>
  <si>
    <t>Government</t>
  </si>
  <si>
    <t xml:space="preserve">  Jobs Indirect Multipliers</t>
  </si>
  <si>
    <t xml:space="preserve">  Jobs Induced Multipliers</t>
  </si>
  <si>
    <t>Earnings Per Million Dollars Change in Final Demand</t>
  </si>
  <si>
    <t>Earnings Direct Multipliers</t>
  </si>
  <si>
    <t xml:space="preserve">  Earnings Indirect Multipliers</t>
  </si>
  <si>
    <t xml:space="preserve">  Earnings Induced Multipliers</t>
  </si>
  <si>
    <t>Output Per Million Dollars Change in Final Demand</t>
  </si>
  <si>
    <t xml:space="preserve">  Output Direct Multipliers</t>
  </si>
  <si>
    <t xml:space="preserve">  Output Indirect Multipliers</t>
  </si>
  <si>
    <t xml:space="preserve">  Output Induced Multipliers</t>
  </si>
  <si>
    <t>State Specific Multipliers</t>
  </si>
  <si>
    <t>Direct</t>
  </si>
  <si>
    <t>Indirect</t>
  </si>
  <si>
    <t>Induced</t>
  </si>
  <si>
    <t>Total</t>
  </si>
  <si>
    <t>PCE</t>
  </si>
  <si>
    <t>ALABAMA</t>
  </si>
  <si>
    <t>ALASKA</t>
  </si>
  <si>
    <t xml:space="preserve">ARIZONA </t>
  </si>
  <si>
    <t>ARKANSAS</t>
  </si>
  <si>
    <t xml:space="preserve">CALIFORNIA </t>
  </si>
  <si>
    <t xml:space="preserve">COLORADO </t>
  </si>
  <si>
    <t>CONNECTICUT</t>
  </si>
  <si>
    <t>DELAWARE</t>
  </si>
  <si>
    <t>DISTRICT OF COLUMBIA</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</si>
  <si>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</si>
  <si>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</si>
  <si>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</si>
  <si>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</si>
  <si>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</si>
  <si>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</si>
  <si>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</si>
  <si>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</si>
  <si>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</si>
  <si>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</si>
  <si>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</si>
  <si>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</si>
  <si>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</si>
  <si>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</si>
  <si>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</si>
  <si>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</si>
  <si>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</si>
  <si>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</si>
  <si>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</si>
  <si>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</si>
  <si>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</si>
  <si>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</si>
  <si>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</si>
  <si>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</si>
  <si>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</si>
  <si>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</si>
  <si>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</si>
  <si>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</si>
  <si>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</si>
  <si>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</si>
  <si>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</si>
  <si>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</si>
  <si>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</si>
  <si>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</si>
  <si>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</si>
  <si>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</si>
  <si>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</si>
  <si>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 xml:space="preserve">VIRGINIA </t>
  </si>
  <si>
    <t>WASHINGTON</t>
  </si>
  <si>
    <t>WEST VIRGINIA</t>
  </si>
  <si>
    <t>WISCONSIN</t>
  </si>
  <si>
    <t>WYOMING</t>
  </si>
  <si>
    <t>Deflator</t>
  </si>
  <si>
    <t xml:space="preserve">Personal Consumption Expenditures </t>
  </si>
  <si>
    <t>Inflator</t>
  </si>
  <si>
    <t>MyCounty (name)</t>
  </si>
  <si>
    <t>MyRegion (includes)</t>
  </si>
  <si>
    <t xml:space="preserve">  Year of Multiplier Data</t>
  </si>
  <si>
    <t>Region of Analysis</t>
  </si>
  <si>
    <t xml:space="preserve">  Year of Construction $s</t>
  </si>
  <si>
    <t>Jobs and Economic Development Impact Model</t>
  </si>
  <si>
    <t>Frequently Asked Questions (FAQ)</t>
  </si>
  <si>
    <t>How do I know if I have the most current version of the JEDI model?</t>
  </si>
  <si>
    <t xml:space="preserve">I am interested in viewing and possibly editting internal formulas within the model, how do I access them?  </t>
  </si>
  <si>
    <t>How do I run a county or regional level analysis?</t>
  </si>
  <si>
    <t>Is there a mailing list I can get on to be notified by email when new versions of JEDI are released?</t>
  </si>
  <si>
    <t xml:space="preserve">Where can I get more information on input-output modeling and using the JEDI model?  </t>
  </si>
  <si>
    <t xml:space="preserve">can run the model with the macros enabled?  </t>
  </si>
  <si>
    <t>Is additional technical support available?</t>
  </si>
  <si>
    <t>How can I determine which version of the JEDI model I have?</t>
  </si>
  <si>
    <t xml:space="preserve">County level multipliers and personal consumption expenditure patterns are available from a number of sources.  Users familiar with IMPLAN or input-output modeling can </t>
  </si>
  <si>
    <t>purchase the raw county level data and derive the multipliers themselves, purchase them from someone familiar with input-output modeling, purchase them directly from</t>
  </si>
  <si>
    <t>does not contain county or regional level multipliers, thus users must obtain these and add them into the model. (See FAQ on obtaining county or regional level</t>
  </si>
  <si>
    <t>What does the "local share" refer to?</t>
  </si>
  <si>
    <t>The "local share" refers to the percentage of each expenditure that is actually spent locally (i.e., in the state, county or region being analyzed).  For example, if $1 million</t>
  </si>
  <si>
    <t>is going to be spent on construction materials and half ($500,000) of this total will be purchased from local suppliers, we say the "local share" is 50 percent.</t>
  </si>
  <si>
    <t>Since the "local share" is directly related to the availability of local businesses and services and their ability to meet the construction and annual operating demands</t>
  </si>
  <si>
    <t>Where can I get county or regional level data to add-in to the model to run a county or region specific analysis?</t>
  </si>
  <si>
    <t>How do I add in county or regional level multipliers and the personal consumption expenditure data?</t>
  </si>
  <si>
    <t xml:space="preserve">Adding-in county or regional level multipliers and personal consumtption expenditure data involves going to the "User Add-in Location" worksheet in this model and </t>
  </si>
  <si>
    <t>Personal Consumption Expenditures (PCE)</t>
  </si>
  <si>
    <t xml:space="preserve">of the project, it is important to have an accurate picture of these local resources.  This can be obtained in a number of ways: contacting experienced and knowlegeable </t>
  </si>
  <si>
    <t xml:space="preserve">When I open up the model I receive a security alert message stating "the macros in the file have been disabled," how do I change the security setting so I </t>
  </si>
  <si>
    <t xml:space="preserve">I want to make my analysis as accurate as possible, where can I get information to adjust the default "local share" values (in the ProjectData worksheet) </t>
  </si>
  <si>
    <t>for my state or county?</t>
  </si>
  <si>
    <t>persons in the area, contacting local business and contractor organizations and/or the local chamber of commerce, among others.</t>
  </si>
  <si>
    <t>2007$</t>
  </si>
  <si>
    <t>2008$</t>
  </si>
  <si>
    <t>IMPLAN (www.implan.com), or contact MRG &amp; Associates (mrgassociates@earthlink.net), the model developer.</t>
  </si>
  <si>
    <t xml:space="preserve">Jobs and Economic Development Impact (JEDI) Model </t>
  </si>
  <si>
    <t>2009$</t>
  </si>
  <si>
    <t>2010$</t>
  </si>
  <si>
    <t>What does the term "full-time equivalent for a period of one year" refer to in the jobs results?</t>
  </si>
  <si>
    <t xml:space="preserve">The term refers to a job that is held (and wages paid) for a period of one year.  This is based on 2,080 hours (52 weeks times 40 hours per week).  For example, if the </t>
  </si>
  <si>
    <t xml:space="preserve">actually employed and working full-time during that period will be greater since they will not be employed and working for an entire year.  In this example, there will be   </t>
  </si>
  <si>
    <t xml:space="preserve">analysis indicates there are 100 construction jobs, there will be the equivalent of 100 workers, working full-time, for the entire year.  If the construction period is two   </t>
  </si>
  <si>
    <t xml:space="preserve">years, the job impacts (100 jobs) are spread over the two year construction period.  In this example, there will be an average of 50 full-time jobs (100 jobs divided by 2    </t>
  </si>
  <si>
    <t xml:space="preserve">years) during each of the years.  Similarly, if the construction period is less than one year, for example, 9 months (75 percent of a full year), then the number of persons   </t>
  </si>
  <si>
    <t>an average of 133 full-time workers (100 jobs divided by .75 percent of the year) during the 9 month construction period.</t>
  </si>
  <si>
    <t/>
  </si>
  <si>
    <t>JEDI - Geothermal</t>
  </si>
  <si>
    <t>JEDI - GEOTHERMAL</t>
  </si>
  <si>
    <r>
      <t xml:space="preserve">                               Additional information is available by pointing to the red triangles located in cell corners and in the </t>
    </r>
    <r>
      <rPr>
        <b/>
        <i/>
        <sz val="10"/>
        <rFont val="Arial"/>
        <family val="2"/>
      </rPr>
      <t>FAQ</t>
    </r>
    <r>
      <rPr>
        <b/>
        <sz val="10"/>
        <rFont val="Arial"/>
        <family val="2"/>
      </rPr>
      <t xml:space="preserve"> tab.</t>
    </r>
  </si>
  <si>
    <t>Geothermal Plant Project Data</t>
  </si>
  <si>
    <t>Number of Exploration Wells</t>
  </si>
  <si>
    <t>Drilling Cost Curve (Simple Model - Select Low, Medium, High)</t>
  </si>
  <si>
    <t>Drilling Progress (Advanced Model - Select Easy, Medium, Hard)</t>
  </si>
  <si>
    <t>Select Model Analysis Type (Simple or Advanced)</t>
  </si>
  <si>
    <t>Percent of Plant Cost</t>
  </si>
  <si>
    <t xml:space="preserve">  Environmental Analysis</t>
  </si>
  <si>
    <t xml:space="preserve">  Environmental Impact Assessment</t>
  </si>
  <si>
    <t xml:space="preserve">  Transmission Line Permits</t>
  </si>
  <si>
    <t xml:space="preserve">  Land (Leasing, Acquisition)</t>
  </si>
  <si>
    <t xml:space="preserve">  Geologist</t>
  </si>
  <si>
    <t xml:space="preserve">  Geophysicist</t>
  </si>
  <si>
    <t xml:space="preserve">  Geochemist</t>
  </si>
  <si>
    <t xml:space="preserve">  Other Geo scientists</t>
  </si>
  <si>
    <t xml:space="preserve">  Field Crew</t>
  </si>
  <si>
    <t xml:space="preserve">  Management/Administrative</t>
  </si>
  <si>
    <t xml:space="preserve">  Exploration Equipment, Tests, Surveys</t>
  </si>
  <si>
    <t>Project Size - Nameplate Capacity (MW)</t>
  </si>
  <si>
    <r>
      <t xml:space="preserve">Resource Temperature </t>
    </r>
    <r>
      <rPr>
        <b/>
        <sz val="9"/>
        <color theme="1"/>
        <rFont val="Calibri"/>
        <family val="2"/>
        <scheme val="minor"/>
      </rPr>
      <t>(select Celsius or Farenheit)</t>
    </r>
  </si>
  <si>
    <r>
      <t xml:space="preserve">Resource Depth  </t>
    </r>
    <r>
      <rPr>
        <b/>
        <sz val="9"/>
        <color theme="1"/>
        <rFont val="Calibri"/>
        <family val="2"/>
        <scheme val="minor"/>
      </rPr>
      <t>(select meters or feet)</t>
    </r>
  </si>
  <si>
    <r>
      <t xml:space="preserve">Technology: </t>
    </r>
    <r>
      <rPr>
        <b/>
        <sz val="10"/>
        <color theme="1"/>
        <rFont val="Calibri"/>
        <family val="2"/>
        <scheme val="minor"/>
      </rPr>
      <t>(Hydrothermal or EGS)</t>
    </r>
  </si>
  <si>
    <t>Model Default Calculations based on User Inputs:</t>
  </si>
  <si>
    <t>Percent of Cost</t>
  </si>
  <si>
    <t>Local Share</t>
  </si>
  <si>
    <t>Hourly Rate</t>
  </si>
  <si>
    <t>LocalShare</t>
  </si>
  <si>
    <t>Direction Tools and Services</t>
  </si>
  <si>
    <t>Directional Engineer and Motorman</t>
  </si>
  <si>
    <t xml:space="preserve">INSTRUCTIONS:      Begin by entering Model Analysis Type (Simple or Advanced) and other Descriptive Data.  </t>
  </si>
  <si>
    <t xml:space="preserve">                               Only those cells with a white background can be changed.  </t>
  </si>
  <si>
    <t>Cost per Well</t>
  </si>
  <si>
    <t>Project Installed Cost</t>
  </si>
  <si>
    <t>Flash O&amp;M Labor</t>
  </si>
  <si>
    <t xml:space="preserve">  Field labor</t>
  </si>
  <si>
    <t xml:space="preserve">  Plant Labor</t>
  </si>
  <si>
    <t>Total Plant O&amp;M (Plant and Labor)</t>
  </si>
  <si>
    <t>Table 8. Employment cost Index for wages and salaries. BLS, Employment Cost Index, Historical Listing Current-dollar, March 2001-December 2010</t>
  </si>
  <si>
    <t>Not seasonally adjusted.</t>
  </si>
  <si>
    <t>Labor Cost Index - Construction, Extraction</t>
  </si>
  <si>
    <t>Labor Rates</t>
  </si>
  <si>
    <t xml:space="preserve">  Operators</t>
  </si>
  <si>
    <t xml:space="preserve">  Maintenance mechanic</t>
  </si>
  <si>
    <t xml:space="preserve">  Electrician</t>
  </si>
  <si>
    <t xml:space="preserve">  General Maintenance</t>
  </si>
  <si>
    <t xml:space="preserve">  Facility Manager/Plant Engineer</t>
  </si>
  <si>
    <t xml:space="preserve">  Operations Manager</t>
  </si>
  <si>
    <t xml:space="preserve">  Clerical</t>
  </si>
  <si>
    <t>MYCOUNTY</t>
  </si>
  <si>
    <t>MYREGION</t>
  </si>
  <si>
    <t xml:space="preserve">  Mud Engineer(s)</t>
  </si>
  <si>
    <t xml:space="preserve">  Drilling Fluids - Mud</t>
  </si>
  <si>
    <t xml:space="preserve">  Directional Engineer and Motorman</t>
  </si>
  <si>
    <t xml:space="preserve">  Direction Tools and Services</t>
  </si>
  <si>
    <t xml:space="preserve">  Drilling Engineering</t>
  </si>
  <si>
    <t xml:space="preserve">  Drill Rig Rate</t>
  </si>
  <si>
    <t xml:space="preserve">    Drill Hands - labor</t>
  </si>
  <si>
    <t xml:space="preserve">  Engineering - Design</t>
  </si>
  <si>
    <t xml:space="preserve">  Laborers</t>
  </si>
  <si>
    <t xml:space="preserve">  Mechanical</t>
  </si>
  <si>
    <t xml:space="preserve">  Electrical</t>
  </si>
  <si>
    <t xml:space="preserve">  Total</t>
  </si>
  <si>
    <t xml:space="preserve">  Turbines, Generators</t>
  </si>
  <si>
    <t xml:space="preserve">  Air Cooled Condenser</t>
  </si>
  <si>
    <t xml:space="preserve">  Well Field Pumps</t>
  </si>
  <si>
    <t xml:space="preserve">  Geothermal Fluid Heat Exchangers</t>
  </si>
  <si>
    <t xml:space="preserve">  Total Labor</t>
  </si>
  <si>
    <t xml:space="preserve">  Equipment</t>
  </si>
  <si>
    <t xml:space="preserve">  Services</t>
  </si>
  <si>
    <t xml:space="preserve">  Other</t>
  </si>
  <si>
    <t>Other Plant Costs</t>
  </si>
  <si>
    <t>Labor Costs</t>
  </si>
  <si>
    <t>Other Wellfield Costs</t>
  </si>
  <si>
    <t>Total Wellfield O&amp;M (Wellfield and Labor)</t>
  </si>
  <si>
    <t>Labor Index</t>
  </si>
  <si>
    <t>Avg. annual change (2008-2010)</t>
  </si>
  <si>
    <t>Contingency Cost</t>
  </si>
  <si>
    <t>W/Contingency</t>
  </si>
  <si>
    <t xml:space="preserve">Construction Costs Local Demand </t>
  </si>
  <si>
    <t>Dollars</t>
  </si>
  <si>
    <t>Demand</t>
  </si>
  <si>
    <t>Adj Demand</t>
  </si>
  <si>
    <t>Variable Costs</t>
  </si>
  <si>
    <t xml:space="preserve">     Direct Impacts</t>
  </si>
  <si>
    <t>Personnel</t>
  </si>
  <si>
    <t xml:space="preserve">  Field Salaries</t>
  </si>
  <si>
    <t xml:space="preserve">  Adminstrative</t>
  </si>
  <si>
    <t xml:space="preserve">  Manangement</t>
  </si>
  <si>
    <t xml:space="preserve">  Personnel Subtotal</t>
  </si>
  <si>
    <t xml:space="preserve">     Total Impacts (Direct, Indirect, Induced)</t>
  </si>
  <si>
    <t>Warranty/Maintenance Services</t>
  </si>
  <si>
    <t>Fixed Costs</t>
  </si>
  <si>
    <t xml:space="preserve">  Misc. Services</t>
  </si>
  <si>
    <t xml:space="preserve">  Misc. Materials</t>
  </si>
  <si>
    <t xml:space="preserve">  Fuel (gals)</t>
  </si>
  <si>
    <t xml:space="preserve">  Tools and Misc. Supplies</t>
  </si>
  <si>
    <t xml:space="preserve">  Spare Parts Inventory</t>
  </si>
  <si>
    <t>Inflator to</t>
  </si>
  <si>
    <t>Subtotal</t>
  </si>
  <si>
    <t>Average</t>
  </si>
  <si>
    <t>Margins</t>
  </si>
  <si>
    <t>Other Manufacturing</t>
  </si>
  <si>
    <t>Other Services</t>
  </si>
  <si>
    <t>Annual Operations and Maintenance Costs Local Demand - margined</t>
  </si>
  <si>
    <t>Payroll Parameters</t>
  </si>
  <si>
    <t>Base Wage per Hour</t>
  </si>
  <si>
    <t>Annual Wage</t>
  </si>
  <si>
    <t>Employer Payroll Costs</t>
  </si>
  <si>
    <t>PCE -Equity</t>
  </si>
  <si>
    <t>Adj Demand - Million</t>
  </si>
  <si>
    <t xml:space="preserve">  Construction Labor</t>
  </si>
  <si>
    <t>To Individuals</t>
  </si>
  <si>
    <t>w/o Plant Empl</t>
  </si>
  <si>
    <t xml:space="preserve">  O&amp;M Labor</t>
  </si>
  <si>
    <t xml:space="preserve">  Field Salaries (technicians, other)</t>
  </si>
  <si>
    <t xml:space="preserve">  Administrative</t>
  </si>
  <si>
    <t xml:space="preserve">  Management</t>
  </si>
  <si>
    <t>Plant Employees</t>
  </si>
  <si>
    <t xml:space="preserve">Earnings - Gross </t>
  </si>
  <si>
    <t>Employee - (SSI, Medicare, etc.)</t>
  </si>
  <si>
    <t xml:space="preserve">Inflate to </t>
  </si>
  <si>
    <t>Other benefits</t>
  </si>
  <si>
    <t>Without Plant Employees</t>
  </si>
  <si>
    <t>Earnings (minus taxes, benefits, etc)</t>
  </si>
  <si>
    <t>With Plant Employees</t>
  </si>
  <si>
    <t>Plant Employees Only</t>
  </si>
  <si>
    <t>Plant Employee Spending</t>
  </si>
  <si>
    <t xml:space="preserve">PCE </t>
  </si>
  <si>
    <t>Plant Emp</t>
  </si>
  <si>
    <t>Annual O&amp;M Costs Local Demand</t>
  </si>
  <si>
    <t>Construction Costs Local Demand</t>
  </si>
  <si>
    <t>Default</t>
  </si>
  <si>
    <t>From DefaultData</t>
  </si>
  <si>
    <t>Debt - Loan Repayment Schedule</t>
  </si>
  <si>
    <t>Equity - Individual Investment Repayment Schedule</t>
  </si>
  <si>
    <t>Equity - Corporate Investment Repayment Schedule</t>
  </si>
  <si>
    <t>Interest Pmt</t>
  </si>
  <si>
    <t>Principal Pmt</t>
  </si>
  <si>
    <t>Total Pmt</t>
  </si>
  <si>
    <t>AvgAnn</t>
  </si>
  <si>
    <t>User Modified (from Project Data worksheet - based on loan parameters)</t>
  </si>
  <si>
    <t>User Modified (from Project Data worksheet - based on equity investment parameters)</t>
  </si>
  <si>
    <t>Loan Repayment Schedule</t>
  </si>
  <si>
    <t>3.  Stimulation Costs</t>
  </si>
  <si>
    <t>3.  Well Stimulation</t>
  </si>
  <si>
    <t xml:space="preserve">                               Once Descriptive Data is complete, if Simple Analysis is choosen, go to Summary Results, if Advanced Analysis</t>
  </si>
  <si>
    <t xml:space="preserve">     Turbine and Supply Chain Impacts</t>
  </si>
  <si>
    <t xml:space="preserve">       Other Onsite Construction Related Services (engin. and other prof. Services)</t>
  </si>
  <si>
    <t>Simple</t>
  </si>
  <si>
    <t>Cement and Casing</t>
  </si>
  <si>
    <t>Labor Percentage</t>
  </si>
  <si>
    <t xml:space="preserve">Binary O&amp;M </t>
  </si>
  <si>
    <t>Labor multiplier (employer costs and overhead)</t>
  </si>
  <si>
    <t>table -4B</t>
  </si>
  <si>
    <t>table -5B</t>
  </si>
  <si>
    <t>Index to 2004</t>
  </si>
  <si>
    <t>Model Base Wage Costs - Year</t>
  </si>
  <si>
    <t>$/hr (adj rate)</t>
  </si>
  <si>
    <t>O&amp;M Labor</t>
  </si>
  <si>
    <t>$/hr (adj rates)</t>
  </si>
  <si>
    <t>Select Model Analysis Type</t>
  </si>
  <si>
    <t>Advanced (User Reviewed and/or Revised)</t>
  </si>
  <si>
    <t>labor percent of total</t>
  </si>
  <si>
    <t>Other Input Parameters</t>
  </si>
  <si>
    <t xml:space="preserve">                               Choosing "Advanced" allows user to review and edit detailed cost data and inputs.</t>
  </si>
  <si>
    <t xml:space="preserve">                               Choosing "Simple" Analysis indicates use of Model defaults, no review or editting of detailed cost data and inputs.</t>
  </si>
  <si>
    <t xml:space="preserve">                                    is choosen, cursor down to review/edit detailed cost data and inputs below.</t>
  </si>
  <si>
    <t>Total Wellfield O&amp;M</t>
  </si>
  <si>
    <t>Materials</t>
  </si>
  <si>
    <t>Services</t>
  </si>
  <si>
    <t>Services/Other Overhead</t>
  </si>
  <si>
    <t>Contingency</t>
  </si>
  <si>
    <t>Material and services split</t>
  </si>
  <si>
    <t>Stimulation Costs</t>
  </si>
  <si>
    <t>Wage Per Hour</t>
  </si>
  <si>
    <t xml:space="preserve">  Average wage per hour</t>
  </si>
  <si>
    <t xml:space="preserve"> Total Daily Rate</t>
  </si>
  <si>
    <t xml:space="preserve">  Hours worked per day per drill hand</t>
  </si>
  <si>
    <t xml:space="preserve">  Work shifts per day</t>
  </si>
  <si>
    <t xml:space="preserve">  Drill Hands per shift</t>
  </si>
  <si>
    <t>Associated Variable Costs:</t>
  </si>
  <si>
    <t>Reservoir Engineer (per day)</t>
  </si>
  <si>
    <t xml:space="preserve">Geologist </t>
  </si>
  <si>
    <t>Geophysicist (day)</t>
  </si>
  <si>
    <t>Drill Rig (EGS)</t>
  </si>
  <si>
    <t>Material (proppant, water)</t>
  </si>
  <si>
    <t>Associated Fixed Costs:</t>
  </si>
  <si>
    <t>Injection Testing</t>
  </si>
  <si>
    <t>Mobilization/Demobilization</t>
  </si>
  <si>
    <t>Downhole Logging</t>
  </si>
  <si>
    <t>SubTotal</t>
  </si>
  <si>
    <t>Water (rate per/Kgallons)</t>
  </si>
  <si>
    <t>Gallons of Water per day</t>
  </si>
  <si>
    <t>Cost per Day</t>
  </si>
  <si>
    <t>Water</t>
  </si>
  <si>
    <t xml:space="preserve"> Drill Hands - labor</t>
  </si>
  <si>
    <t>Materials (proppant, water)</t>
  </si>
  <si>
    <t>Days (per cost)</t>
  </si>
  <si>
    <t>Cost allocation (Materials &amp; Other)</t>
  </si>
  <si>
    <t>Serv</t>
  </si>
  <si>
    <t>Mat</t>
  </si>
  <si>
    <t>ConServ</t>
  </si>
  <si>
    <t>ProServ</t>
  </si>
  <si>
    <t>Mfg</t>
  </si>
  <si>
    <t>Equip</t>
  </si>
  <si>
    <t>Sourced from GETEM</t>
  </si>
  <si>
    <t xml:space="preserve">  O&amp;M 2004 rates sheet 2F</t>
  </si>
  <si>
    <t>Drill Rig</t>
  </si>
  <si>
    <t>Reservoir Engineer</t>
  </si>
  <si>
    <t>Drilling Fluids - Mud</t>
  </si>
  <si>
    <t>Millions of  dollars</t>
  </si>
  <si>
    <t>O &amp; M Labor multiplier</t>
  </si>
  <si>
    <t>Year of data</t>
  </si>
  <si>
    <t>All workers (hours per year)</t>
  </si>
  <si>
    <t>Power Plant Labor (percent of Plant cost)</t>
  </si>
  <si>
    <t>Total hours per year (365 days)</t>
  </si>
  <si>
    <t>Plant O&amp;M Equipment Cost (percent of Plant cost)</t>
  </si>
  <si>
    <t>Contingency Rate (percent of all costs)</t>
  </si>
  <si>
    <t>Well Stimulation</t>
  </si>
  <si>
    <t>Production Drilling</t>
  </si>
  <si>
    <t xml:space="preserve">Exploration  Drilling </t>
  </si>
  <si>
    <t xml:space="preserve">  Subtotal Labor</t>
  </si>
  <si>
    <t>Total Installed Project Cost</t>
  </si>
  <si>
    <t>Total Installed Plant Cost</t>
  </si>
  <si>
    <t>Project Cost</t>
  </si>
  <si>
    <t>Other</t>
  </si>
  <si>
    <t>ConJob</t>
  </si>
  <si>
    <t>ProServJob</t>
  </si>
  <si>
    <t>Stimulation Days</t>
  </si>
  <si>
    <t xml:space="preserve"> Power Plant Labor</t>
  </si>
  <si>
    <t xml:space="preserve"> Binary Plant Equipment</t>
  </si>
  <si>
    <t xml:space="preserve">Turbines, Generators </t>
  </si>
  <si>
    <t>Air Cooled Condenser</t>
  </si>
  <si>
    <t>Well Field Pumps</t>
  </si>
  <si>
    <t>Geothermal Fluid Heat Exchangers</t>
  </si>
  <si>
    <t xml:space="preserve"> Flash Plant Equipment</t>
  </si>
  <si>
    <t>Power Plant Labor</t>
  </si>
  <si>
    <t>$/hr</t>
  </si>
  <si>
    <t>Exploration and Production Drilling</t>
  </si>
  <si>
    <t>w/Labor Multiplier</t>
  </si>
  <si>
    <t>Drilling and Construction Labor multiplier</t>
  </si>
  <si>
    <t xml:space="preserve">       Onsite Construction Labor Only</t>
  </si>
  <si>
    <t xml:space="preserve">       Onsite Plant and Wellfield Labor Only (operatiors, field techs, admin., mgmt.)</t>
  </si>
  <si>
    <t xml:space="preserve">     Supply Chain Impacts</t>
  </si>
  <si>
    <t>Money Value (Dollar Year)</t>
  </si>
  <si>
    <t>Installed Project Cost</t>
  </si>
  <si>
    <t xml:space="preserve">  Local Spending</t>
  </si>
  <si>
    <t>Total Annual Operational Expenses</t>
  </si>
  <si>
    <t xml:space="preserve">  Direct Operating and Maintenance Costs</t>
  </si>
  <si>
    <t xml:space="preserve">    Local Spending</t>
  </si>
  <si>
    <t xml:space="preserve">  Other Annual Costs</t>
  </si>
  <si>
    <t xml:space="preserve">      Debt and Equity Payments </t>
  </si>
  <si>
    <t xml:space="preserve">      Property Taxes</t>
  </si>
  <si>
    <t xml:space="preserve">      Land Lease</t>
  </si>
  <si>
    <t>Local Economic Impacts - Summary Results</t>
  </si>
  <si>
    <t xml:space="preserve">     Project Development and Onsite Labor Impacts</t>
  </si>
  <si>
    <t xml:space="preserve">     Onsite Labor Impacts</t>
  </si>
  <si>
    <t xml:space="preserve">     Local Revenue and Supply Chain Impacts</t>
  </si>
  <si>
    <t>Debt Payment (average annual)</t>
  </si>
  <si>
    <t>Equity Payment - Individuals</t>
  </si>
  <si>
    <t>Equity Payment - Corporate</t>
  </si>
  <si>
    <t>Property Taxes</t>
  </si>
  <si>
    <t>Land Lease</t>
  </si>
  <si>
    <t>Total Annual Operating and Maintenance Costs</t>
  </si>
  <si>
    <t>Financial Parameters</t>
  </si>
  <si>
    <t xml:space="preserve">  Debt Financing</t>
  </si>
  <si>
    <t xml:space="preserve">  Percentage financed</t>
  </si>
  <si>
    <t xml:space="preserve">  Years financed (term)</t>
  </si>
  <si>
    <t xml:space="preserve">  Interest rate</t>
  </si>
  <si>
    <t xml:space="preserve">  Equity Financing</t>
  </si>
  <si>
    <t xml:space="preserve">  Percentage equity</t>
  </si>
  <si>
    <t xml:space="preserve">  Individual Investors (percent of total equity)</t>
  </si>
  <si>
    <t xml:space="preserve">  Corporate Investors (percent of total equity)</t>
  </si>
  <si>
    <t xml:space="preserve">  Return on equity (annual interest rate)</t>
  </si>
  <si>
    <t xml:space="preserve">  Repayment term (years)</t>
  </si>
  <si>
    <t>Tax Parameters</t>
  </si>
  <si>
    <t xml:space="preserve">  Local Property/Other Tax Rate (percent of taxable value)</t>
  </si>
  <si>
    <t xml:space="preserve">  Assessed value  (percent of construction cost)</t>
  </si>
  <si>
    <t xml:space="preserve">  Taxable Value (percent of assessed value)</t>
  </si>
  <si>
    <t xml:space="preserve">  Taxable Value</t>
  </si>
  <si>
    <t xml:space="preserve">  Local Taxes</t>
  </si>
  <si>
    <t>Land Lease Parameters</t>
  </si>
  <si>
    <t xml:space="preserve">       Construction Labor</t>
  </si>
  <si>
    <t xml:space="preserve">     Construction Related Services</t>
  </si>
  <si>
    <t>Detailed Geothermal Project Data Costs</t>
  </si>
  <si>
    <t>Plant Annual Operating and Maintenance Costs</t>
  </si>
  <si>
    <t>management.  Economic impacts "During operating years" represent impacts that occur from plant and wellfield operations/expenditures.</t>
  </si>
  <si>
    <t>The analysis does not include impacts associated with spending of plant "profits" and assumes no tax abatement unless noted.</t>
  </si>
  <si>
    <t>Number of Production Wells</t>
  </si>
  <si>
    <t>Number of Injection Wells</t>
  </si>
  <si>
    <t>Nameplate Capacity (MW)</t>
  </si>
  <si>
    <t xml:space="preserve">  Field and Plant</t>
  </si>
  <si>
    <t>Construction Period (months)</t>
  </si>
  <si>
    <t>Direction Tools and Services (% of directional services)</t>
  </si>
  <si>
    <t>Rate per Day</t>
  </si>
  <si>
    <t xml:space="preserve">  Average Annual Payment (Interest and Principal)</t>
  </si>
  <si>
    <t>Financing (debt payment)</t>
  </si>
  <si>
    <t>Total (without debt, equity, taxes, lease pmts)</t>
  </si>
  <si>
    <t>Total cost per KW</t>
  </si>
  <si>
    <t>Debt Pmt - Local share Avg Ann Interest</t>
  </si>
  <si>
    <t>Equity Pmt - Individual Share Avg Ann Interest</t>
  </si>
  <si>
    <t>Equity Pmt - Corporate Share Avg Ann Interest</t>
  </si>
  <si>
    <t>Y</t>
  </si>
  <si>
    <t>To House</t>
  </si>
  <si>
    <t>H</t>
  </si>
  <si>
    <t>Default Land Lease</t>
  </si>
  <si>
    <t>User Land Lease</t>
  </si>
  <si>
    <t>PCE-Land Lease</t>
  </si>
  <si>
    <t>To Farm/House</t>
  </si>
  <si>
    <t>User</t>
  </si>
  <si>
    <t>Total O&amp;M (without debt, equity, taxes, or lease pmts.)</t>
  </si>
  <si>
    <t>Plant O&amp;M Labor Input Parameters</t>
  </si>
  <si>
    <t>Technology</t>
  </si>
  <si>
    <t>Stimulation Labor/Service Rates</t>
  </si>
  <si>
    <t>Rate Per Day</t>
  </si>
  <si>
    <t xml:space="preserve"> Drill Hands Labor</t>
  </si>
  <si>
    <t>Water ($/Kgallons)</t>
  </si>
  <si>
    <t>Drill Rig Crew (Exploration, Production, and Stimulation Wells)</t>
  </si>
  <si>
    <t>Drill Hands - labor</t>
  </si>
  <si>
    <t>1. Power Plant Labor</t>
  </si>
  <si>
    <t>Outside Services (fully burdened)</t>
  </si>
  <si>
    <t>Exploration, Production, Stimulation and Construction Related Services/Labor Input Parameters</t>
  </si>
  <si>
    <t>Power Plant Labor Rates</t>
  </si>
  <si>
    <t>Development, Exploration and Production Labor Rates</t>
  </si>
  <si>
    <t>Economy of Scale</t>
  </si>
  <si>
    <t xml:space="preserve"> *50MW Nominal Plant cost $/kW 2010</t>
  </si>
  <si>
    <t>**5MW Nominal Plant cost $/kW 2010</t>
  </si>
  <si>
    <t>Nominal Plant Size (MW)</t>
  </si>
  <si>
    <t>**Scaled cost to Nominal Plant size ($/kW 2010)</t>
  </si>
  <si>
    <t>Plant Capital Cost ($/kW * nominal size)</t>
  </si>
  <si>
    <t xml:space="preserve">* Initial plant cost is calculated using the correlations for a 50MW facility defined in the GETEM technical appendix III p c-5.  See Binary Plant cost worksheet for equations. </t>
  </si>
  <si>
    <t>Scaling Factor</t>
  </si>
  <si>
    <t>Nominal Plant size</t>
  </si>
  <si>
    <t>% Discount from 5MW plant cost</t>
  </si>
  <si>
    <t>Scaled from a 50MW cost</t>
  </si>
  <si>
    <t>C= power plant capital cost ($/kWe net)</t>
  </si>
  <si>
    <t>T= power plant capacity (Mwe net)</t>
  </si>
  <si>
    <t>x = scaling component</t>
  </si>
  <si>
    <t xml:space="preserve"> *5MW Nominal Plant cost $/kW 2010</t>
  </si>
  <si>
    <t>2008 Dollars</t>
  </si>
  <si>
    <t>a = constant</t>
  </si>
  <si>
    <t>C</t>
  </si>
  <si>
    <t>T</t>
  </si>
  <si>
    <t>x</t>
  </si>
  <si>
    <t>a</t>
  </si>
  <si>
    <t>1991 Magma Cost power generation cost model  - Haraden</t>
  </si>
  <si>
    <t>d=depth</t>
  </si>
  <si>
    <t>P=Capacity</t>
  </si>
  <si>
    <t>P</t>
  </si>
  <si>
    <t>C/P ($/kW net)</t>
  </si>
  <si>
    <t>Scaled</t>
  </si>
  <si>
    <t>% Discount from 5MW Nominal Plant Cost</t>
  </si>
  <si>
    <t xml:space="preserve">  Land Lease (acres)</t>
  </si>
  <si>
    <t>Construction period (months)</t>
  </si>
  <si>
    <t>Avg ann</t>
  </si>
  <si>
    <t>Directional Services Daily Rate</t>
  </si>
  <si>
    <t>Directional Services Percent of Rotary Time</t>
  </si>
  <si>
    <t>Engineering - Design</t>
  </si>
  <si>
    <t xml:space="preserve">Percent of Power Plant Labor Total </t>
  </si>
  <si>
    <t>Hours per worker per day</t>
  </si>
  <si>
    <t>Workers per day</t>
  </si>
  <si>
    <t>Motorman and MWD</t>
  </si>
  <si>
    <t>MWD Op cost</t>
  </si>
  <si>
    <t>Motor Charge</t>
  </si>
  <si>
    <t>Per Day</t>
  </si>
  <si>
    <t>Public</t>
  </si>
  <si>
    <t>Household/Private</t>
  </si>
  <si>
    <t xml:space="preserve">  Lease Payment Recipient (H = household/private, P = Public)</t>
  </si>
  <si>
    <t xml:space="preserve">  Lease Payment Recipient (H = household, P = Public)</t>
  </si>
  <si>
    <t>To Public</t>
  </si>
  <si>
    <t xml:space="preserve">   Total Impacts</t>
  </si>
  <si>
    <t>2011$</t>
  </si>
  <si>
    <t>2012$</t>
  </si>
  <si>
    <t>2013$</t>
  </si>
  <si>
    <t>2014$</t>
  </si>
  <si>
    <t>2015$</t>
  </si>
  <si>
    <t>Average acreage</t>
  </si>
  <si>
    <t>Average Cost per acre (during production)</t>
  </si>
  <si>
    <t>Flash Plant - Power Plant Costs</t>
  </si>
  <si>
    <t>Binary Plant Equipment - not applicable</t>
  </si>
  <si>
    <t>Flash Plant Equipment</t>
  </si>
  <si>
    <t>Flash Plant O&amp;M Costs</t>
  </si>
  <si>
    <t>Local Share %</t>
  </si>
  <si>
    <t>Notes</t>
  </si>
  <si>
    <t>Applicable States</t>
  </si>
  <si>
    <t>CA, NV,UT, CO</t>
  </si>
  <si>
    <t>? - David Hurlbut</t>
  </si>
  <si>
    <t>?</t>
  </si>
  <si>
    <t>CA, CO,UT,NV, ID, OR, TX, NM</t>
  </si>
  <si>
    <t>CA, CO,UT,NV,  TX</t>
  </si>
  <si>
    <t>CA, CO,UT,NV,  TX, NM</t>
  </si>
  <si>
    <t>CA, TX</t>
  </si>
  <si>
    <t>CA, TX, CO</t>
  </si>
  <si>
    <t>CA, NV, ID , CO, UT</t>
  </si>
  <si>
    <t>All</t>
  </si>
  <si>
    <t>TX, NV, CA</t>
  </si>
  <si>
    <t>Field labor</t>
  </si>
  <si>
    <t>Annual Average Lease Cost (during production)</t>
  </si>
  <si>
    <t>Source: Average lease cost (during production) based on personal communication with Chris Johnson, NREL, Geothermal Energy Analyst, April 2011.</t>
  </si>
  <si>
    <t>Average acreage and initial cost (revenues) per acre based on aggregated BLM data for 2007-2010 Geothermal federal land lease sales.</t>
  </si>
  <si>
    <t xml:space="preserve">  Initial Land Lease/Acquisition Cost (per acre)</t>
  </si>
  <si>
    <t xml:space="preserve">  Initial Land Lease/Acquisition Cost (total cost before production)</t>
  </si>
  <si>
    <t xml:space="preserve">  Land Lease Cost (per acre per year during production)</t>
  </si>
  <si>
    <t xml:space="preserve">  Land Lease Cost (total cost per year during production)</t>
  </si>
  <si>
    <t>3000 meters</t>
  </si>
  <si>
    <t>Drilling Progress</t>
  </si>
  <si>
    <t>Hard</t>
  </si>
  <si>
    <t>Directional Engineer and Motorman (60% of rotary time)</t>
  </si>
  <si>
    <t>Direction Tools and Services (75% of directional services)</t>
  </si>
  <si>
    <t>% of cost</t>
  </si>
  <si>
    <t>Hrs per Day</t>
  </si>
  <si>
    <t>$/hr w LM</t>
  </si>
  <si>
    <t>Other overhead</t>
  </si>
  <si>
    <t>Employer Cost Multiplier</t>
  </si>
  <si>
    <t>Hours per Day</t>
  </si>
  <si>
    <t>Annual O&amp;M Cost ($/kW)</t>
  </si>
  <si>
    <t xml:space="preserve"> JEDI" on the left side of the page.  Once there, choose the "Jobs and Economic Development Impact (JEDI) Model" you wish to download.  Click on the link to initiate  </t>
  </si>
  <si>
    <t>the download.  (See also, getting on the JEDI mailing list, in FAQ.)</t>
  </si>
  <si>
    <t xml:space="preserve">The version (release number) of the model you are currently using is listed in the "About JEDI" worksheet contained in this model and is contained in the model's file </t>
  </si>
  <si>
    <t xml:space="preserve">name.  </t>
  </si>
  <si>
    <t>Yes.  Prior to downloading, all users are required to register with their contact information and accept our User Agreement.  You may elect to “Opt-In” and</t>
  </si>
  <si>
    <t xml:space="preserve"> be placed on the JEDI mailing list. </t>
  </si>
  <si>
    <t>To view and/or download JEDI related publications go to the National Renewable Energy Laboratory web site at http://www.nrel.gov/analysis/jedi/.  Click on "Interpreting</t>
  </si>
  <si>
    <t>Construction Year</t>
  </si>
  <si>
    <t>2010 PCCI  Multipler</t>
  </si>
  <si>
    <t>** Changing the flow rate to 50 kg/s will lower the nominal cost by approximately 5%, changing depth has very little impact.</t>
  </si>
  <si>
    <t xml:space="preserve">Brine Effectiveness </t>
  </si>
  <si>
    <t>Binary Plant Economies of Scale (GETEM Output)  200C @ 2000m  2008$</t>
  </si>
  <si>
    <t>GETEM Output 200C @2000m @70 kg/s - V1 _current model</t>
  </si>
  <si>
    <t>GETEM Output 240C @2000m @70 kg/s</t>
  </si>
  <si>
    <t>GETEM Output 200C @2000m @70kg/s</t>
  </si>
  <si>
    <t>$/kW (nominal) 2008$</t>
  </si>
  <si>
    <t>Economy of scale</t>
  </si>
  <si>
    <t>GETEM Nominal Plant Cost 2008$</t>
  </si>
  <si>
    <t>GETEM2010$</t>
  </si>
  <si>
    <t>Model Nominal Cost $2010</t>
  </si>
  <si>
    <t>%deviation</t>
  </si>
  <si>
    <t>Sum of squares</t>
  </si>
  <si>
    <t>Gross plant size</t>
  </si>
  <si>
    <t>**Scaled cost to Nominal Plant size ($/kW)</t>
  </si>
  <si>
    <t xml:space="preserve">** Plant costs are initially determined on a 50MW facility basis and scaled to plant size. An exponential relationship was employed to determine the correct economies of scale relationship.                               y= (Initial plant cost)* 0.9936*X^-0.46 where X is the Nominal plant size given by the user.  5MW plant costs are approximately 11. 17% more than for a 50MW facility.   The exponential relationship employed in determining the economy of scale starts with a 5MW facility and discounts on a $/kW basis to larger facilities. </t>
  </si>
  <si>
    <t>Binary Plant Economies of Scale (GETEM Output)  240C @ 2000m  2008$</t>
  </si>
  <si>
    <t>Coefficient</t>
  </si>
  <si>
    <t>Power</t>
  </si>
  <si>
    <t>200C  -V1 (Currently in model)</t>
  </si>
  <si>
    <t>Power factor used to assess discount  y = 0.9936x^-0.046</t>
  </si>
  <si>
    <t>Nominal Plant Cost $/kW</t>
  </si>
  <si>
    <t>.</t>
  </si>
  <si>
    <t>CERA Multiplier</t>
  </si>
  <si>
    <t>Economy of Scale Coefficients</t>
  </si>
  <si>
    <t>Temp Celcius</t>
  </si>
  <si>
    <t>2010 Multiplier</t>
  </si>
  <si>
    <t>Plant Cost Multiplier</t>
  </si>
  <si>
    <t>Sensitivity Analysis</t>
  </si>
  <si>
    <t>y= -0.000420508*x^3 + 0.40499*x^2 - 132.325*x + 16552.5</t>
  </si>
  <si>
    <r>
      <t>y = 6.50046E-07x</t>
    </r>
    <r>
      <rPr>
        <vertAlign val="superscript"/>
        <sz val="11"/>
        <color theme="1"/>
        <rFont val="Calibri"/>
        <family val="2"/>
        <scheme val="minor"/>
      </rPr>
      <t>4</t>
    </r>
    <r>
      <rPr>
        <sz val="11"/>
        <color theme="1"/>
        <rFont val="Calibri"/>
        <family val="2"/>
        <scheme val="minor"/>
      </rPr>
      <t xml:space="preserve"> - 9.75576E-04x</t>
    </r>
    <r>
      <rPr>
        <vertAlign val="superscript"/>
        <sz val="11"/>
        <color theme="1"/>
        <rFont val="Calibri"/>
        <family val="2"/>
        <scheme val="minor"/>
      </rPr>
      <t>3</t>
    </r>
    <r>
      <rPr>
        <sz val="11"/>
        <color theme="1"/>
        <rFont val="Calibri"/>
        <family val="2"/>
        <scheme val="minor"/>
      </rPr>
      <t xml:space="preserve"> + 5.46568E-01x</t>
    </r>
    <r>
      <rPr>
        <vertAlign val="superscript"/>
        <sz val="11"/>
        <color theme="1"/>
        <rFont val="Calibri"/>
        <family val="2"/>
        <scheme val="minor"/>
      </rPr>
      <t>2</t>
    </r>
    <r>
      <rPr>
        <sz val="11"/>
        <color theme="1"/>
        <rFont val="Calibri"/>
        <family val="2"/>
        <scheme val="minor"/>
      </rPr>
      <t xml:space="preserve"> - 1.36913E+02x + 1.42203E+04</t>
    </r>
  </si>
  <si>
    <t>y= 0.00000395233*x^4 - 0.00470295*x^3 + 2.10482*x^2 - 422.181*x+ 33242.3</t>
  </si>
  <si>
    <r>
      <t>y=2.58244E-06x</t>
    </r>
    <r>
      <rPr>
        <vertAlign val="superscript"/>
        <sz val="11"/>
        <color theme="1"/>
        <rFont val="Calibri"/>
        <family val="2"/>
        <scheme val="minor"/>
      </rPr>
      <t>4</t>
    </r>
    <r>
      <rPr>
        <sz val="11"/>
        <color theme="1"/>
        <rFont val="Calibri"/>
        <family val="2"/>
        <scheme val="minor"/>
      </rPr>
      <t xml:space="preserve"> - 3.30135E-03x</t>
    </r>
    <r>
      <rPr>
        <vertAlign val="superscript"/>
        <sz val="11"/>
        <color theme="1"/>
        <rFont val="Calibri"/>
        <family val="2"/>
        <scheme val="minor"/>
      </rPr>
      <t>3</t>
    </r>
    <r>
      <rPr>
        <sz val="11"/>
        <color theme="1"/>
        <rFont val="Calibri"/>
        <family val="2"/>
        <scheme val="minor"/>
      </rPr>
      <t xml:space="preserve"> + 1.58452E+00x</t>
    </r>
    <r>
      <rPr>
        <vertAlign val="superscript"/>
        <sz val="11"/>
        <color theme="1"/>
        <rFont val="Calibri"/>
        <family val="2"/>
        <scheme val="minor"/>
      </rPr>
      <t>2</t>
    </r>
    <r>
      <rPr>
        <sz val="11"/>
        <color theme="1"/>
        <rFont val="Calibri"/>
        <family val="2"/>
        <scheme val="minor"/>
      </rPr>
      <t xml:space="preserve"> - 3.39790E+02x + 2.84967E+04</t>
    </r>
  </si>
  <si>
    <r>
      <t>y = 9.94589E-07x</t>
    </r>
    <r>
      <rPr>
        <vertAlign val="superscript"/>
        <sz val="11"/>
        <color theme="1"/>
        <rFont val="Calibri"/>
        <family val="2"/>
        <scheme val="minor"/>
      </rPr>
      <t>4</t>
    </r>
    <r>
      <rPr>
        <sz val="11"/>
        <color theme="1"/>
        <rFont val="Calibri"/>
        <family val="2"/>
        <scheme val="minor"/>
      </rPr>
      <t xml:space="preserve"> - 1.59356E-03x</t>
    </r>
    <r>
      <rPr>
        <vertAlign val="superscript"/>
        <sz val="11"/>
        <color theme="1"/>
        <rFont val="Calibri"/>
        <family val="2"/>
        <scheme val="minor"/>
      </rPr>
      <t>3</t>
    </r>
    <r>
      <rPr>
        <sz val="11"/>
        <color theme="1"/>
        <rFont val="Calibri"/>
        <family val="2"/>
        <scheme val="minor"/>
      </rPr>
      <t xml:space="preserve"> + 9.10595E-01x</t>
    </r>
    <r>
      <rPr>
        <vertAlign val="superscript"/>
        <sz val="11"/>
        <color theme="1"/>
        <rFont val="Calibri"/>
        <family val="2"/>
        <scheme val="minor"/>
      </rPr>
      <t>2</t>
    </r>
    <r>
      <rPr>
        <sz val="11"/>
        <color theme="1"/>
        <rFont val="Calibri"/>
        <family val="2"/>
        <scheme val="minor"/>
      </rPr>
      <t xml:space="preserve"> - 2.24586E+02x + 2.12684E+04</t>
    </r>
  </si>
  <si>
    <t>2000m @ 70 kg/s</t>
  </si>
  <si>
    <t>GETEM Output 2010 Dollars - Nominal Power $/kW</t>
  </si>
  <si>
    <t>Scaled 5MW Model Comparison 2010 dollars $/kW</t>
  </si>
  <si>
    <t>Scaled 25MW Model Comparison 2010 dollars $/kW</t>
  </si>
  <si>
    <t>Scaled 50MW Model Comparison 2010 dollars $/kW</t>
  </si>
  <si>
    <t>Scaled 75MW Model Comparison 2010 dollars $/kW</t>
  </si>
  <si>
    <t>Scaled 100MW Model Comparison 2010 dollars $/kW</t>
  </si>
  <si>
    <t>Coefficients</t>
  </si>
  <si>
    <t>5 MWTemp Curve fit = -0.000420508*E14^3 + 0.40499*E14^2 - 132.325*E14 + 16552.5</t>
  </si>
  <si>
    <t>5MW-G</t>
  </si>
  <si>
    <t>25MW-G</t>
  </si>
  <si>
    <t>50MW -G</t>
  </si>
  <si>
    <t>75MW-G</t>
  </si>
  <si>
    <t>100MW-G</t>
  </si>
  <si>
    <t>5MW-5</t>
  </si>
  <si>
    <t>25MW-5</t>
  </si>
  <si>
    <t>50MW - 5</t>
  </si>
  <si>
    <t>75MW -5</t>
  </si>
  <si>
    <t>100MW -5</t>
  </si>
  <si>
    <t>5MW-25</t>
  </si>
  <si>
    <t>25MW-25</t>
  </si>
  <si>
    <t>50MW - 25</t>
  </si>
  <si>
    <t>75MW -25</t>
  </si>
  <si>
    <t>100MW -25</t>
  </si>
  <si>
    <t>5MW-50</t>
  </si>
  <si>
    <t>25MW-50</t>
  </si>
  <si>
    <t>50MW - 50</t>
  </si>
  <si>
    <t>75MW-50</t>
  </si>
  <si>
    <t>100MW-50</t>
  </si>
  <si>
    <t>5MW-75</t>
  </si>
  <si>
    <t>25MW-75</t>
  </si>
  <si>
    <t>50MW - 75</t>
  </si>
  <si>
    <t>75MW -75</t>
  </si>
  <si>
    <t>100MW -75</t>
  </si>
  <si>
    <t>5MW-100</t>
  </si>
  <si>
    <t>25MW-100</t>
  </si>
  <si>
    <t>50MW - 100</t>
  </si>
  <si>
    <t>75MW -100</t>
  </si>
  <si>
    <t>100MW -100</t>
  </si>
  <si>
    <t>^4</t>
  </si>
  <si>
    <t>^3</t>
  </si>
  <si>
    <t>^2</t>
  </si>
  <si>
    <t>^1</t>
  </si>
  <si>
    <t>1989 Report - Bloomster and Knutsen</t>
  </si>
  <si>
    <t>25MW Temp Curve fit = y = 6.50046E-07x4 - 9.75576E-04x3 + 5.46568E-01x2 - 1.36913E+02x + 1.42203E+04</t>
  </si>
  <si>
    <t>C = aT^x</t>
  </si>
  <si>
    <t xml:space="preserve"> *25MW Nominal Plant cost $/kW 2010</t>
  </si>
  <si>
    <t>50MW Temp Curve Fit =0.00000395233*E6^4 - 0.00470295*E6^3 + 2.10482*E6^2 - 422.181*E6 + 33242.3</t>
  </si>
  <si>
    <t>Model Standard Errors</t>
  </si>
  <si>
    <t>=(Model Predicted - Actual)/Actual</t>
  </si>
  <si>
    <t>Model % Deviation from GETEM values</t>
  </si>
  <si>
    <t>Deviation &gt;1%</t>
  </si>
  <si>
    <t>Model Coefficient Determination</t>
  </si>
  <si>
    <t>Coefficient 1 (^4)</t>
  </si>
  <si>
    <t>Coefficient 2 (^3)</t>
  </si>
  <si>
    <t>Coefficient 3 (^2)</t>
  </si>
  <si>
    <t>75MW Temp Curve fit = y=2.58244E-06x4 - 3.30135E-03x3 + 1.58452E+00x2 - 3.39790E+02x + 2.84967E+04</t>
  </si>
  <si>
    <t>Coefficient 4 (^1)</t>
  </si>
  <si>
    <t>Coefficient 5</t>
  </si>
  <si>
    <t xml:space="preserve"> *75MW Nominal Plant cost $/kW 2010</t>
  </si>
  <si>
    <t>2010 $</t>
  </si>
  <si>
    <t>Initial Cost</t>
  </si>
  <si>
    <t>Plant Size Multiplier</t>
  </si>
  <si>
    <t>5MW Cost</t>
  </si>
  <si>
    <t>Project Year $</t>
  </si>
  <si>
    <t>100 MW Temp Curve fit = y = 9.94589E-07x4 - 1.59356E-03x3 + 9.10595E-01x2 - 2.24586E+02x + 2.12684E+04</t>
  </si>
  <si>
    <t xml:space="preserve"> *100MW Nominal Plant cost $/kW 2010</t>
  </si>
  <si>
    <t>Squared residuals from GETM - 5MW scaled model</t>
  </si>
  <si>
    <t>Squared residuals from GETM - 25MW scaled model</t>
  </si>
  <si>
    <t>Squared residuals from GETM - 50MW scaled model</t>
  </si>
  <si>
    <t>Squared residuals from GETM - 75MW scaled model</t>
  </si>
  <si>
    <t>Squared residuals from GETM - 100MW scaled model</t>
  </si>
  <si>
    <t>5MW-1</t>
  </si>
  <si>
    <t>25MW-1</t>
  </si>
  <si>
    <t>50MW - 1</t>
  </si>
  <si>
    <t>75MW-1</t>
  </si>
  <si>
    <t>100MW-1</t>
  </si>
  <si>
    <t>Sum</t>
  </si>
  <si>
    <t>sum of squares</t>
  </si>
  <si>
    <t>GETEM Output 2008 Dollars - Nominal Power $/kW</t>
  </si>
  <si>
    <t>5MW</t>
  </si>
  <si>
    <t>100MW</t>
  </si>
  <si>
    <t xml:space="preserve">Temp </t>
  </si>
  <si>
    <t>Scaled from a 5MW facility - output from GETEM where 5MW would be considered the full cost</t>
  </si>
  <si>
    <t xml:space="preserve">Scaled from a 25 MW facility - </t>
  </si>
  <si>
    <t xml:space="preserve">Scaled from a 50 MW facility - </t>
  </si>
  <si>
    <t xml:space="preserve">Scaled from a 75 MW facility - </t>
  </si>
  <si>
    <t xml:space="preserve">Scaled from a 100 MW facility - </t>
  </si>
  <si>
    <t>Plant Cost - 5MW Scaled</t>
  </si>
  <si>
    <t>25 MW Scalar</t>
  </si>
  <si>
    <t>Plant Cost - 25MW Scaled</t>
  </si>
  <si>
    <t>50MW Scalar</t>
  </si>
  <si>
    <t>Plant Cost - 50MW Scaled</t>
  </si>
  <si>
    <t>75MW Scalar</t>
  </si>
  <si>
    <t>Plant Cost - 75MW Scaled</t>
  </si>
  <si>
    <t>100MW Scalar</t>
  </si>
  <si>
    <t>Plant Cost - 100MW Scaled</t>
  </si>
  <si>
    <t>Adjustment Factor (2008 = base year 1.00)</t>
  </si>
  <si>
    <t>2008 base year</t>
  </si>
  <si>
    <t>2010 base year</t>
  </si>
  <si>
    <t>** GETEM technical appendix III - p C-5</t>
  </si>
  <si>
    <t>10MW gross</t>
  </si>
  <si>
    <t>2004 Dollars</t>
  </si>
  <si>
    <t>Plant Cost $/kW) nominal</t>
  </si>
  <si>
    <t>Plant Cost $/kW gross</t>
  </si>
  <si>
    <t>% buffer = parasitic losses</t>
  </si>
  <si>
    <t xml:space="preserve">** 240C is the optimal temperature for minimizing plant size using this curve fit.  </t>
  </si>
  <si>
    <t>GETEM data tables built with Version 2009-A15 by Chris Johnson 6/14/11</t>
  </si>
  <si>
    <t>Net Power</t>
  </si>
  <si>
    <t>2000M @ 70 kg/s</t>
  </si>
  <si>
    <t>3000M @70kg/s</t>
  </si>
  <si>
    <t>5000M @70kg/s</t>
  </si>
  <si>
    <t>Gross Power</t>
  </si>
  <si>
    <t>Nominal Cost</t>
  </si>
  <si>
    <t>Gross Cost</t>
  </si>
  <si>
    <t>Grosss Power</t>
  </si>
  <si>
    <t>2000m @50 kg/s</t>
  </si>
  <si>
    <t>3000m @50kg/s</t>
  </si>
  <si>
    <t>5000m @ 50kg/s</t>
  </si>
  <si>
    <t>ARRA</t>
  </si>
  <si>
    <t>SAM  Gross Plant Size and Parasitic Loss Characterization - SAM V 2010.11.9</t>
  </si>
  <si>
    <t>Nominal Power (MW)</t>
  </si>
  <si>
    <t>Input Flow (kg/s)</t>
  </si>
  <si>
    <t>Input Temp (degree C)</t>
  </si>
  <si>
    <t>** Pump work or parasitic loss is calculated first with varying temperature.  This has the most variance due to the varying nature of thermal effeciency</t>
  </si>
  <si>
    <t>Input Depth (meters)</t>
  </si>
  <si>
    <t xml:space="preserve">and brine effectiveness with temperature.  Then a flow and depth correction are applied to the base case which has been set to 200C at 60 kg/s. </t>
  </si>
  <si>
    <t>Model Scalar Output</t>
  </si>
  <si>
    <t xml:space="preserve">Pump work added to the Net output will yield the Gross power  ( nameplate capacity )of the geothermal power plant.  </t>
  </si>
  <si>
    <t>Pump Work (MW)</t>
  </si>
  <si>
    <t>Gross Power (MW)</t>
  </si>
  <si>
    <t>SAM Output at 50 MW</t>
  </si>
  <si>
    <t>Vary</t>
  </si>
  <si>
    <t>Depth m</t>
  </si>
  <si>
    <t>Flow kg/s</t>
  </si>
  <si>
    <t>Fit</t>
  </si>
  <si>
    <t>Variation from 60 kg/s</t>
  </si>
  <si>
    <t>Variation from 2000m</t>
  </si>
  <si>
    <t>Model Validation</t>
  </si>
  <si>
    <t>Temp (degree C)</t>
  </si>
  <si>
    <t>Depth (m)</t>
  </si>
  <si>
    <t>Flow (kg/s)</t>
  </si>
  <si>
    <t>Nominal Power</t>
  </si>
  <si>
    <t>SAM Gross Power</t>
  </si>
  <si>
    <t>Model Gross Power</t>
  </si>
  <si>
    <t>Deviation</t>
  </si>
  <si>
    <t>Well flow (lb/hr)</t>
  </si>
  <si>
    <t>GETEM output data - used to derive equipment cost %'s</t>
  </si>
  <si>
    <t>Results" or "Publications" from the list on the left side of the page.</t>
  </si>
  <si>
    <t>** Used in Model</t>
  </si>
  <si>
    <t>GF Heat Exchanger</t>
  </si>
  <si>
    <t>WF Pumps</t>
  </si>
  <si>
    <t>Turbine-Generator</t>
  </si>
  <si>
    <t>% of total plant cost</t>
  </si>
  <si>
    <t>Binary Plant Equipment</t>
  </si>
  <si>
    <t xml:space="preserve">**Used in Model </t>
  </si>
  <si>
    <t xml:space="preserve">WF Pump </t>
  </si>
  <si>
    <t xml:space="preserve">Condenser </t>
  </si>
  <si>
    <t xml:space="preserve">Cooling Tower </t>
  </si>
  <si>
    <t xml:space="preserve">Turbine Generator </t>
  </si>
  <si>
    <t>Resource Temperature (degrees Celsius)</t>
  </si>
  <si>
    <t>Resource Depth (Meters)</t>
  </si>
  <si>
    <t>Notes:  Earnings and Output values are millions of dollars in year 2010 dollars.  Construction and operating jobs are full-</t>
  </si>
  <si>
    <t>Totals may not add up due to independent rounding.  Results are based on user defined Advanced analysis.</t>
  </si>
  <si>
    <t xml:space="preserve">When I make changes to the labor hourly wage rates it doesn't seem to change the total cost.  Why is this? </t>
  </si>
  <si>
    <t>The hourly wage rates are not used to derive the total costs, however they are used to calculate the number of hours and full-time equivalent number of workers employed.</t>
  </si>
  <si>
    <t>Therefore, if a user increases or decreases the hourly wage without a corresponding change in the total labor cost, the number of full-time workers reported in the results</t>
  </si>
  <si>
    <t>will increase or decrease relative to the default ratios.</t>
  </si>
  <si>
    <t>The JEDI model contains a large number of intermediate worksheets that are an integral part of the model analysis. These worksheets are not designed to be changed</t>
  </si>
  <si>
    <t>by users.  Most of these worksheets may be viewed by merely clicking on the respective worksheet and scrolling to the right. Although these sheets may be viewed</t>
  </si>
  <si>
    <t>hidden to protect proprietary data derived from IMPLAN (Minnesota Implan Group).</t>
  </si>
  <si>
    <t>The message you are receiving is related to the level of security you have chosen in your Excel™ set up.  To change the setting for opening files, click the Microsoft</t>
  </si>
  <si>
    <t>Office Button (on the top left of the toolbar), click on "Excel Options," then "Trust Center," then "Trust Center Settings," then "Macros Settings."  Reset the security level</t>
  </si>
  <si>
    <t xml:space="preserve"> to "Enable" or "Disable with notification."  The reset method may vary with different versions of Excel™.  Alternately, the model can be successfully run with the macros</t>
  </si>
  <si>
    <t>disabled.  If you choose this option, the print and save results buttons will not function.  Similarly, you will need to navigate using the worksheet tabs rather than buttons.</t>
  </si>
  <si>
    <t xml:space="preserve">Running a county or regional level analysis is similar to running a state level analysis, although there are two difference users must keep in mind.  The model </t>
  </si>
  <si>
    <t>multipliers and how to add in the data)  Second, to run a county or regional level analysis users must also enter the name of the county/region and the year of the</t>
  </si>
  <si>
    <t>multipliers in the User Add-in Location worksheet.  This data provides a reference for the model to automatically insert the multipliers into the analysis.</t>
  </si>
  <si>
    <t>cutting and pasting the data into their respective locations.  With the data installed it is also necessary to insert the county or region name and the year of the data.</t>
  </si>
  <si>
    <t xml:space="preserve">by users they are protected and can not be editted.  The model contains two additional worksheets: multipliers and household expenditures.  These worksheets are </t>
  </si>
  <si>
    <t xml:space="preserve">The most current version of the JEDI model is available on the National Renewable Energy Laboratory web site at http://www.nrel.gov/analysis/jedi/  Click on "Download   </t>
  </si>
  <si>
    <t>Fuel Transportation</t>
  </si>
  <si>
    <t xml:space="preserve">Camp </t>
  </si>
  <si>
    <t xml:space="preserve">  Drill Hands - labor</t>
  </si>
  <si>
    <t>Jobs (FTE)</t>
  </si>
  <si>
    <t xml:space="preserve">  Subtotal Other Wellfield Costs</t>
  </si>
  <si>
    <t xml:space="preserve">  Subtotal Other Plant Costs</t>
  </si>
  <si>
    <t xml:space="preserve">  Subtotal Labor Costs</t>
  </si>
  <si>
    <t xml:space="preserve">    Press both Restore Default Values buttons to remove all user revisions made above.</t>
  </si>
  <si>
    <t>Note: due to the large amount of data being restored, each restore button may take as much as 5-10 seconds to complete the process (depending upon the speed of the computer).</t>
  </si>
  <si>
    <t xml:space="preserve">time equivalent (FTE) for a period of one year (1 FTE = 2,080 hours).  Plant workers includes operators, field technicians, administration and </t>
  </si>
  <si>
    <t>Meters</t>
  </si>
  <si>
    <t>Exploration Well Cost Multiplier</t>
  </si>
  <si>
    <r>
      <t>Nominal Plant Size</t>
    </r>
    <r>
      <rPr>
        <b/>
        <sz val="9"/>
        <color theme="1"/>
        <rFont val="Calibri"/>
        <family val="2"/>
        <scheme val="minor"/>
      </rPr>
      <t xml:space="preserve"> (MW net output)</t>
    </r>
  </si>
  <si>
    <r>
      <t xml:space="preserve">Plant Type </t>
    </r>
    <r>
      <rPr>
        <b/>
        <sz val="9"/>
        <color theme="1"/>
        <rFont val="Calibri"/>
        <family val="2"/>
        <scheme val="minor"/>
      </rPr>
      <t>(Flash or Binary)</t>
    </r>
  </si>
  <si>
    <t>Production Well Flow Rate (kg/s)</t>
  </si>
  <si>
    <t>Stimulation Cost per Well</t>
  </si>
  <si>
    <r>
      <t xml:space="preserve">Drilling Cost Curve </t>
    </r>
    <r>
      <rPr>
        <b/>
        <sz val="9"/>
        <color theme="1"/>
        <rFont val="Calibri"/>
        <family val="2"/>
        <scheme val="minor"/>
      </rPr>
      <t>(Simple Model - Select Low, Medium, or High)</t>
    </r>
  </si>
  <si>
    <r>
      <t xml:space="preserve">Drilling Progress </t>
    </r>
    <r>
      <rPr>
        <b/>
        <sz val="9"/>
        <color theme="1"/>
        <rFont val="Calibri"/>
        <family val="2"/>
        <scheme val="minor"/>
      </rPr>
      <t>(Advanced Model - Select Easy, Medium, or Hard)</t>
    </r>
  </si>
  <si>
    <r>
      <t>Plant O&amp;M Equipment Cost (</t>
    </r>
    <r>
      <rPr>
        <b/>
        <sz val="9"/>
        <color theme="1"/>
        <rFont val="Calibri"/>
        <family val="2"/>
        <scheme val="minor"/>
      </rPr>
      <t>percent of Plant cost</t>
    </r>
    <r>
      <rPr>
        <b/>
        <sz val="11"/>
        <color theme="1"/>
        <rFont val="Calibri"/>
        <family val="2"/>
        <scheme val="minor"/>
      </rPr>
      <t>)</t>
    </r>
  </si>
  <si>
    <r>
      <t>Money Value (</t>
    </r>
    <r>
      <rPr>
        <b/>
        <sz val="9"/>
        <rFont val="Calibri"/>
        <family val="2"/>
        <scheme val="minor"/>
      </rPr>
      <t>Dollar Year</t>
    </r>
    <r>
      <rPr>
        <b/>
        <sz val="11"/>
        <rFont val="Calibri"/>
        <family val="2"/>
        <scheme val="minor"/>
      </rPr>
      <t xml:space="preserve">) </t>
    </r>
  </si>
  <si>
    <r>
      <t>Construction Period (</t>
    </r>
    <r>
      <rPr>
        <b/>
        <sz val="9"/>
        <color theme="1"/>
        <rFont val="Calibri"/>
        <family val="2"/>
        <scheme val="minor"/>
      </rPr>
      <t>months</t>
    </r>
    <r>
      <rPr>
        <b/>
        <sz val="11"/>
        <color theme="1"/>
        <rFont val="Calibri"/>
        <family val="2"/>
        <scheme val="minor"/>
      </rPr>
      <t>)</t>
    </r>
  </si>
  <si>
    <r>
      <t>Production Well Flow Rate (</t>
    </r>
    <r>
      <rPr>
        <b/>
        <sz val="9"/>
        <color theme="1"/>
        <rFont val="Calibri"/>
        <family val="2"/>
        <scheme val="minor"/>
      </rPr>
      <t>kg/s</t>
    </r>
    <r>
      <rPr>
        <b/>
        <sz val="11"/>
        <color theme="1"/>
        <rFont val="Calibri"/>
        <family val="2"/>
        <scheme val="minor"/>
      </rPr>
      <t>)</t>
    </r>
  </si>
  <si>
    <r>
      <t>Contingency (p</t>
    </r>
    <r>
      <rPr>
        <b/>
        <sz val="9"/>
        <color theme="1"/>
        <rFont val="Calibri"/>
        <family val="2"/>
        <scheme val="minor"/>
      </rPr>
      <t>ercent of all costs</t>
    </r>
    <r>
      <rPr>
        <b/>
        <sz val="11"/>
        <color theme="1"/>
        <rFont val="Calibri"/>
        <family val="2"/>
        <scheme val="minor"/>
      </rPr>
      <t>)</t>
    </r>
  </si>
  <si>
    <r>
      <t>Nominal Plant Size</t>
    </r>
    <r>
      <rPr>
        <b/>
        <sz val="9"/>
        <color theme="1"/>
        <rFont val="Calibri"/>
        <family val="2"/>
        <scheme val="minor"/>
      </rPr>
      <t xml:space="preserve"> </t>
    </r>
    <r>
      <rPr>
        <b/>
        <sz val="11"/>
        <color theme="1"/>
        <rFont val="Calibri"/>
        <family val="2"/>
        <scheme val="minor"/>
      </rPr>
      <t>(MW net output)</t>
    </r>
  </si>
  <si>
    <t>Well Flow (lb/hr)</t>
  </si>
  <si>
    <t>To use Default - choose cell w/value</t>
  </si>
  <si>
    <t>To input value - choose blank cell</t>
  </si>
  <si>
    <t>Hydrothermal</t>
  </si>
  <si>
    <t>Model Derived</t>
  </si>
  <si>
    <t>Celsius</t>
  </si>
  <si>
    <r>
      <t>Plant Size Scalar (</t>
    </r>
    <r>
      <rPr>
        <b/>
        <sz val="9"/>
        <color theme="1"/>
        <rFont val="Calibri"/>
        <family val="2"/>
        <scheme val="minor"/>
      </rPr>
      <t>select Model Derived or Input Value</t>
    </r>
    <r>
      <rPr>
        <b/>
        <sz val="11"/>
        <color theme="1"/>
        <rFont val="Calibri"/>
        <family val="2"/>
        <scheme val="minor"/>
      </rPr>
      <t>)</t>
    </r>
  </si>
  <si>
    <t>Advanced</t>
  </si>
  <si>
    <t xml:space="preserve">       Construction Related Services</t>
  </si>
  <si>
    <t>Jobs and Economic Development Impact Model (JEDI)</t>
  </si>
  <si>
    <t>Industry Souce (NREL Personal Communications, 2011)</t>
  </si>
  <si>
    <t>BLS (Bureau of Labor Statistics. 2010. "Labor Wages and Statistics." Retrieved November, 2010.)</t>
  </si>
  <si>
    <t>GETEM (Geothermal Electricity Technology Evaluation Model (GETEM). 2009. Department of Energy - Energy Efficiency and Renewable Energy. Http://www1eere.energy.gov/geothermal/geothermal_tools.html)</t>
  </si>
  <si>
    <t>United States</t>
  </si>
  <si>
    <t>Value Added Per Million Dollars Change in Final Demand</t>
  </si>
  <si>
    <t>      Value Added Direct Multipliers</t>
  </si>
  <si>
    <t>Fabricated    Metals</t>
  </si>
  <si>
    <t>Electrical    Equipment</t>
  </si>
  <si>
    <t>Wholesale    Trade</t>
  </si>
  <si>
    <t>Retail    Trade</t>
  </si>
  <si>
    <t>Misc.    Services</t>
  </si>
  <si>
    <t>Professional    Services</t>
  </si>
  <si>
    <t>      Value Added Indirect Multipliers</t>
  </si>
  <si>
    <t>      Value Added Induced Multipliers</t>
  </si>
  <si>
    <t>UNITED STATES</t>
  </si>
  <si>
    <t>Source:  IMPLAN™, using 2012 state data.</t>
  </si>
  <si>
    <t xml:space="preserve">  Value Added Direct Multipliers</t>
  </si>
  <si>
    <t xml:space="preserve">  Value Added Indirect Multipliers</t>
  </si>
  <si>
    <t xml:space="preserve">  Value Added Induced Multipliers</t>
  </si>
  <si>
    <t>Value Added</t>
  </si>
  <si>
    <t xml:space="preserve">Yes, technical support is available by contacting Chad Augustine, Geothermal Energy Engineer/Analyst at the National Renewable Energy Laboratory.  He can be </t>
  </si>
  <si>
    <t>reached at 303-384-7382 or by email at chad.augustine@nrel.gov.</t>
  </si>
  <si>
    <t>Source:  All values are averages for income classes between $25,000 and $100,000 and are derived from IMPLAN™ using 2014 state data.</t>
  </si>
  <si>
    <t>2016$</t>
  </si>
  <si>
    <t>2017$</t>
  </si>
  <si>
    <t>2018$</t>
  </si>
  <si>
    <t>2019$</t>
  </si>
  <si>
    <t>2020$</t>
  </si>
  <si>
    <t xml:space="preserve">Source:  Deflators and Inflators derived from data contained in the Budget of the United States Government: Table 10.1 - Gross Domestic Product and Deflators Used in the Historical Tables 1940-2021.  </t>
  </si>
  <si>
    <t>https://www.whitehouse.gov/omb/budget/Historicals</t>
  </si>
  <si>
    <t>Updated November 2016.  Deflators for 2016-2040 assume average annual inflation rate derived from 2013-2020 GDP values.</t>
  </si>
  <si>
    <t>Release Number: GT12.23.16</t>
  </si>
</sst>
</file>

<file path=xl/styles.xml><?xml version="1.0" encoding="utf-8"?>
<styleSheet xmlns="http://schemas.openxmlformats.org/spreadsheetml/2006/main" xmlns:mc="http://schemas.openxmlformats.org/markup-compatibility/2006" xmlns:x14ac="http://schemas.microsoft.com/office/spreadsheetml/2009/9/ac" mc:Ignorable="x14ac">
  <numFmts count="31">
    <numFmt numFmtId="43" formatCode="_-* #,##0.00_-;\-* #,##0.00_-;_-* &quot;-&quot;??_-;_-@_-"/>
    <numFmt numFmtId="164" formatCode="&quot;$&quot;#,##0_);\(&quot;$&quot;#,##0\)"/>
    <numFmt numFmtId="165" formatCode="&quot;$&quot;#,##0_);[Red]\(&quot;$&quot;#,##0\)"/>
    <numFmt numFmtId="166" formatCode="&quot;$&quot;#,##0.00_);\(&quot;$&quot;#,##0.00\)"/>
    <numFmt numFmtId="167" formatCode="_(&quot;$&quot;* #,##0.00_);_(&quot;$&quot;* \(#,##0.00\);_(&quot;$&quot;* &quot;-&quot;??_);_(@_)"/>
    <numFmt numFmtId="168" formatCode="_(* #,##0.00_);_(* \(#,##0.00\);_(* &quot;-&quot;??_);_(@_)"/>
    <numFmt numFmtId="169" formatCode="_(* #,##0_);_(* \(#,##0\);_(* &quot;-&quot;??_);_(@_)"/>
    <numFmt numFmtId="170" formatCode="0.000"/>
    <numFmt numFmtId="171" formatCode="#0.0"/>
    <numFmt numFmtId="172" formatCode="0.00000"/>
    <numFmt numFmtId="173" formatCode="0.0"/>
    <numFmt numFmtId="174" formatCode="0.0%"/>
    <numFmt numFmtId="175" formatCode="0.000000"/>
    <numFmt numFmtId="176" formatCode="0.0000000000"/>
    <numFmt numFmtId="177" formatCode="0.000000000000"/>
    <numFmt numFmtId="178" formatCode="0.0000000000000"/>
    <numFmt numFmtId="179" formatCode="&quot;$&quot;#,##0.00"/>
    <numFmt numFmtId="180" formatCode="&quot;$&quot;#,##0"/>
    <numFmt numFmtId="181" formatCode="#,##0.000"/>
    <numFmt numFmtId="182" formatCode="0.0000"/>
    <numFmt numFmtId="183" formatCode="&quot;$&quot;#,##0.0"/>
    <numFmt numFmtId="184" formatCode="&quot;$&quot;#,##0.000"/>
    <numFmt numFmtId="185" formatCode="#,##0.0"/>
    <numFmt numFmtId="186" formatCode="_(&quot;$&quot;* #,##0_);_(&quot;$&quot;* \(#,##0\);_(&quot;$&quot;* &quot;-&quot;??_);_(@_)"/>
    <numFmt numFmtId="187" formatCode="_(* #,##0.0000_);_(* \(#,##0.0000\);_(* &quot;-&quot;??_);_(@_)"/>
    <numFmt numFmtId="188" formatCode="&quot;$&quot;#,##0.0000"/>
    <numFmt numFmtId="189" formatCode="_(* #,##0.0_);_(* \(#,##0.0\);_(* &quot;-&quot;??_);_(@_)"/>
    <numFmt numFmtId="190" formatCode="0.0000000"/>
    <numFmt numFmtId="191" formatCode="0.00000E+00"/>
    <numFmt numFmtId="192" formatCode="0.000000E+00"/>
    <numFmt numFmtId="193" formatCode="0.0000E+00"/>
  </numFmts>
  <fonts count="99" x14ac:knownFonts="1">
    <font>
      <sz val="11"/>
      <color theme="1"/>
      <name val="Calibri"/>
      <family val="2"/>
      <scheme val="minor"/>
    </font>
    <font>
      <sz val="11"/>
      <color theme="1"/>
      <name val="Calibri"/>
      <family val="2"/>
      <scheme val="minor"/>
    </font>
    <font>
      <sz val="11"/>
      <color rgb="FF006100"/>
      <name val="Calibri"/>
      <family val="2"/>
      <scheme val="minor"/>
    </font>
    <font>
      <sz val="11"/>
      <color rgb="FF9C6500"/>
      <name val="Calibri"/>
      <family val="2"/>
      <scheme val="minor"/>
    </font>
    <font>
      <sz val="11"/>
      <color rgb="FF3F3F76"/>
      <name val="Calibri"/>
      <family val="2"/>
      <scheme val="minor"/>
    </font>
    <font>
      <sz val="11"/>
      <name val="Calibri"/>
      <family val="2"/>
      <scheme val="minor"/>
    </font>
    <font>
      <sz val="8"/>
      <color theme="1"/>
      <name val="Calibri"/>
      <family val="2"/>
    </font>
    <font>
      <sz val="9"/>
      <name val="Arial"/>
      <family val="2"/>
    </font>
    <font>
      <b/>
      <sz val="11"/>
      <color rgb="FFFA7D00"/>
      <name val="Calibri"/>
      <family val="2"/>
      <scheme val="minor"/>
    </font>
    <font>
      <b/>
      <sz val="11"/>
      <color theme="1"/>
      <name val="Calibri"/>
      <family val="2"/>
      <scheme val="minor"/>
    </font>
    <font>
      <sz val="10"/>
      <name val="Arial"/>
      <family val="2"/>
    </font>
    <font>
      <b/>
      <sz val="10"/>
      <name val="Arial"/>
      <family val="2"/>
    </font>
    <font>
      <b/>
      <sz val="10"/>
      <color indexed="8"/>
      <name val="Arial"/>
      <family val="2"/>
    </font>
    <font>
      <sz val="10"/>
      <color indexed="8"/>
      <name val="Arial"/>
      <family val="2"/>
    </font>
    <font>
      <sz val="8"/>
      <color indexed="26"/>
      <name val="Verdana"/>
      <family val="2"/>
    </font>
    <font>
      <sz val="10"/>
      <color indexed="26"/>
      <name val="Verdana"/>
      <family val="2"/>
    </font>
    <font>
      <sz val="8.5"/>
      <name val="Arial"/>
      <family val="2"/>
    </font>
    <font>
      <sz val="9"/>
      <color indexed="12"/>
      <name val="Arial"/>
      <family val="2"/>
    </font>
    <font>
      <b/>
      <sz val="12"/>
      <color indexed="8"/>
      <name val="Arial"/>
      <family val="2"/>
    </font>
    <font>
      <sz val="12"/>
      <name val="Arial"/>
      <family val="2"/>
    </font>
    <font>
      <b/>
      <sz val="11"/>
      <color rgb="FF3F3F3F"/>
      <name val="Calibri"/>
      <family val="2"/>
      <scheme val="minor"/>
    </font>
    <font>
      <b/>
      <i/>
      <sz val="11"/>
      <color theme="1"/>
      <name val="Calibri"/>
      <family val="2"/>
      <scheme val="minor"/>
    </font>
    <font>
      <b/>
      <sz val="8"/>
      <color indexed="81"/>
      <name val="Tahoma"/>
      <family val="2"/>
    </font>
    <font>
      <sz val="8"/>
      <color indexed="81"/>
      <name val="Tahoma"/>
      <family val="2"/>
    </font>
    <font>
      <b/>
      <sz val="14"/>
      <color theme="1"/>
      <name val="Calibri"/>
      <family val="2"/>
      <scheme val="minor"/>
    </font>
    <font>
      <b/>
      <sz val="16"/>
      <color theme="1"/>
      <name val="Calibri"/>
      <family val="2"/>
      <scheme val="minor"/>
    </font>
    <font>
      <b/>
      <sz val="12"/>
      <color theme="1"/>
      <name val="Calibri"/>
      <family val="2"/>
      <scheme val="minor"/>
    </font>
    <font>
      <sz val="11"/>
      <color theme="1"/>
      <name val="Calibri"/>
      <family val="2"/>
    </font>
    <font>
      <sz val="10"/>
      <name val="Verdana"/>
      <family val="2"/>
    </font>
    <font>
      <sz val="12"/>
      <color theme="1"/>
      <name val="Calibri"/>
      <family val="2"/>
      <scheme val="minor"/>
    </font>
    <font>
      <u/>
      <sz val="10"/>
      <color indexed="8"/>
      <name val="Arial"/>
      <family val="2"/>
    </font>
    <font>
      <sz val="11"/>
      <color indexed="8"/>
      <name val="Calibri"/>
      <family val="2"/>
    </font>
    <font>
      <sz val="8"/>
      <color indexed="8"/>
      <name val="Arial"/>
      <family val="2"/>
    </font>
    <font>
      <i/>
      <sz val="8"/>
      <color indexed="8"/>
      <name val="Arial"/>
      <family val="2"/>
    </font>
    <font>
      <i/>
      <sz val="11"/>
      <color theme="1"/>
      <name val="Calibri"/>
      <family val="2"/>
      <scheme val="minor"/>
    </font>
    <font>
      <b/>
      <sz val="10"/>
      <name val="Verdana"/>
      <family val="2"/>
    </font>
    <font>
      <b/>
      <i/>
      <sz val="10"/>
      <name val="Verdana"/>
      <family val="2"/>
    </font>
    <font>
      <b/>
      <i/>
      <sz val="18"/>
      <color theme="1"/>
      <name val="Calibri"/>
      <family val="2"/>
      <scheme val="minor"/>
    </font>
    <font>
      <b/>
      <i/>
      <sz val="14"/>
      <color theme="1"/>
      <name val="Calibri"/>
      <family val="2"/>
      <scheme val="minor"/>
    </font>
    <font>
      <b/>
      <sz val="14"/>
      <name val="Calibri"/>
      <family val="2"/>
      <scheme val="minor"/>
    </font>
    <font>
      <sz val="9"/>
      <name val="Arial"/>
      <family val="2"/>
    </font>
    <font>
      <sz val="11"/>
      <color rgb="FFFF0000"/>
      <name val="Calibri"/>
      <family val="2"/>
      <scheme val="minor"/>
    </font>
    <font>
      <sz val="11"/>
      <color rgb="FF0070C0"/>
      <name val="Calibri"/>
      <family val="2"/>
      <scheme val="minor"/>
    </font>
    <font>
      <sz val="10"/>
      <color theme="6" tint="-0.499984740745262"/>
      <name val="Arial"/>
      <family val="2"/>
    </font>
    <font>
      <sz val="10"/>
      <color theme="6" tint="-0.499984740745262"/>
      <name val="Verdana"/>
      <family val="2"/>
    </font>
    <font>
      <sz val="11"/>
      <color theme="6" tint="-0.499984740745262"/>
      <name val="Calibri"/>
      <family val="2"/>
      <scheme val="minor"/>
    </font>
    <font>
      <i/>
      <sz val="10"/>
      <name val="Verdana"/>
      <family val="2"/>
    </font>
    <font>
      <sz val="10"/>
      <color indexed="12"/>
      <name val="Arial"/>
      <family val="2"/>
    </font>
    <font>
      <sz val="10"/>
      <color indexed="10"/>
      <name val="Arial"/>
      <family val="2"/>
    </font>
    <font>
      <sz val="8"/>
      <name val="Arial"/>
      <family val="2"/>
    </font>
    <font>
      <sz val="10"/>
      <name val="Arial"/>
      <family val="2"/>
    </font>
    <font>
      <b/>
      <sz val="12"/>
      <name val="Arial"/>
      <family val="2"/>
    </font>
    <font>
      <b/>
      <sz val="9"/>
      <name val="Arial"/>
      <family val="2"/>
    </font>
    <font>
      <b/>
      <sz val="18"/>
      <color indexed="10"/>
      <name val="Arial"/>
      <family val="2"/>
    </font>
    <font>
      <b/>
      <sz val="12"/>
      <color indexed="10"/>
      <name val="Arial"/>
      <family val="2"/>
    </font>
    <font>
      <u/>
      <sz val="10"/>
      <color indexed="12"/>
      <name val="Arial"/>
      <family val="2"/>
    </font>
    <font>
      <sz val="10"/>
      <name val="Arial Unicode MS"/>
      <family val="2"/>
    </font>
    <font>
      <sz val="12"/>
      <name val="Times New Roman"/>
      <family val="1"/>
    </font>
    <font>
      <b/>
      <i/>
      <sz val="18"/>
      <name val="Arial"/>
      <family val="2"/>
    </font>
    <font>
      <b/>
      <sz val="16"/>
      <name val="Arial"/>
      <family val="2"/>
    </font>
    <font>
      <b/>
      <i/>
      <sz val="10"/>
      <name val="Arial"/>
      <family val="2"/>
    </font>
    <font>
      <i/>
      <sz val="10"/>
      <name val="Arial"/>
      <family val="2"/>
    </font>
    <font>
      <b/>
      <sz val="18"/>
      <name val="Arial"/>
      <family val="2"/>
    </font>
    <font>
      <b/>
      <sz val="14"/>
      <name val="Arial"/>
      <family val="2"/>
    </font>
    <font>
      <b/>
      <sz val="22"/>
      <color indexed="10"/>
      <name val="Arial"/>
      <family val="2"/>
    </font>
    <font>
      <b/>
      <sz val="48"/>
      <name val="Arial"/>
      <family val="2"/>
    </font>
    <font>
      <b/>
      <sz val="20"/>
      <name val="Arial"/>
      <family val="2"/>
    </font>
    <font>
      <sz val="11"/>
      <color rgb="FFFA7D00"/>
      <name val="Calibri"/>
      <family val="2"/>
      <scheme val="minor"/>
    </font>
    <font>
      <b/>
      <sz val="11"/>
      <name val="Calibri"/>
      <family val="2"/>
      <scheme val="minor"/>
    </font>
    <font>
      <b/>
      <sz val="11"/>
      <color rgb="FFFF0000"/>
      <name val="Calibri"/>
      <family val="2"/>
      <scheme val="minor"/>
    </font>
    <font>
      <b/>
      <sz val="9"/>
      <color theme="1"/>
      <name val="Calibri"/>
      <family val="2"/>
      <scheme val="minor"/>
    </font>
    <font>
      <b/>
      <sz val="10"/>
      <color theme="1"/>
      <name val="Calibri"/>
      <family val="2"/>
      <scheme val="minor"/>
    </font>
    <font>
      <b/>
      <sz val="11"/>
      <name val="Arial"/>
      <family val="2"/>
    </font>
    <font>
      <sz val="10"/>
      <name val="Arial Unicode MS"/>
      <family val="2"/>
    </font>
    <font>
      <sz val="10"/>
      <name val="Arial"/>
      <family val="2"/>
    </font>
    <font>
      <sz val="11"/>
      <color rgb="FF3F3F3F"/>
      <name val="Calibri"/>
      <family val="2"/>
      <scheme val="minor"/>
    </font>
    <font>
      <i/>
      <sz val="11"/>
      <name val="Calibri"/>
      <family val="2"/>
      <scheme val="minor"/>
    </font>
    <font>
      <b/>
      <sz val="10"/>
      <color indexed="10"/>
      <name val="Arial"/>
      <family val="2"/>
    </font>
    <font>
      <sz val="6"/>
      <name val="Arial"/>
      <family val="2"/>
    </font>
    <font>
      <sz val="11"/>
      <name val="Times New Roman"/>
      <family val="1"/>
    </font>
    <font>
      <u/>
      <sz val="11"/>
      <color indexed="12"/>
      <name val="Arial"/>
      <family val="2"/>
    </font>
    <font>
      <sz val="11"/>
      <name val="Arial"/>
      <family val="2"/>
    </font>
    <font>
      <b/>
      <sz val="10"/>
      <color theme="1"/>
      <name val="Arial"/>
      <family val="2"/>
    </font>
    <font>
      <b/>
      <sz val="12"/>
      <color theme="1"/>
      <name val="Arial"/>
      <family val="2"/>
    </font>
    <font>
      <vertAlign val="superscript"/>
      <sz val="11"/>
      <color theme="1"/>
      <name val="Calibri"/>
      <family val="2"/>
      <scheme val="minor"/>
    </font>
    <font>
      <b/>
      <i/>
      <sz val="11"/>
      <color rgb="FFFF0000"/>
      <name val="Calibri"/>
      <family val="2"/>
      <scheme val="minor"/>
    </font>
    <font>
      <b/>
      <i/>
      <sz val="8"/>
      <color indexed="81"/>
      <name val="Tahoma"/>
      <family val="2"/>
    </font>
    <font>
      <sz val="9"/>
      <name val="Calibri"/>
      <family val="2"/>
      <scheme val="minor"/>
    </font>
    <font>
      <sz val="11"/>
      <color indexed="12"/>
      <name val="Times New Roman"/>
      <family val="1"/>
    </font>
    <font>
      <sz val="11"/>
      <color theme="0"/>
      <name val="Calibri"/>
      <family val="2"/>
      <scheme val="minor"/>
    </font>
    <font>
      <b/>
      <sz val="9"/>
      <name val="Calibri"/>
      <family val="2"/>
      <scheme val="minor"/>
    </font>
    <font>
      <sz val="10"/>
      <color rgb="FF000000"/>
      <name val="Arial"/>
      <family val="2"/>
    </font>
    <font>
      <b/>
      <sz val="14"/>
      <color rgb="FF000000"/>
      <name val="Arial"/>
      <family val="2"/>
    </font>
    <font>
      <sz val="14"/>
      <color rgb="FF000000"/>
      <name val="Arial"/>
      <family val="2"/>
    </font>
    <font>
      <b/>
      <sz val="36"/>
      <color indexed="10"/>
      <name val="Arial"/>
      <family val="2"/>
    </font>
    <font>
      <b/>
      <sz val="10"/>
      <name val="Arial Unicode MS"/>
      <family val="2"/>
    </font>
    <font>
      <sz val="11"/>
      <color rgb="FF000000"/>
      <name val="Calibri"/>
      <family val="2"/>
    </font>
    <font>
      <b/>
      <sz val="11"/>
      <color theme="9" tint="-0.499984740745262"/>
      <name val="Calibri"/>
      <family val="2"/>
      <scheme val="minor"/>
    </font>
    <font>
      <sz val="10"/>
      <name val="Times New Roman"/>
      <family val="1"/>
    </font>
  </fonts>
  <fills count="29">
    <fill>
      <patternFill patternType="none"/>
    </fill>
    <fill>
      <patternFill patternType="gray125"/>
    </fill>
    <fill>
      <patternFill patternType="solid">
        <fgColor rgb="FFC6EFCE"/>
      </patternFill>
    </fill>
    <fill>
      <patternFill patternType="solid">
        <fgColor rgb="FFFFEB9C"/>
      </patternFill>
    </fill>
    <fill>
      <patternFill patternType="solid">
        <fgColor rgb="FFFFCC99"/>
      </patternFill>
    </fill>
    <fill>
      <patternFill patternType="solid">
        <fgColor theme="6"/>
      </patternFill>
    </fill>
    <fill>
      <patternFill patternType="solid">
        <fgColor theme="6" tint="0.79998168889431442"/>
        <bgColor indexed="65"/>
      </patternFill>
    </fill>
    <fill>
      <patternFill patternType="solid">
        <fgColor indexed="41"/>
        <bgColor indexed="64"/>
      </patternFill>
    </fill>
    <fill>
      <patternFill patternType="solid">
        <fgColor rgb="FFF2F2F2"/>
      </patternFill>
    </fill>
    <fill>
      <patternFill patternType="solid">
        <fgColor indexed="48"/>
        <bgColor indexed="64"/>
      </patternFill>
    </fill>
    <fill>
      <patternFill patternType="solid">
        <fgColor theme="1"/>
        <bgColor indexed="64"/>
      </patternFill>
    </fill>
    <fill>
      <patternFill patternType="solid">
        <fgColor rgb="FFFFFF00"/>
        <bgColor indexed="64"/>
      </patternFill>
    </fill>
    <fill>
      <patternFill patternType="solid">
        <fgColor rgb="FFFFFFCC"/>
      </patternFill>
    </fill>
    <fill>
      <patternFill patternType="solid">
        <fgColor rgb="FFFFC000"/>
        <bgColor indexed="64"/>
      </patternFill>
    </fill>
    <fill>
      <patternFill patternType="solid">
        <fgColor rgb="FF92D050"/>
        <bgColor indexed="64"/>
      </patternFill>
    </fill>
    <fill>
      <patternFill patternType="solid">
        <fgColor theme="4" tint="0.59999389629810485"/>
        <bgColor indexed="65"/>
      </patternFill>
    </fill>
    <fill>
      <patternFill patternType="solid">
        <fgColor theme="2"/>
        <bgColor indexed="64"/>
      </patternFill>
    </fill>
    <fill>
      <patternFill patternType="solid">
        <fgColor theme="0" tint="-0.249977111117893"/>
        <bgColor indexed="64"/>
      </patternFill>
    </fill>
    <fill>
      <patternFill patternType="solid">
        <fgColor indexed="13"/>
        <bgColor indexed="64"/>
      </patternFill>
    </fill>
    <fill>
      <patternFill patternType="solid">
        <fgColor indexed="35"/>
        <bgColor indexed="64"/>
      </patternFill>
    </fill>
    <fill>
      <patternFill patternType="solid">
        <fgColor indexed="15"/>
        <bgColor indexed="64"/>
      </patternFill>
    </fill>
    <fill>
      <patternFill patternType="solid">
        <fgColor indexed="46"/>
        <bgColor indexed="64"/>
      </patternFill>
    </fill>
    <fill>
      <patternFill patternType="solid">
        <fgColor rgb="FF00FFFF"/>
        <bgColor indexed="64"/>
      </patternFill>
    </fill>
    <fill>
      <patternFill patternType="solid">
        <fgColor theme="9" tint="0.59999389629810485"/>
        <bgColor indexed="64"/>
      </patternFill>
    </fill>
    <fill>
      <patternFill patternType="solid">
        <fgColor theme="0"/>
        <bgColor indexed="64"/>
      </patternFill>
    </fill>
    <fill>
      <patternFill patternType="solid">
        <fgColor theme="6" tint="0.39997558519241921"/>
        <bgColor indexed="64"/>
      </patternFill>
    </fill>
    <fill>
      <patternFill patternType="solid">
        <fgColor rgb="FFE0AAB2"/>
        <bgColor indexed="64"/>
      </patternFill>
    </fill>
    <fill>
      <patternFill patternType="solid">
        <fgColor theme="9" tint="0.39997558519241921"/>
        <bgColor indexed="64"/>
      </patternFill>
    </fill>
    <fill>
      <patternFill patternType="solid">
        <fgColor theme="9"/>
      </patternFill>
    </fill>
  </fills>
  <borders count="92">
    <border>
      <left/>
      <right/>
      <top/>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thin">
        <color indexed="64"/>
      </top>
      <bottom style="thin">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style="thin">
        <color rgb="FF7F7F7F"/>
      </left>
      <right style="thin">
        <color rgb="FF7F7F7F"/>
      </right>
      <top/>
      <bottom style="thin">
        <color rgb="FF7F7F7F"/>
      </bottom>
      <diagonal/>
    </border>
    <border>
      <left/>
      <right/>
      <top/>
      <bottom style="thick">
        <color indexed="8"/>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bottom style="thin">
        <color rgb="FF3F3F3F"/>
      </bottom>
      <diagonal/>
    </border>
    <border>
      <left style="thin">
        <color rgb="FFB2B2B2"/>
      </left>
      <right style="thin">
        <color indexed="64"/>
      </right>
      <top style="thin">
        <color indexed="64"/>
      </top>
      <bottom style="thin">
        <color indexed="64"/>
      </bottom>
      <diagonal/>
    </border>
    <border>
      <left style="thin">
        <color indexed="64"/>
      </left>
      <right style="thin">
        <color rgb="FFB2B2B2"/>
      </right>
      <top style="thin">
        <color indexed="64"/>
      </top>
      <bottom style="thin">
        <color indexed="64"/>
      </bottom>
      <diagonal/>
    </border>
    <border>
      <left style="thin">
        <color rgb="FF7F7F7F"/>
      </left>
      <right/>
      <top style="thin">
        <color rgb="FF7F7F7F"/>
      </top>
      <bottom style="thin">
        <color rgb="FF7F7F7F"/>
      </bottom>
      <diagonal/>
    </border>
    <border>
      <left style="thin">
        <color rgb="FF7F7F7F"/>
      </left>
      <right style="medium">
        <color indexed="64"/>
      </right>
      <top style="thin">
        <color rgb="FF7F7F7F"/>
      </top>
      <bottom style="medium">
        <color indexed="64"/>
      </bottom>
      <diagonal/>
    </border>
    <border>
      <left style="thin">
        <color rgb="FF7F7F7F"/>
      </left>
      <right style="medium">
        <color indexed="64"/>
      </right>
      <top style="thin">
        <color rgb="FF7F7F7F"/>
      </top>
      <bottom style="thin">
        <color rgb="FF7F7F7F"/>
      </bottom>
      <diagonal/>
    </border>
    <border>
      <left style="thin">
        <color rgb="FF3F3F3F"/>
      </left>
      <right style="medium">
        <color indexed="64"/>
      </right>
      <top style="thin">
        <color rgb="FF3F3F3F"/>
      </top>
      <bottom style="medium">
        <color indexed="64"/>
      </bottom>
      <diagonal/>
    </border>
    <border>
      <left style="thin">
        <color rgb="FFB2B2B2"/>
      </left>
      <right style="thin">
        <color rgb="FFB2B2B2"/>
      </right>
      <top style="thin">
        <color indexed="64"/>
      </top>
      <bottom style="thin">
        <color indexed="64"/>
      </bottom>
      <diagonal/>
    </border>
    <border>
      <left style="thin">
        <color rgb="FF7F7F7F"/>
      </left>
      <right/>
      <top/>
      <bottom/>
      <diagonal/>
    </border>
    <border>
      <left/>
      <right/>
      <top style="thin">
        <color indexed="64"/>
      </top>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
      <left style="thin">
        <color rgb="FFB2B2B2"/>
      </left>
      <right style="thin">
        <color rgb="FFB2B2B2"/>
      </right>
      <top/>
      <bottom style="thin">
        <color rgb="FFB2B2B2"/>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diagonal/>
    </border>
    <border>
      <left style="thin">
        <color rgb="FF7F7F7F"/>
      </left>
      <right style="medium">
        <color indexed="64"/>
      </right>
      <top/>
      <bottom style="thin">
        <color rgb="FF7F7F7F"/>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right style="thin">
        <color rgb="FF3F3F3F"/>
      </right>
      <top style="medium">
        <color indexed="64"/>
      </top>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rgb="FF7F7F7F"/>
      </left>
      <right style="thin">
        <color rgb="FF7F7F7F"/>
      </right>
      <top/>
      <bottom/>
      <diagonal/>
    </border>
    <border>
      <left style="thin">
        <color rgb="FFB2B2B2"/>
      </left>
      <right style="thin">
        <color rgb="FFB2B2B2"/>
      </right>
      <top style="thin">
        <color rgb="FFB2B2B2"/>
      </top>
      <bottom/>
      <diagonal/>
    </border>
    <border>
      <left style="thin">
        <color rgb="FF3F3F3F"/>
      </left>
      <right style="medium">
        <color indexed="64"/>
      </right>
      <top style="medium">
        <color indexed="64"/>
      </top>
      <bottom/>
      <diagonal/>
    </border>
    <border>
      <left style="thin">
        <color rgb="FF7F7F7F"/>
      </left>
      <right style="thin">
        <color rgb="FF7F7F7F"/>
      </right>
      <top style="thin">
        <color rgb="FF7F7F7F"/>
      </top>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right/>
      <top style="thin">
        <color rgb="FF7F7F7F"/>
      </top>
      <bottom style="medium">
        <color indexed="64"/>
      </bottom>
      <diagonal/>
    </border>
    <border>
      <left/>
      <right style="thin">
        <color rgb="FF3F3F3F"/>
      </right>
      <top style="thin">
        <color rgb="FF3F3F3F"/>
      </top>
      <bottom style="thin">
        <color rgb="FF3F3F3F"/>
      </bottom>
      <diagonal/>
    </border>
    <border>
      <left/>
      <right style="thin">
        <color rgb="FF7F7F7F"/>
      </right>
      <top style="thin">
        <color rgb="FF7F7F7F"/>
      </top>
      <bottom style="thin">
        <color rgb="FF7F7F7F"/>
      </bottom>
      <diagonal/>
    </border>
    <border>
      <left style="medium">
        <color indexed="64"/>
      </left>
      <right/>
      <top style="medium">
        <color indexed="64"/>
      </top>
      <bottom style="thin">
        <color rgb="FFB2B2B2"/>
      </bottom>
      <diagonal/>
    </border>
    <border>
      <left/>
      <right/>
      <top style="medium">
        <color indexed="64"/>
      </top>
      <bottom style="thin">
        <color rgb="FFB2B2B2"/>
      </bottom>
      <diagonal/>
    </border>
    <border>
      <left/>
      <right style="medium">
        <color indexed="64"/>
      </right>
      <top style="medium">
        <color indexed="64"/>
      </top>
      <bottom style="thin">
        <color rgb="FFB2B2B2"/>
      </bottom>
      <diagonal/>
    </border>
    <border>
      <left style="thin">
        <color rgb="FFB2B2B2"/>
      </left>
      <right/>
      <top style="thin">
        <color rgb="FFB2B2B2"/>
      </top>
      <bottom style="thin">
        <color rgb="FFB2B2B2"/>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thin">
        <color rgb="FF7F7F7F"/>
      </left>
      <right style="medium">
        <color indexed="64"/>
      </right>
      <top style="medium">
        <color indexed="64"/>
      </top>
      <bottom style="thin">
        <color rgb="FF7F7F7F"/>
      </bottom>
      <diagonal/>
    </border>
    <border>
      <left style="medium">
        <color indexed="64"/>
      </left>
      <right style="thin">
        <color rgb="FFB2B2B2"/>
      </right>
      <top style="thin">
        <color rgb="FFB2B2B2"/>
      </top>
      <bottom/>
      <diagonal/>
    </border>
    <border>
      <left style="thin">
        <color rgb="FF7F7F7F"/>
      </left>
      <right style="medium">
        <color indexed="64"/>
      </right>
      <top style="thin">
        <color rgb="FF7F7F7F"/>
      </top>
      <bottom/>
      <diagonal/>
    </border>
    <border>
      <left style="thin">
        <color indexed="64"/>
      </left>
      <right style="thin">
        <color rgb="FFB2B2B2"/>
      </right>
      <top style="thin">
        <color indexed="64"/>
      </top>
      <bottom style="thin">
        <color rgb="FFB2B2B2"/>
      </bottom>
      <diagonal/>
    </border>
    <border>
      <left style="thin">
        <color rgb="FFB2B2B2"/>
      </left>
      <right style="thin">
        <color rgb="FFB2B2B2"/>
      </right>
      <top style="thin">
        <color indexed="64"/>
      </top>
      <bottom style="thin">
        <color rgb="FFB2B2B2"/>
      </bottom>
      <diagonal/>
    </border>
    <border>
      <left style="thin">
        <color rgb="FFB2B2B2"/>
      </left>
      <right style="thin">
        <color indexed="64"/>
      </right>
      <top style="thin">
        <color indexed="64"/>
      </top>
      <bottom style="thin">
        <color rgb="FFB2B2B2"/>
      </bottom>
      <diagonal/>
    </border>
    <border>
      <left style="thin">
        <color rgb="FF7F7F7F"/>
      </left>
      <right style="thin">
        <color rgb="FF7F7F7F"/>
      </right>
      <top style="medium">
        <color indexed="64"/>
      </top>
      <bottom style="thin">
        <color rgb="FF7F7F7F"/>
      </bottom>
      <diagonal/>
    </border>
    <border>
      <left/>
      <right style="thin">
        <color rgb="FF7F7F7F"/>
      </right>
      <top/>
      <bottom/>
      <diagonal/>
    </border>
    <border>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medium">
        <color indexed="64"/>
      </bottom>
      <diagonal/>
    </border>
    <border>
      <left/>
      <right style="thin">
        <color theme="1" tint="0.499984740745262"/>
      </right>
      <top style="thin">
        <color theme="1" tint="0.499984740745262"/>
      </top>
      <bottom/>
      <diagonal/>
    </border>
    <border>
      <left style="thin">
        <color indexed="64"/>
      </left>
      <right style="thin">
        <color indexed="64"/>
      </right>
      <top/>
      <bottom/>
      <diagonal/>
    </border>
  </borders>
  <cellStyleXfs count="27">
    <xf numFmtId="0" fontId="0" fillId="0" borderId="0"/>
    <xf numFmtId="168"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 fillId="6" borderId="0" applyNumberFormat="0" applyBorder="0" applyAlignment="0" applyProtection="0"/>
    <xf numFmtId="167" fontId="1" fillId="0" borderId="0" applyFont="0" applyFill="0" applyBorder="0" applyAlignment="0" applyProtection="0"/>
    <xf numFmtId="9" fontId="1" fillId="0" borderId="0" applyFont="0" applyFill="0" applyBorder="0" applyAlignment="0" applyProtection="0"/>
    <xf numFmtId="0" fontId="8" fillId="8" borderId="1" applyNumberFormat="0" applyAlignment="0" applyProtection="0"/>
    <xf numFmtId="0" fontId="10" fillId="0" borderId="0"/>
    <xf numFmtId="167" fontId="10" fillId="0" borderId="0" applyFont="0" applyFill="0" applyBorder="0" applyAlignment="0" applyProtection="0"/>
    <xf numFmtId="43" fontId="13" fillId="0" borderId="0" applyFont="0" applyFill="0" applyBorder="0" applyAlignment="0" applyProtection="0">
      <alignment vertical="top"/>
    </xf>
    <xf numFmtId="0" fontId="20" fillId="8" borderId="36" applyNumberFormat="0" applyAlignment="0" applyProtection="0"/>
    <xf numFmtId="0" fontId="1" fillId="12" borderId="37" applyNumberFormat="0" applyFont="0" applyAlignment="0" applyProtection="0"/>
    <xf numFmtId="0" fontId="28" fillId="0" borderId="0"/>
    <xf numFmtId="9" fontId="31" fillId="0" borderId="0" applyFont="0" applyFill="0" applyBorder="0" applyAlignment="0" applyProtection="0"/>
    <xf numFmtId="0" fontId="1" fillId="15" borderId="0" applyNumberFormat="0" applyBorder="0" applyAlignment="0" applyProtection="0"/>
    <xf numFmtId="0" fontId="55" fillId="0" borderId="0" applyNumberFormat="0" applyFill="0" applyBorder="0" applyAlignment="0" applyProtection="0">
      <alignment vertical="top"/>
      <protection locked="0"/>
    </xf>
    <xf numFmtId="175" fontId="10" fillId="0" borderId="0">
      <alignment horizontal="left" wrapText="1"/>
    </xf>
    <xf numFmtId="175" fontId="10" fillId="0" borderId="0">
      <alignment horizontal="left" wrapText="1"/>
    </xf>
    <xf numFmtId="175" fontId="10" fillId="0" borderId="0">
      <alignment horizontal="left" wrapText="1"/>
    </xf>
    <xf numFmtId="175" fontId="10" fillId="0" borderId="0">
      <alignment horizontal="left" wrapText="1"/>
    </xf>
    <xf numFmtId="175" fontId="10" fillId="0" borderId="0">
      <alignment horizontal="left" wrapText="1"/>
    </xf>
    <xf numFmtId="175" fontId="10" fillId="0" borderId="0">
      <alignment horizontal="left" wrapText="1"/>
    </xf>
    <xf numFmtId="175" fontId="10" fillId="0" borderId="0">
      <alignment horizontal="left" wrapText="1"/>
    </xf>
    <xf numFmtId="175" fontId="10" fillId="0" borderId="0">
      <alignment horizontal="left" wrapText="1"/>
    </xf>
    <xf numFmtId="0" fontId="89" fillId="28" borderId="0" applyNumberFormat="0" applyBorder="0" applyAlignment="0" applyProtection="0"/>
  </cellStyleXfs>
  <cellXfs count="1353">
    <xf numFmtId="0" fontId="0" fillId="0" borderId="0" xfId="0"/>
    <xf numFmtId="0" fontId="0" fillId="0" borderId="2" xfId="0" applyBorder="1"/>
    <xf numFmtId="0" fontId="0" fillId="0" borderId="7" xfId="0" applyBorder="1"/>
    <xf numFmtId="169" fontId="0" fillId="0" borderId="0" xfId="1" applyNumberFormat="1" applyFont="1" applyBorder="1" applyAlignment="1">
      <alignment horizontal="center"/>
    </xf>
    <xf numFmtId="169" fontId="0" fillId="0" borderId="0" xfId="0" applyNumberFormat="1" applyBorder="1" applyAlignment="1">
      <alignment horizontal="left"/>
    </xf>
    <xf numFmtId="169" fontId="2" fillId="2" borderId="0" xfId="2" applyNumberFormat="1" applyBorder="1" applyAlignment="1">
      <alignment horizontal="left"/>
    </xf>
    <xf numFmtId="169" fontId="0" fillId="0" borderId="5" xfId="1" applyNumberFormat="1" applyFont="1" applyBorder="1" applyAlignment="1">
      <alignment horizontal="left"/>
    </xf>
    <xf numFmtId="0" fontId="0" fillId="0" borderId="3" xfId="0" applyBorder="1" applyAlignment="1">
      <alignment horizontal="center"/>
    </xf>
    <xf numFmtId="169" fontId="0" fillId="0" borderId="3" xfId="1" applyNumberFormat="1" applyFont="1" applyBorder="1" applyAlignment="1">
      <alignment horizontal="center"/>
    </xf>
    <xf numFmtId="169" fontId="0" fillId="0" borderId="3" xfId="0" applyNumberFormat="1" applyBorder="1" applyAlignment="1">
      <alignment horizontal="left"/>
    </xf>
    <xf numFmtId="169" fontId="2" fillId="2" borderId="3" xfId="2" applyNumberFormat="1" applyBorder="1" applyAlignment="1">
      <alignment horizontal="left"/>
    </xf>
    <xf numFmtId="169" fontId="0" fillId="0" borderId="4" xfId="1" applyNumberFormat="1" applyFont="1" applyBorder="1" applyAlignment="1">
      <alignment horizontal="left"/>
    </xf>
    <xf numFmtId="0" fontId="0" fillId="0" borderId="12" xfId="0" applyBorder="1"/>
    <xf numFmtId="0" fontId="0" fillId="0" borderId="6" xfId="0" applyBorder="1"/>
    <xf numFmtId="165" fontId="0" fillId="0" borderId="0" xfId="0" applyNumberFormat="1"/>
    <xf numFmtId="0" fontId="6" fillId="0" borderId="0" xfId="0" applyFont="1"/>
    <xf numFmtId="169" fontId="5" fillId="5" borderId="9" xfId="1" applyNumberFormat="1" applyFont="1" applyFill="1" applyBorder="1" applyAlignment="1">
      <alignment horizontal="center"/>
    </xf>
    <xf numFmtId="0" fontId="0" fillId="0" borderId="13" xfId="0" applyBorder="1" applyAlignment="1">
      <alignment horizontal="center"/>
    </xf>
    <xf numFmtId="0" fontId="0" fillId="0" borderId="14" xfId="0" applyBorder="1"/>
    <xf numFmtId="0" fontId="0" fillId="0" borderId="18" xfId="0" applyFill="1" applyBorder="1"/>
    <xf numFmtId="0" fontId="0" fillId="0" borderId="19" xfId="0" applyBorder="1"/>
    <xf numFmtId="0" fontId="0" fillId="0" borderId="20" xfId="0" applyBorder="1"/>
    <xf numFmtId="0" fontId="0" fillId="0" borderId="12" xfId="0" applyFill="1" applyBorder="1"/>
    <xf numFmtId="168" fontId="0" fillId="0" borderId="0" xfId="0" applyNumberFormat="1" applyBorder="1"/>
    <xf numFmtId="168" fontId="0" fillId="0" borderId="16" xfId="0" applyNumberFormat="1" applyBorder="1"/>
    <xf numFmtId="0" fontId="0" fillId="0" borderId="16" xfId="0" applyBorder="1" applyAlignment="1"/>
    <xf numFmtId="1" fontId="0" fillId="0" borderId="0" xfId="0" applyNumberFormat="1"/>
    <xf numFmtId="168" fontId="0" fillId="0" borderId="0" xfId="1" applyFont="1"/>
    <xf numFmtId="169" fontId="0" fillId="0" borderId="0" xfId="1" applyNumberFormat="1" applyFont="1"/>
    <xf numFmtId="170" fontId="7" fillId="0" borderId="21" xfId="1" applyNumberFormat="1" applyFont="1" applyBorder="1" applyAlignment="1">
      <alignment horizontal="center"/>
    </xf>
    <xf numFmtId="170" fontId="7" fillId="7" borderId="21" xfId="1" applyNumberFormat="1" applyFont="1" applyFill="1" applyBorder="1" applyAlignment="1">
      <alignment horizontal="center"/>
    </xf>
    <xf numFmtId="0" fontId="0" fillId="0" borderId="0" xfId="0" quotePrefix="1"/>
    <xf numFmtId="0" fontId="0" fillId="0" borderId="11" xfId="0" applyBorder="1"/>
    <xf numFmtId="0" fontId="0" fillId="0" borderId="22" xfId="0" applyBorder="1"/>
    <xf numFmtId="0" fontId="0" fillId="0" borderId="23" xfId="0" applyBorder="1"/>
    <xf numFmtId="0" fontId="0" fillId="0" borderId="24" xfId="0" applyBorder="1"/>
    <xf numFmtId="0" fontId="0" fillId="0" borderId="0" xfId="0" applyBorder="1"/>
    <xf numFmtId="0" fontId="0" fillId="0" borderId="5" xfId="0" applyBorder="1"/>
    <xf numFmtId="0" fontId="0" fillId="0" borderId="25" xfId="0" applyBorder="1"/>
    <xf numFmtId="0" fontId="0" fillId="0" borderId="3" xfId="0" applyBorder="1"/>
    <xf numFmtId="0" fontId="0" fillId="0" borderId="4" xfId="0" applyBorder="1"/>
    <xf numFmtId="0" fontId="9" fillId="0" borderId="24" xfId="0" applyFont="1" applyBorder="1"/>
    <xf numFmtId="0" fontId="15" fillId="9" borderId="32" xfId="0" applyFont="1" applyFill="1" applyBorder="1" applyAlignment="1">
      <alignment horizontal="center" vertical="center" wrapText="1"/>
    </xf>
    <xf numFmtId="170" fontId="7" fillId="0" borderId="33" xfId="1" applyNumberFormat="1" applyFont="1" applyBorder="1" applyAlignment="1">
      <alignment horizontal="center"/>
    </xf>
    <xf numFmtId="170" fontId="7" fillId="7" borderId="33" xfId="1" applyNumberFormat="1" applyFont="1" applyFill="1" applyBorder="1" applyAlignment="1">
      <alignment horizontal="center"/>
    </xf>
    <xf numFmtId="170" fontId="17" fillId="7" borderId="21" xfId="1" applyNumberFormat="1" applyFont="1" applyFill="1" applyBorder="1" applyAlignment="1">
      <alignment horizontal="center"/>
    </xf>
    <xf numFmtId="0" fontId="0" fillId="10" borderId="0" xfId="0" applyFill="1"/>
    <xf numFmtId="0" fontId="0" fillId="0" borderId="18" xfId="0" applyBorder="1"/>
    <xf numFmtId="9" fontId="0" fillId="0" borderId="0" xfId="7" applyFont="1"/>
    <xf numFmtId="10" fontId="0" fillId="0" borderId="0" xfId="7" applyNumberFormat="1" applyFont="1"/>
    <xf numFmtId="0" fontId="0" fillId="11" borderId="0" xfId="0" applyFill="1" applyProtection="1">
      <protection locked="0"/>
    </xf>
    <xf numFmtId="0" fontId="0" fillId="0" borderId="0" xfId="0" applyProtection="1">
      <protection locked="0"/>
    </xf>
    <xf numFmtId="0" fontId="0" fillId="11" borderId="0" xfId="0" applyFill="1"/>
    <xf numFmtId="0" fontId="8" fillId="8" borderId="1" xfId="8"/>
    <xf numFmtId="0" fontId="4" fillId="4" borderId="1" xfId="4"/>
    <xf numFmtId="2" fontId="8" fillId="8" borderId="1" xfId="8" applyNumberFormat="1"/>
    <xf numFmtId="170" fontId="4" fillId="4" borderId="1" xfId="4" applyNumberFormat="1"/>
    <xf numFmtId="0" fontId="10" fillId="0" borderId="0" xfId="9"/>
    <xf numFmtId="0" fontId="12" fillId="0" borderId="0" xfId="9" applyFont="1" applyAlignment="1">
      <alignment horizontal="left" vertical="top" wrapText="1"/>
    </xf>
    <xf numFmtId="0" fontId="12" fillId="0" borderId="35" xfId="9" applyFont="1" applyBorder="1" applyAlignment="1">
      <alignment horizontal="center" wrapText="1"/>
    </xf>
    <xf numFmtId="0" fontId="12" fillId="0" borderId="0" xfId="9" applyFont="1" applyAlignment="1">
      <alignment horizontal="left"/>
    </xf>
    <xf numFmtId="171" fontId="13" fillId="0" borderId="0" xfId="9" applyNumberFormat="1" applyFont="1" applyAlignment="1">
      <alignment horizontal="right"/>
    </xf>
    <xf numFmtId="171" fontId="10" fillId="0" borderId="0" xfId="9" applyNumberFormat="1"/>
    <xf numFmtId="171" fontId="13" fillId="11" borderId="0" xfId="9" applyNumberFormat="1" applyFont="1" applyFill="1" applyAlignment="1">
      <alignment horizontal="right"/>
    </xf>
    <xf numFmtId="0" fontId="10" fillId="11" borderId="0" xfId="9" applyFill="1"/>
    <xf numFmtId="0" fontId="10" fillId="11" borderId="0" xfId="9" applyFill="1"/>
    <xf numFmtId="170" fontId="7" fillId="0" borderId="17" xfId="1" applyNumberFormat="1" applyFont="1" applyBorder="1" applyAlignment="1">
      <alignment horizontal="center"/>
    </xf>
    <xf numFmtId="170" fontId="7" fillId="0" borderId="8" xfId="0" applyNumberFormat="1" applyFont="1" applyBorder="1" applyAlignment="1">
      <alignment horizontal="center"/>
    </xf>
    <xf numFmtId="170" fontId="7" fillId="0" borderId="8" xfId="1" applyNumberFormat="1" applyFont="1" applyBorder="1" applyAlignment="1">
      <alignment horizontal="center"/>
    </xf>
    <xf numFmtId="170" fontId="7" fillId="0" borderId="8" xfId="1" applyNumberFormat="1" applyFont="1" applyFill="1" applyBorder="1" applyAlignment="1">
      <alignment horizontal="center"/>
    </xf>
    <xf numFmtId="170" fontId="7" fillId="7" borderId="7" xfId="1" applyNumberFormat="1" applyFont="1" applyFill="1" applyBorder="1" applyAlignment="1">
      <alignment horizontal="center"/>
    </xf>
    <xf numFmtId="170" fontId="7" fillId="7" borderId="9" xfId="0" applyNumberFormat="1" applyFont="1" applyFill="1" applyBorder="1" applyAlignment="1">
      <alignment horizontal="center"/>
    </xf>
    <xf numFmtId="170" fontId="7" fillId="7" borderId="9" xfId="1" applyNumberFormat="1" applyFont="1" applyFill="1" applyBorder="1" applyAlignment="1">
      <alignment horizontal="center"/>
    </xf>
    <xf numFmtId="170" fontId="7" fillId="0" borderId="7" xfId="1" applyNumberFormat="1" applyFont="1" applyBorder="1" applyAlignment="1">
      <alignment horizontal="center"/>
    </xf>
    <xf numFmtId="170" fontId="7" fillId="0" borderId="9" xfId="1" applyNumberFormat="1" applyFont="1" applyBorder="1" applyAlignment="1">
      <alignment horizontal="center"/>
    </xf>
    <xf numFmtId="170" fontId="7" fillId="0" borderId="9" xfId="1" applyNumberFormat="1" applyFont="1" applyFill="1" applyBorder="1" applyAlignment="1">
      <alignment horizontal="center"/>
    </xf>
    <xf numFmtId="170" fontId="7" fillId="7" borderId="17" xfId="1" applyNumberFormat="1" applyFont="1" applyFill="1" applyBorder="1" applyAlignment="1">
      <alignment horizontal="center"/>
    </xf>
    <xf numFmtId="170" fontId="7" fillId="7" borderId="8" xfId="1" applyNumberFormat="1" applyFont="1" applyFill="1" applyBorder="1" applyAlignment="1">
      <alignment horizontal="center"/>
    </xf>
    <xf numFmtId="170" fontId="17" fillId="7" borderId="7" xfId="1" applyNumberFormat="1" applyFont="1" applyFill="1" applyBorder="1" applyAlignment="1">
      <alignment horizontal="center"/>
    </xf>
    <xf numFmtId="170" fontId="17" fillId="7" borderId="9" xfId="1" applyNumberFormat="1" applyFont="1" applyFill="1" applyBorder="1" applyAlignment="1">
      <alignment horizontal="center"/>
    </xf>
    <xf numFmtId="170" fontId="7" fillId="7" borderId="26" xfId="1" applyNumberFormat="1" applyFont="1" applyFill="1" applyBorder="1" applyAlignment="1">
      <alignment horizontal="center"/>
    </xf>
    <xf numFmtId="170" fontId="7" fillId="0" borderId="26" xfId="1" applyNumberFormat="1" applyFont="1" applyBorder="1" applyAlignment="1" applyProtection="1">
      <alignment horizontal="center"/>
      <protection locked="0"/>
    </xf>
    <xf numFmtId="170" fontId="7" fillId="0" borderId="7" xfId="1" applyNumberFormat="1" applyFont="1" applyBorder="1" applyAlignment="1" applyProtection="1">
      <alignment horizontal="center"/>
      <protection locked="0"/>
    </xf>
    <xf numFmtId="170" fontId="7" fillId="0" borderId="9" xfId="1" applyNumberFormat="1" applyFont="1" applyBorder="1" applyAlignment="1" applyProtection="1">
      <alignment horizontal="center"/>
      <protection locked="0"/>
    </xf>
    <xf numFmtId="170" fontId="7" fillId="0" borderId="9" xfId="1" applyNumberFormat="1" applyFont="1" applyFill="1" applyBorder="1" applyAlignment="1" applyProtection="1">
      <alignment horizontal="center"/>
      <protection locked="0"/>
    </xf>
    <xf numFmtId="170" fontId="7" fillId="0" borderId="21" xfId="1" applyNumberFormat="1" applyFont="1" applyBorder="1" applyAlignment="1" applyProtection="1">
      <alignment horizontal="center"/>
      <protection locked="0"/>
    </xf>
    <xf numFmtId="170" fontId="7" fillId="7" borderId="26" xfId="1" applyNumberFormat="1" applyFont="1" applyFill="1" applyBorder="1" applyAlignment="1" applyProtection="1">
      <alignment horizontal="center"/>
      <protection locked="0"/>
    </xf>
    <xf numFmtId="170" fontId="7" fillId="7" borderId="7" xfId="1" applyNumberFormat="1" applyFont="1" applyFill="1" applyBorder="1" applyAlignment="1" applyProtection="1">
      <alignment horizontal="center"/>
      <protection locked="0"/>
    </xf>
    <xf numFmtId="170" fontId="7" fillId="7" borderId="9" xfId="1" applyNumberFormat="1" applyFont="1" applyFill="1" applyBorder="1" applyAlignment="1" applyProtection="1">
      <alignment horizontal="center"/>
      <protection locked="0"/>
    </xf>
    <xf numFmtId="170" fontId="7" fillId="7" borderId="27" xfId="1" applyNumberFormat="1" applyFont="1" applyFill="1" applyBorder="1" applyAlignment="1" applyProtection="1">
      <alignment horizontal="center"/>
      <protection locked="0"/>
    </xf>
    <xf numFmtId="170" fontId="7" fillId="7" borderId="28" xfId="1" applyNumberFormat="1" applyFont="1" applyFill="1" applyBorder="1" applyAlignment="1" applyProtection="1">
      <alignment horizontal="center"/>
      <protection locked="0"/>
    </xf>
    <xf numFmtId="170" fontId="7" fillId="7" borderId="4" xfId="1" applyNumberFormat="1" applyFont="1" applyFill="1" applyBorder="1" applyAlignment="1" applyProtection="1">
      <alignment horizontal="center"/>
      <protection locked="0"/>
    </xf>
    <xf numFmtId="170" fontId="7" fillId="11" borderId="21" xfId="1" applyNumberFormat="1" applyFont="1" applyFill="1" applyBorder="1" applyAlignment="1" applyProtection="1">
      <alignment horizontal="center"/>
      <protection locked="0"/>
    </xf>
    <xf numFmtId="0" fontId="0" fillId="0" borderId="29" xfId="0" applyBorder="1"/>
    <xf numFmtId="0" fontId="0" fillId="11" borderId="20" xfId="0" applyFill="1" applyBorder="1"/>
    <xf numFmtId="0" fontId="0" fillId="0" borderId="0" xfId="0" applyAlignment="1"/>
    <xf numFmtId="0" fontId="9" fillId="0" borderId="0" xfId="0" applyFont="1"/>
    <xf numFmtId="168" fontId="0" fillId="0" borderId="0" xfId="0" applyNumberFormat="1"/>
    <xf numFmtId="0" fontId="21" fillId="0" borderId="0" xfId="0" applyFont="1"/>
    <xf numFmtId="0" fontId="0" fillId="0" borderId="0" xfId="0" applyFill="1"/>
    <xf numFmtId="0" fontId="0" fillId="0" borderId="0" xfId="0" applyFill="1" applyAlignment="1">
      <alignment vertical="top"/>
    </xf>
    <xf numFmtId="0" fontId="5" fillId="0" borderId="0" xfId="0" applyFont="1" applyBorder="1" applyAlignment="1" applyProtection="1">
      <alignment horizontal="left"/>
    </xf>
    <xf numFmtId="0" fontId="24" fillId="0" borderId="0" xfId="0" applyFont="1"/>
    <xf numFmtId="0" fontId="25" fillId="0" borderId="0" xfId="0" applyFont="1"/>
    <xf numFmtId="0" fontId="0" fillId="12" borderId="9" xfId="13" applyFont="1" applyBorder="1" applyAlignment="1">
      <alignment horizontal="center"/>
    </xf>
    <xf numFmtId="0" fontId="9" fillId="0" borderId="0" xfId="0" quotePrefix="1" applyFont="1"/>
    <xf numFmtId="0" fontId="26" fillId="0" borderId="0" xfId="0" applyFont="1"/>
    <xf numFmtId="0" fontId="0" fillId="12" borderId="37" xfId="13" applyFont="1"/>
    <xf numFmtId="0" fontId="10" fillId="0" borderId="0" xfId="9"/>
    <xf numFmtId="0" fontId="28" fillId="0" borderId="0" xfId="14"/>
    <xf numFmtId="0" fontId="28" fillId="0" borderId="0" xfId="14" applyFont="1"/>
    <xf numFmtId="0" fontId="28" fillId="11" borderId="0" xfId="14" applyFill="1"/>
    <xf numFmtId="0" fontId="28" fillId="13" borderId="0" xfId="14" applyFill="1"/>
    <xf numFmtId="0" fontId="0" fillId="13" borderId="0" xfId="0" applyFill="1"/>
    <xf numFmtId="17" fontId="0" fillId="0" borderId="0" xfId="0" applyNumberFormat="1"/>
    <xf numFmtId="17" fontId="28" fillId="0" borderId="0" xfId="14" applyNumberFormat="1"/>
    <xf numFmtId="0" fontId="28" fillId="14" borderId="0" xfId="14" applyFill="1"/>
    <xf numFmtId="0" fontId="10" fillId="0" borderId="0" xfId="9"/>
    <xf numFmtId="0" fontId="0" fillId="0" borderId="0" xfId="0" applyFont="1"/>
    <xf numFmtId="169" fontId="20" fillId="8" borderId="36" xfId="12" applyNumberFormat="1"/>
    <xf numFmtId="169" fontId="8" fillId="8" borderId="1" xfId="8" applyNumberFormat="1"/>
    <xf numFmtId="169" fontId="0" fillId="0" borderId="0" xfId="0" applyNumberFormat="1"/>
    <xf numFmtId="173" fontId="0" fillId="0" borderId="0" xfId="0" applyNumberFormat="1"/>
    <xf numFmtId="169" fontId="0" fillId="0" borderId="20" xfId="1" applyNumberFormat="1" applyFont="1" applyBorder="1"/>
    <xf numFmtId="0" fontId="13" fillId="0" borderId="0" xfId="0" applyFont="1" applyFill="1"/>
    <xf numFmtId="0" fontId="13" fillId="0" borderId="0" xfId="0" applyFont="1"/>
    <xf numFmtId="1" fontId="13" fillId="0" borderId="0" xfId="0" applyNumberFormat="1" applyFont="1"/>
    <xf numFmtId="0" fontId="30" fillId="0" borderId="0" xfId="0" applyFont="1" applyAlignment="1">
      <alignment horizontal="left"/>
    </xf>
    <xf numFmtId="1" fontId="30" fillId="0" borderId="0" xfId="0" applyNumberFormat="1" applyFont="1" applyAlignment="1">
      <alignment horizontal="center"/>
    </xf>
    <xf numFmtId="49" fontId="30" fillId="0" borderId="0" xfId="0" applyNumberFormat="1" applyFont="1" applyAlignment="1">
      <alignment horizontal="center"/>
    </xf>
    <xf numFmtId="0" fontId="30" fillId="0" borderId="0" xfId="0" applyFont="1" applyAlignment="1">
      <alignment horizontal="center"/>
    </xf>
    <xf numFmtId="9" fontId="13" fillId="0" borderId="0" xfId="15" applyFont="1" applyFill="1"/>
    <xf numFmtId="0" fontId="32" fillId="0" borderId="0" xfId="0" applyFont="1"/>
    <xf numFmtId="9" fontId="13" fillId="0" borderId="0" xfId="0" applyNumberFormat="1" applyFont="1"/>
    <xf numFmtId="0" fontId="5" fillId="0" borderId="18" xfId="0" applyFont="1" applyBorder="1" applyAlignment="1" applyProtection="1">
      <alignment horizontal="left"/>
    </xf>
    <xf numFmtId="173" fontId="0" fillId="0" borderId="19" xfId="0" applyNumberFormat="1" applyBorder="1"/>
    <xf numFmtId="0" fontId="34" fillId="0" borderId="0" xfId="0" applyFont="1"/>
    <xf numFmtId="0" fontId="10" fillId="0" borderId="0" xfId="9" applyNumberFormat="1"/>
    <xf numFmtId="0" fontId="35" fillId="0" borderId="0" xfId="14" applyFont="1"/>
    <xf numFmtId="0" fontId="36" fillId="0" borderId="0" xfId="14" applyFont="1"/>
    <xf numFmtId="0" fontId="13" fillId="11" borderId="0" xfId="0" applyFont="1" applyFill="1"/>
    <xf numFmtId="174" fontId="0" fillId="0" borderId="0" xfId="7" applyNumberFormat="1" applyFont="1"/>
    <xf numFmtId="0" fontId="0" fillId="0" borderId="0" xfId="0" applyAlignment="1">
      <alignment horizontal="center"/>
    </xf>
    <xf numFmtId="0" fontId="0" fillId="0" borderId="16" xfId="0" applyBorder="1"/>
    <xf numFmtId="172" fontId="0" fillId="0" borderId="5" xfId="0" applyNumberFormat="1" applyBorder="1"/>
    <xf numFmtId="175" fontId="0" fillId="0" borderId="5" xfId="0" applyNumberFormat="1" applyBorder="1"/>
    <xf numFmtId="176" fontId="0" fillId="0" borderId="5" xfId="0" applyNumberFormat="1" applyBorder="1"/>
    <xf numFmtId="177" fontId="0" fillId="0" borderId="5" xfId="0" applyNumberFormat="1" applyBorder="1"/>
    <xf numFmtId="178" fontId="0" fillId="0" borderId="5" xfId="0" applyNumberFormat="1" applyBorder="1"/>
    <xf numFmtId="0" fontId="0" fillId="0" borderId="25" xfId="0" applyFill="1" applyBorder="1"/>
    <xf numFmtId="0" fontId="10" fillId="0" borderId="0" xfId="9" applyAlignment="1"/>
    <xf numFmtId="0" fontId="10" fillId="0" borderId="0" xfId="9" applyFill="1"/>
    <xf numFmtId="0" fontId="10" fillId="0" borderId="0" xfId="9" applyFill="1" applyAlignment="1"/>
    <xf numFmtId="2" fontId="0" fillId="0" borderId="0" xfId="0" applyNumberFormat="1"/>
    <xf numFmtId="168" fontId="0" fillId="0" borderId="0" xfId="0" applyNumberFormat="1" applyFill="1" applyBorder="1"/>
    <xf numFmtId="0" fontId="0" fillId="0" borderId="24" xfId="0" applyFill="1" applyBorder="1"/>
    <xf numFmtId="0" fontId="10" fillId="0" borderId="0" xfId="9" applyBorder="1" applyAlignment="1"/>
    <xf numFmtId="2" fontId="4" fillId="4" borderId="30" xfId="4" applyNumberFormat="1" applyBorder="1"/>
    <xf numFmtId="2" fontId="8" fillId="8" borderId="32" xfId="8" applyNumberFormat="1" applyBorder="1"/>
    <xf numFmtId="2" fontId="8" fillId="8" borderId="31" xfId="8" applyNumberFormat="1" applyBorder="1"/>
    <xf numFmtId="0" fontId="4" fillId="4" borderId="5" xfId="4" applyBorder="1"/>
    <xf numFmtId="170" fontId="8" fillId="8" borderId="5" xfId="8" applyNumberFormat="1" applyBorder="1"/>
    <xf numFmtId="0" fontId="8" fillId="8" borderId="42" xfId="8" applyBorder="1"/>
    <xf numFmtId="0" fontId="5" fillId="0" borderId="24" xfId="0" applyFont="1" applyBorder="1" applyAlignment="1" applyProtection="1">
      <alignment horizontal="left"/>
    </xf>
    <xf numFmtId="169" fontId="0" fillId="0" borderId="5" xfId="1" applyNumberFormat="1" applyFont="1" applyBorder="1"/>
    <xf numFmtId="0" fontId="5" fillId="0" borderId="25" xfId="0" applyFont="1" applyBorder="1" applyAlignment="1" applyProtection="1">
      <alignment horizontal="left"/>
    </xf>
    <xf numFmtId="169" fontId="20" fillId="8" borderId="44" xfId="12" applyNumberFormat="1" applyBorder="1"/>
    <xf numFmtId="173" fontId="0" fillId="0" borderId="0" xfId="0" applyNumberFormat="1" applyFont="1"/>
    <xf numFmtId="0" fontId="39" fillId="0" borderId="18" xfId="0" applyFont="1" applyFill="1" applyBorder="1" applyAlignment="1" applyProtection="1">
      <alignment horizontal="left"/>
    </xf>
    <xf numFmtId="0" fontId="0" fillId="0" borderId="19" xfId="0" applyFill="1" applyBorder="1"/>
    <xf numFmtId="0" fontId="5" fillId="0" borderId="6" xfId="0" applyFont="1" applyBorder="1" applyAlignment="1" applyProtection="1">
      <alignment horizontal="left"/>
    </xf>
    <xf numFmtId="173" fontId="0" fillId="0" borderId="2" xfId="0" applyNumberFormat="1" applyBorder="1"/>
    <xf numFmtId="169" fontId="0" fillId="0" borderId="7" xfId="1" applyNumberFormat="1" applyFont="1" applyBorder="1"/>
    <xf numFmtId="0" fontId="0" fillId="0" borderId="0" xfId="0" applyAlignment="1">
      <alignment horizontal="left"/>
    </xf>
    <xf numFmtId="0" fontId="0" fillId="0" borderId="10" xfId="0" applyBorder="1"/>
    <xf numFmtId="0" fontId="0" fillId="0" borderId="47" xfId="0" applyBorder="1"/>
    <xf numFmtId="0" fontId="0" fillId="0" borderId="15" xfId="0" applyBorder="1"/>
    <xf numFmtId="0" fontId="40" fillId="0" borderId="0" xfId="0" applyNumberFormat="1" applyFont="1" applyBorder="1"/>
    <xf numFmtId="0" fontId="40" fillId="0" borderId="16" xfId="0" applyNumberFormat="1" applyFont="1" applyBorder="1"/>
    <xf numFmtId="0" fontId="0" fillId="0" borderId="0" xfId="0" applyNumberFormat="1" applyBorder="1"/>
    <xf numFmtId="0" fontId="0" fillId="0" borderId="13" xfId="0" applyBorder="1"/>
    <xf numFmtId="0" fontId="40" fillId="0" borderId="14" xfId="0" applyNumberFormat="1" applyFont="1" applyBorder="1"/>
    <xf numFmtId="0" fontId="40" fillId="0" borderId="17" xfId="0" applyNumberFormat="1" applyFont="1" applyBorder="1"/>
    <xf numFmtId="0" fontId="8" fillId="8" borderId="48" xfId="8" applyBorder="1"/>
    <xf numFmtId="0" fontId="8" fillId="8" borderId="49" xfId="8" applyBorder="1"/>
    <xf numFmtId="0" fontId="8" fillId="8" borderId="50" xfId="8" applyBorder="1"/>
    <xf numFmtId="2" fontId="29" fillId="0" borderId="0" xfId="0" applyNumberFormat="1" applyFont="1"/>
    <xf numFmtId="0" fontId="42" fillId="0" borderId="0" xfId="0" applyFont="1"/>
    <xf numFmtId="0" fontId="43" fillId="0" borderId="0" xfId="9" applyFont="1"/>
    <xf numFmtId="0" fontId="41" fillId="0" borderId="0" xfId="0" applyFont="1"/>
    <xf numFmtId="0" fontId="45" fillId="0" borderId="0" xfId="0" applyFont="1"/>
    <xf numFmtId="0" fontId="28" fillId="16" borderId="0" xfId="14" applyFill="1"/>
    <xf numFmtId="0" fontId="42" fillId="16" borderId="0" xfId="0" applyFont="1" applyFill="1"/>
    <xf numFmtId="0" fontId="28" fillId="17" borderId="0" xfId="14" applyFill="1"/>
    <xf numFmtId="0" fontId="46" fillId="17" borderId="0" xfId="14" applyFont="1" applyFill="1"/>
    <xf numFmtId="2" fontId="42" fillId="16" borderId="0" xfId="0" applyNumberFormat="1" applyFont="1" applyFill="1"/>
    <xf numFmtId="2" fontId="42" fillId="0" borderId="0" xfId="0" applyNumberFormat="1" applyFont="1"/>
    <xf numFmtId="0" fontId="44" fillId="0" borderId="0" xfId="14" applyFont="1"/>
    <xf numFmtId="0" fontId="44" fillId="16" borderId="0" xfId="14" applyFont="1" applyFill="1"/>
    <xf numFmtId="179" fontId="0" fillId="11" borderId="16" xfId="0" applyNumberFormat="1" applyFill="1" applyBorder="1"/>
    <xf numFmtId="180" fontId="0" fillId="0" borderId="0" xfId="0" applyNumberFormat="1" applyBorder="1"/>
    <xf numFmtId="179" fontId="47" fillId="0" borderId="16" xfId="0" applyNumberFormat="1" applyFont="1" applyBorder="1"/>
    <xf numFmtId="4" fontId="48" fillId="0" borderId="0" xfId="0" applyNumberFormat="1" applyFont="1" applyFill="1" applyBorder="1"/>
    <xf numFmtId="180" fontId="49" fillId="0" borderId="0" xfId="0" applyNumberFormat="1" applyFont="1" applyBorder="1"/>
    <xf numFmtId="181" fontId="0" fillId="0" borderId="0" xfId="0" applyNumberFormat="1" applyBorder="1"/>
    <xf numFmtId="165" fontId="0" fillId="0" borderId="0" xfId="0" quotePrefix="1" applyNumberFormat="1"/>
    <xf numFmtId="0" fontId="7" fillId="0" borderId="16" xfId="0" applyFont="1" applyBorder="1"/>
    <xf numFmtId="0" fontId="7" fillId="0" borderId="0" xfId="0" applyFont="1" applyBorder="1"/>
    <xf numFmtId="0" fontId="0" fillId="12" borderId="51" xfId="13" applyFont="1" applyBorder="1"/>
    <xf numFmtId="0" fontId="4" fillId="4" borderId="34" xfId="4" applyBorder="1" applyAlignment="1">
      <alignment horizontal="center"/>
    </xf>
    <xf numFmtId="0" fontId="0" fillId="0" borderId="8" xfId="0" applyBorder="1"/>
    <xf numFmtId="0" fontId="0" fillId="0" borderId="55" xfId="0" quotePrefix="1" applyNumberFormat="1" applyBorder="1" applyAlignment="1">
      <alignment horizontal="center"/>
    </xf>
    <xf numFmtId="169" fontId="5" fillId="5" borderId="58" xfId="1" applyNumberFormat="1" applyFont="1" applyFill="1" applyBorder="1" applyAlignment="1">
      <alignment horizontal="center"/>
    </xf>
    <xf numFmtId="168" fontId="0" fillId="0" borderId="5" xfId="0" applyNumberFormat="1" applyBorder="1"/>
    <xf numFmtId="0" fontId="0" fillId="0" borderId="33" xfId="0" applyBorder="1"/>
    <xf numFmtId="3" fontId="0" fillId="0" borderId="0" xfId="0" applyNumberFormat="1"/>
    <xf numFmtId="0" fontId="38" fillId="0" borderId="0" xfId="0" applyFont="1" applyBorder="1"/>
    <xf numFmtId="175" fontId="50" fillId="18" borderId="0" xfId="0" applyNumberFormat="1" applyFont="1" applyFill="1" applyAlignment="1">
      <alignment horizontal="left" wrapText="1"/>
    </xf>
    <xf numFmtId="175" fontId="50" fillId="0" borderId="0" xfId="0" applyNumberFormat="1" applyFont="1" applyFill="1" applyAlignment="1">
      <alignment horizontal="left" wrapText="1"/>
    </xf>
    <xf numFmtId="1" fontId="0" fillId="0" borderId="0" xfId="0" applyNumberFormat="1" applyAlignment="1"/>
    <xf numFmtId="170" fontId="0" fillId="0" borderId="0" xfId="0" applyNumberFormat="1" applyAlignment="1"/>
    <xf numFmtId="175" fontId="53" fillId="18" borderId="0" xfId="0" applyNumberFormat="1" applyFont="1" applyFill="1" applyAlignment="1">
      <alignment horizontal="center"/>
    </xf>
    <xf numFmtId="2" fontId="0" fillId="0" borderId="0" xfId="0" applyNumberFormat="1" applyAlignment="1"/>
    <xf numFmtId="175" fontId="54" fillId="18" borderId="0" xfId="0" applyNumberFormat="1" applyFont="1" applyFill="1" applyAlignment="1">
      <alignment horizontal="center"/>
    </xf>
    <xf numFmtId="175" fontId="19" fillId="18" borderId="0" xfId="0" applyNumberFormat="1" applyFont="1" applyFill="1" applyAlignment="1">
      <alignment horizontal="left" wrapText="1"/>
    </xf>
    <xf numFmtId="175" fontId="50" fillId="0" borderId="0" xfId="0" applyNumberFormat="1" applyFont="1" applyAlignment="1">
      <alignment horizontal="left" wrapText="1"/>
    </xf>
    <xf numFmtId="175" fontId="50" fillId="0" borderId="0" xfId="0" applyNumberFormat="1" applyFont="1" applyAlignment="1">
      <alignment horizontal="right" wrapText="1"/>
    </xf>
    <xf numFmtId="1" fontId="50" fillId="0" borderId="0" xfId="0" applyNumberFormat="1" applyFont="1" applyAlignment="1">
      <alignment horizontal="right" wrapText="1"/>
    </xf>
    <xf numFmtId="1" fontId="51" fillId="19" borderId="0" xfId="18" applyNumberFormat="1" applyFont="1" applyFill="1" applyAlignment="1"/>
    <xf numFmtId="1" fontId="10" fillId="19" borderId="0" xfId="18" applyNumberFormat="1" applyFill="1" applyAlignment="1"/>
    <xf numFmtId="1" fontId="11" fillId="19" borderId="0" xfId="18" quotePrefix="1" applyNumberFormat="1" applyFont="1" applyFill="1" applyAlignment="1">
      <alignment horizontal="left"/>
    </xf>
    <xf numFmtId="1" fontId="11" fillId="0" borderId="0" xfId="18" applyNumberFormat="1" applyFont="1" applyAlignment="1" applyProtection="1">
      <alignment horizontal="left"/>
      <protection locked="0"/>
    </xf>
    <xf numFmtId="1" fontId="11" fillId="19" borderId="0" xfId="18" applyNumberFormat="1" applyFont="1" applyFill="1" applyAlignment="1">
      <alignment horizontal="center"/>
    </xf>
    <xf numFmtId="1" fontId="11" fillId="0" borderId="0" xfId="18" applyNumberFormat="1" applyFont="1" applyFill="1" applyAlignment="1" applyProtection="1">
      <protection locked="0"/>
    </xf>
    <xf numFmtId="1" fontId="48" fillId="19" borderId="0" xfId="18" applyNumberFormat="1" applyFont="1" applyFill="1" applyAlignment="1"/>
    <xf numFmtId="1" fontId="10" fillId="0" borderId="0" xfId="18" applyNumberFormat="1" applyFill="1" applyAlignment="1" applyProtection="1">
      <protection locked="0"/>
    </xf>
    <xf numFmtId="1" fontId="10" fillId="19" borderId="0" xfId="18" applyNumberFormat="1" applyFill="1" applyAlignment="1" applyProtection="1">
      <alignment horizontal="center"/>
    </xf>
    <xf numFmtId="1" fontId="10" fillId="20" borderId="0" xfId="18" applyNumberFormat="1" applyFill="1" applyAlignment="1" applyProtection="1"/>
    <xf numFmtId="1" fontId="11" fillId="19" borderId="0" xfId="18" applyNumberFormat="1" applyFont="1" applyFill="1" applyAlignment="1"/>
    <xf numFmtId="1" fontId="52" fillId="19" borderId="0" xfId="18" quotePrefix="1" applyNumberFormat="1" applyFont="1" applyFill="1" applyAlignment="1">
      <alignment horizontal="left"/>
    </xf>
    <xf numFmtId="1" fontId="10" fillId="20" borderId="0" xfId="18" applyNumberFormat="1" applyFill="1" applyAlignment="1"/>
    <xf numFmtId="1" fontId="56" fillId="19" borderId="0" xfId="18" applyNumberFormat="1" applyFont="1" applyFill="1" applyAlignment="1">
      <alignment horizontal="left" vertical="top" wrapText="1"/>
    </xf>
    <xf numFmtId="170" fontId="10" fillId="0" borderId="0" xfId="18" applyNumberFormat="1" applyAlignment="1" applyProtection="1">
      <protection locked="0"/>
    </xf>
    <xf numFmtId="170" fontId="10" fillId="19" borderId="0" xfId="18" applyNumberFormat="1" applyFill="1" applyAlignment="1"/>
    <xf numFmtId="1" fontId="10" fillId="19" borderId="0" xfId="18" applyNumberFormat="1" applyFill="1" applyAlignment="1">
      <alignment horizontal="right"/>
    </xf>
    <xf numFmtId="182" fontId="10" fillId="19" borderId="0" xfId="18" applyNumberFormat="1" applyFill="1" applyAlignment="1"/>
    <xf numFmtId="1" fontId="52" fillId="19" borderId="0" xfId="18" quotePrefix="1" applyNumberFormat="1" applyFont="1" applyFill="1" applyAlignment="1">
      <alignment horizontal="center" vertical="top" wrapText="1"/>
    </xf>
    <xf numFmtId="1" fontId="56" fillId="19" borderId="0" xfId="18" applyNumberFormat="1" applyFont="1" applyFill="1" applyAlignment="1">
      <alignment horizontal="center" vertical="top" wrapText="1"/>
    </xf>
    <xf numFmtId="1" fontId="52" fillId="19" borderId="0" xfId="18" quotePrefix="1" applyNumberFormat="1" applyFont="1" applyFill="1" applyAlignment="1">
      <alignment horizontal="left" vertical="top" wrapText="1"/>
    </xf>
    <xf numFmtId="1" fontId="11" fillId="19" borderId="0" xfId="18" quotePrefix="1" applyNumberFormat="1" applyFont="1" applyFill="1" applyAlignment="1"/>
    <xf numFmtId="170" fontId="10" fillId="19" borderId="0" xfId="18" applyNumberFormat="1" applyFill="1" applyAlignment="1" applyProtection="1">
      <protection locked="0"/>
    </xf>
    <xf numFmtId="1" fontId="10" fillId="0" borderId="0" xfId="18" applyNumberFormat="1" applyFill="1" applyAlignment="1"/>
    <xf numFmtId="1" fontId="10" fillId="0" borderId="0" xfId="18" applyNumberFormat="1" applyAlignment="1"/>
    <xf numFmtId="1" fontId="56" fillId="0" borderId="0" xfId="18" applyNumberFormat="1" applyFont="1" applyAlignment="1" applyProtection="1">
      <alignment horizontal="left" vertical="top" wrapText="1"/>
      <protection hidden="1"/>
    </xf>
    <xf numFmtId="1" fontId="51" fillId="0" borderId="0" xfId="19" applyNumberFormat="1" applyFont="1" applyAlignment="1"/>
    <xf numFmtId="1" fontId="10" fillId="0" borderId="0" xfId="19" applyNumberFormat="1" applyAlignment="1"/>
    <xf numFmtId="1" fontId="11" fillId="0" borderId="0" xfId="19" applyNumberFormat="1" applyFont="1" applyAlignment="1"/>
    <xf numFmtId="175" fontId="10" fillId="0" borderId="0" xfId="19" applyFont="1">
      <alignment horizontal="left" wrapText="1"/>
    </xf>
    <xf numFmtId="1" fontId="11" fillId="0" borderId="0" xfId="19" quotePrefix="1" applyNumberFormat="1" applyFont="1" applyAlignment="1">
      <alignment horizontal="left"/>
    </xf>
    <xf numFmtId="1" fontId="52" fillId="0" borderId="0" xfId="19" quotePrefix="1" applyNumberFormat="1" applyFont="1" applyAlignment="1">
      <alignment horizontal="left"/>
    </xf>
    <xf numFmtId="170" fontId="10" fillId="0" borderId="0" xfId="19" applyNumberFormat="1" applyAlignment="1"/>
    <xf numFmtId="1" fontId="56" fillId="0" borderId="0" xfId="19" applyNumberFormat="1" applyFont="1" applyAlignment="1">
      <alignment horizontal="left" vertical="top" wrapText="1"/>
    </xf>
    <xf numFmtId="170" fontId="10" fillId="0" borderId="0" xfId="19" applyNumberFormat="1" applyFont="1" applyAlignment="1">
      <alignment horizontal="right" wrapText="1"/>
    </xf>
    <xf numFmtId="175" fontId="10" fillId="0" borderId="0" xfId="19" applyFont="1" applyAlignment="1">
      <alignment horizontal="right" wrapText="1"/>
    </xf>
    <xf numFmtId="172" fontId="10" fillId="0" borderId="0" xfId="19" applyNumberFormat="1" applyAlignment="1"/>
    <xf numFmtId="1" fontId="11" fillId="0" borderId="0" xfId="20" applyNumberFormat="1" applyFont="1" applyAlignment="1"/>
    <xf numFmtId="1" fontId="10" fillId="0" borderId="0" xfId="20" applyNumberFormat="1" applyAlignment="1"/>
    <xf numFmtId="170" fontId="10" fillId="0" borderId="0" xfId="20" applyNumberFormat="1" applyAlignment="1"/>
    <xf numFmtId="1" fontId="56" fillId="0" borderId="0" xfId="20" applyNumberFormat="1" applyFont="1" applyAlignment="1">
      <alignment horizontal="left" vertical="top" wrapText="1"/>
    </xf>
    <xf numFmtId="182" fontId="10" fillId="0" borderId="0" xfId="20" applyNumberFormat="1" applyAlignment="1">
      <alignment horizontal="right"/>
    </xf>
    <xf numFmtId="1" fontId="56" fillId="0" borderId="0" xfId="20" quotePrefix="1" applyNumberFormat="1" applyFont="1" applyAlignment="1">
      <alignment horizontal="left" vertical="top"/>
    </xf>
    <xf numFmtId="182" fontId="10" fillId="0" borderId="0" xfId="20" applyNumberFormat="1" applyAlignment="1"/>
    <xf numFmtId="1" fontId="11" fillId="0" borderId="0" xfId="20" quotePrefix="1" applyNumberFormat="1" applyFont="1" applyFill="1" applyAlignment="1">
      <alignment horizontal="left"/>
    </xf>
    <xf numFmtId="1" fontId="10" fillId="18" borderId="0" xfId="21" applyNumberFormat="1" applyFill="1" applyAlignment="1"/>
    <xf numFmtId="1" fontId="53" fillId="18" borderId="0" xfId="21" applyNumberFormat="1" applyFont="1" applyFill="1" applyAlignment="1">
      <alignment horizontal="center"/>
    </xf>
    <xf numFmtId="1" fontId="54" fillId="18" borderId="0" xfId="21" applyNumberFormat="1" applyFont="1" applyFill="1" applyAlignment="1">
      <alignment horizontal="center"/>
    </xf>
    <xf numFmtId="1" fontId="19" fillId="18" borderId="0" xfId="21" applyNumberFormat="1" applyFont="1" applyFill="1" applyAlignment="1"/>
    <xf numFmtId="1" fontId="10" fillId="0" borderId="0" xfId="21" applyNumberFormat="1" applyAlignment="1"/>
    <xf numFmtId="2" fontId="10" fillId="0" borderId="0" xfId="21" applyNumberFormat="1" applyAlignment="1"/>
    <xf numFmtId="1" fontId="11" fillId="0" borderId="0" xfId="21" quotePrefix="1" applyNumberFormat="1" applyFont="1" applyFill="1" applyAlignment="1">
      <alignment horizontal="left"/>
    </xf>
    <xf numFmtId="1" fontId="10" fillId="0" borderId="0" xfId="21" quotePrefix="1" applyNumberFormat="1" applyAlignment="1">
      <alignment horizontal="left"/>
    </xf>
    <xf numFmtId="1" fontId="48" fillId="0" borderId="0" xfId="21" applyNumberFormat="1" applyFont="1" applyAlignment="1"/>
    <xf numFmtId="1" fontId="11" fillId="0" borderId="0" xfId="21" applyNumberFormat="1" applyFont="1" applyAlignment="1"/>
    <xf numFmtId="170" fontId="10" fillId="0" borderId="0" xfId="21" applyNumberFormat="1" applyFont="1" applyAlignment="1"/>
    <xf numFmtId="170" fontId="10" fillId="0" borderId="0" xfId="21" applyNumberFormat="1" applyFont="1" applyAlignment="1">
      <alignment horizontal="right" wrapText="1"/>
    </xf>
    <xf numFmtId="170" fontId="10" fillId="0" borderId="0" xfId="21" applyNumberFormat="1" applyAlignment="1"/>
    <xf numFmtId="182" fontId="10" fillId="0" borderId="0" xfId="21" applyNumberFormat="1" applyAlignment="1"/>
    <xf numFmtId="175" fontId="10" fillId="0" borderId="0" xfId="21" applyNumberFormat="1" applyFont="1" applyAlignment="1">
      <alignment horizontal="left" wrapText="1"/>
    </xf>
    <xf numFmtId="0" fontId="10" fillId="0" borderId="0" xfId="21" applyNumberFormat="1" applyFont="1" applyAlignment="1">
      <alignment horizontal="left" wrapText="1"/>
    </xf>
    <xf numFmtId="0" fontId="57" fillId="0" borderId="0" xfId="21" applyNumberFormat="1" applyFont="1" applyAlignment="1">
      <alignment horizontal="left" wrapText="1"/>
    </xf>
    <xf numFmtId="1" fontId="10" fillId="0" borderId="0" xfId="21" quotePrefix="1" applyNumberFormat="1" applyFont="1" applyFill="1" applyAlignment="1">
      <alignment horizontal="left"/>
    </xf>
    <xf numFmtId="1" fontId="10" fillId="20" borderId="0" xfId="22" applyNumberFormat="1" applyFill="1" applyAlignment="1"/>
    <xf numFmtId="1" fontId="58" fillId="20" borderId="0" xfId="22" applyNumberFormat="1" applyFont="1" applyFill="1" applyAlignment="1">
      <alignment horizontal="center"/>
    </xf>
    <xf numFmtId="1" fontId="59" fillId="20" borderId="0" xfId="22" applyNumberFormat="1" applyFont="1" applyFill="1" applyAlignment="1">
      <alignment horizontal="center"/>
    </xf>
    <xf numFmtId="1" fontId="10" fillId="20" borderId="0" xfId="23" applyNumberFormat="1" applyFill="1" applyAlignment="1"/>
    <xf numFmtId="1" fontId="58" fillId="20" borderId="0" xfId="23" applyNumberFormat="1" applyFont="1" applyFill="1" applyAlignment="1">
      <alignment horizontal="center"/>
    </xf>
    <xf numFmtId="1" fontId="61" fillId="20" borderId="0" xfId="23" applyNumberFormat="1" applyFont="1" applyFill="1" applyAlignment="1"/>
    <xf numFmtId="1" fontId="62" fillId="20" borderId="0" xfId="23" applyNumberFormat="1" applyFont="1" applyFill="1" applyAlignment="1">
      <alignment horizontal="center"/>
    </xf>
    <xf numFmtId="1" fontId="10" fillId="19" borderId="0" xfId="24" applyNumberFormat="1" applyFill="1" applyAlignment="1"/>
    <xf numFmtId="1" fontId="10" fillId="0" borderId="0" xfId="24" applyNumberFormat="1" applyAlignment="1"/>
    <xf numFmtId="180" fontId="0" fillId="0" borderId="0" xfId="0" applyNumberFormat="1"/>
    <xf numFmtId="1" fontId="10" fillId="19" borderId="0" xfId="25" applyNumberFormat="1" applyFill="1" applyAlignment="1"/>
    <xf numFmtId="1" fontId="11" fillId="21" borderId="0" xfId="25" quotePrefix="1" applyNumberFormat="1" applyFont="1" applyFill="1" applyAlignment="1">
      <alignment horizontal="left"/>
    </xf>
    <xf numFmtId="1" fontId="10" fillId="21" borderId="0" xfId="25" applyNumberFormat="1" applyFill="1" applyAlignment="1"/>
    <xf numFmtId="1" fontId="61" fillId="21" borderId="0" xfId="25" applyNumberFormat="1" applyFont="1" applyFill="1" applyAlignment="1"/>
    <xf numFmtId="0" fontId="0" fillId="22" borderId="0" xfId="0" applyFill="1"/>
    <xf numFmtId="0" fontId="25" fillId="22" borderId="0" xfId="0" applyFont="1" applyFill="1"/>
    <xf numFmtId="0" fontId="24" fillId="22" borderId="0" xfId="0" applyFont="1" applyFill="1"/>
    <xf numFmtId="0" fontId="21" fillId="22" borderId="0" xfId="0" applyFont="1" applyFill="1"/>
    <xf numFmtId="0" fontId="9" fillId="22" borderId="0" xfId="0" applyFont="1" applyFill="1"/>
    <xf numFmtId="0" fontId="26" fillId="22" borderId="0" xfId="0" applyFont="1" applyFill="1"/>
    <xf numFmtId="0" fontId="0" fillId="22" borderId="0" xfId="0" applyFont="1" applyFill="1"/>
    <xf numFmtId="0" fontId="24" fillId="22" borderId="0" xfId="0" applyFont="1" applyFill="1" applyBorder="1"/>
    <xf numFmtId="0" fontId="0" fillId="22" borderId="0" xfId="0" applyFill="1" applyBorder="1"/>
    <xf numFmtId="2" fontId="0" fillId="22" borderId="0" xfId="0" applyNumberFormat="1" applyFill="1" applyBorder="1"/>
    <xf numFmtId="0" fontId="0" fillId="22" borderId="0" xfId="0" applyFill="1" applyBorder="1" applyAlignment="1"/>
    <xf numFmtId="0" fontId="0" fillId="22" borderId="0" xfId="0" applyFill="1" applyAlignment="1"/>
    <xf numFmtId="169" fontId="0" fillId="22" borderId="0" xfId="0" applyNumberFormat="1" applyFill="1"/>
    <xf numFmtId="2" fontId="0" fillId="22" borderId="0" xfId="0" applyNumberFormat="1" applyFill="1"/>
    <xf numFmtId="9" fontId="0" fillId="22" borderId="0" xfId="7" applyFont="1" applyFill="1"/>
    <xf numFmtId="9" fontId="0" fillId="22" borderId="0" xfId="7" applyFont="1" applyFill="1" applyBorder="1"/>
    <xf numFmtId="174" fontId="0" fillId="22" borderId="0" xfId="7" applyNumberFormat="1" applyFont="1" applyFill="1"/>
    <xf numFmtId="169" fontId="0" fillId="22" borderId="0" xfId="1" applyNumberFormat="1" applyFont="1" applyFill="1"/>
    <xf numFmtId="174" fontId="0" fillId="22" borderId="0" xfId="7" applyNumberFormat="1" applyFont="1" applyFill="1" applyBorder="1"/>
    <xf numFmtId="174" fontId="0" fillId="22" borderId="0" xfId="0" applyNumberFormat="1" applyFill="1" applyBorder="1"/>
    <xf numFmtId="0" fontId="9" fillId="22" borderId="0" xfId="0" applyFont="1" applyFill="1" applyBorder="1"/>
    <xf numFmtId="10" fontId="0" fillId="22" borderId="0" xfId="7" applyNumberFormat="1" applyFont="1" applyFill="1" applyAlignment="1">
      <alignment horizontal="left"/>
    </xf>
    <xf numFmtId="10" fontId="0" fillId="22" borderId="0" xfId="7" applyNumberFormat="1" applyFont="1" applyFill="1" applyAlignment="1">
      <alignment horizontal="center"/>
    </xf>
    <xf numFmtId="10" fontId="0" fillId="22" borderId="0" xfId="7" applyNumberFormat="1" applyFont="1" applyFill="1"/>
    <xf numFmtId="168" fontId="0" fillId="22" borderId="0" xfId="0" applyNumberFormat="1" applyFill="1" applyBorder="1"/>
    <xf numFmtId="10" fontId="0" fillId="22" borderId="0" xfId="7" applyNumberFormat="1" applyFont="1" applyFill="1" applyBorder="1"/>
    <xf numFmtId="169" fontId="0" fillId="22" borderId="0" xfId="1" applyNumberFormat="1" applyFont="1" applyFill="1" applyBorder="1"/>
    <xf numFmtId="1" fontId="0" fillId="22" borderId="0" xfId="0" applyNumberFormat="1" applyFill="1" applyBorder="1"/>
    <xf numFmtId="173" fontId="0" fillId="22" borderId="0" xfId="0" applyNumberFormat="1" applyFill="1"/>
    <xf numFmtId="10" fontId="0" fillId="22" borderId="0" xfId="7" applyNumberFormat="1" applyFont="1" applyFill="1" applyAlignment="1">
      <alignment horizontal="right"/>
    </xf>
    <xf numFmtId="0" fontId="0" fillId="22" borderId="0" xfId="13" applyFont="1" applyFill="1" applyBorder="1"/>
    <xf numFmtId="180" fontId="0" fillId="22" borderId="0" xfId="0" applyNumberFormat="1" applyFill="1"/>
    <xf numFmtId="180" fontId="0" fillId="22" borderId="0" xfId="0" applyNumberFormat="1" applyFill="1" applyBorder="1"/>
    <xf numFmtId="0" fontId="0" fillId="22" borderId="22" xfId="0" applyFill="1" applyBorder="1"/>
    <xf numFmtId="0" fontId="9" fillId="22" borderId="0" xfId="13" applyFont="1" applyFill="1" applyBorder="1" applyAlignment="1">
      <alignment horizontal="center"/>
    </xf>
    <xf numFmtId="180" fontId="9" fillId="22" borderId="0" xfId="13" applyNumberFormat="1" applyFont="1" applyFill="1" applyBorder="1" applyAlignment="1">
      <alignment horizontal="center"/>
    </xf>
    <xf numFmtId="0" fontId="26" fillId="22" borderId="0" xfId="0" applyFont="1" applyFill="1" applyBorder="1"/>
    <xf numFmtId="180" fontId="20" fillId="22" borderId="0" xfId="12" applyNumberFormat="1" applyFill="1" applyBorder="1"/>
    <xf numFmtId="2" fontId="5" fillId="22" borderId="0" xfId="8" applyNumberFormat="1" applyFont="1" applyFill="1" applyBorder="1"/>
    <xf numFmtId="9" fontId="5" fillId="22" borderId="0" xfId="7" applyFont="1" applyFill="1" applyBorder="1"/>
    <xf numFmtId="169" fontId="5" fillId="22" borderId="0" xfId="1" applyNumberFormat="1" applyFont="1" applyFill="1" applyBorder="1"/>
    <xf numFmtId="0" fontId="5" fillId="22" borderId="0" xfId="8" applyFont="1" applyFill="1" applyBorder="1"/>
    <xf numFmtId="168" fontId="5" fillId="22" borderId="0" xfId="1" applyFont="1" applyFill="1" applyBorder="1"/>
    <xf numFmtId="179" fontId="5" fillId="22" borderId="0" xfId="8" applyNumberFormat="1" applyFont="1" applyFill="1" applyBorder="1"/>
    <xf numFmtId="180" fontId="5" fillId="22" borderId="0" xfId="8" applyNumberFormat="1" applyFont="1" applyFill="1" applyBorder="1"/>
    <xf numFmtId="180" fontId="5" fillId="22" borderId="0" xfId="1" applyNumberFormat="1" applyFont="1" applyFill="1" applyBorder="1"/>
    <xf numFmtId="0" fontId="9" fillId="22" borderId="0" xfId="0" applyFont="1" applyFill="1" applyAlignment="1">
      <alignment horizontal="center"/>
    </xf>
    <xf numFmtId="0" fontId="68" fillId="0" borderId="41" xfId="4" applyFont="1" applyFill="1" applyBorder="1" applyAlignment="1">
      <alignment horizontal="center"/>
    </xf>
    <xf numFmtId="0" fontId="4" fillId="0" borderId="34" xfId="4" applyFill="1" applyBorder="1"/>
    <xf numFmtId="0" fontId="4" fillId="0" borderId="1" xfId="4" applyFill="1"/>
    <xf numFmtId="180" fontId="5" fillId="0" borderId="1" xfId="4" applyNumberFormat="1" applyFont="1" applyFill="1"/>
    <xf numFmtId="0" fontId="25" fillId="0" borderId="0" xfId="0" applyFont="1" applyFill="1"/>
    <xf numFmtId="0" fontId="0" fillId="0" borderId="0" xfId="0" applyFill="1" applyBorder="1" applyAlignment="1"/>
    <xf numFmtId="0" fontId="0" fillId="0" borderId="0" xfId="0" applyFill="1" applyBorder="1"/>
    <xf numFmtId="0" fontId="24" fillId="0" borderId="0" xfId="0" applyFont="1" applyFill="1"/>
    <xf numFmtId="0" fontId="0" fillId="0" borderId="0" xfId="0" applyFill="1" applyAlignment="1"/>
    <xf numFmtId="0" fontId="20" fillId="0" borderId="36" xfId="12" applyFill="1"/>
    <xf numFmtId="0" fontId="9" fillId="0" borderId="0" xfId="0" applyFont="1" applyFill="1"/>
    <xf numFmtId="0" fontId="21" fillId="0" borderId="0" xfId="0" applyFont="1" applyFill="1"/>
    <xf numFmtId="0" fontId="9" fillId="0" borderId="0" xfId="0" applyFont="1" applyFill="1" applyAlignment="1">
      <alignment horizontal="center"/>
    </xf>
    <xf numFmtId="2" fontId="20" fillId="0" borderId="36" xfId="12" applyNumberFormat="1" applyFill="1"/>
    <xf numFmtId="168" fontId="20" fillId="0" borderId="36" xfId="12" applyNumberFormat="1" applyFill="1"/>
    <xf numFmtId="0" fontId="0" fillId="0" borderId="0" xfId="0" quotePrefix="1" applyFill="1"/>
    <xf numFmtId="169" fontId="0" fillId="0" borderId="0" xfId="0" applyNumberFormat="1" applyFill="1"/>
    <xf numFmtId="169" fontId="0" fillId="0" borderId="0" xfId="1" applyNumberFormat="1" applyFont="1" applyFill="1"/>
    <xf numFmtId="9" fontId="0" fillId="0" borderId="0" xfId="7" applyFont="1" applyFill="1"/>
    <xf numFmtId="169" fontId="0" fillId="0" borderId="20" xfId="0" applyNumberFormat="1" applyFill="1" applyBorder="1"/>
    <xf numFmtId="2" fontId="5" fillId="0" borderId="0" xfId="8" applyNumberFormat="1" applyFont="1" applyFill="1" applyBorder="1"/>
    <xf numFmtId="168" fontId="0" fillId="0" borderId="0" xfId="0" applyNumberFormat="1" applyFill="1"/>
    <xf numFmtId="0" fontId="9" fillId="0" borderId="0" xfId="0" quotePrefix="1" applyFont="1" applyFill="1"/>
    <xf numFmtId="2" fontId="0" fillId="0" borderId="0" xfId="0" applyNumberFormat="1" applyFill="1"/>
    <xf numFmtId="180" fontId="5" fillId="0" borderId="0" xfId="8" applyNumberFormat="1" applyFont="1" applyFill="1" applyBorder="1"/>
    <xf numFmtId="0" fontId="5" fillId="0" borderId="0" xfId="8" applyFont="1" applyFill="1" applyBorder="1"/>
    <xf numFmtId="168" fontId="5" fillId="0" borderId="0" xfId="1" applyFont="1" applyFill="1" applyBorder="1"/>
    <xf numFmtId="173" fontId="0" fillId="0" borderId="0" xfId="0" applyNumberFormat="1" applyFill="1"/>
    <xf numFmtId="0" fontId="21" fillId="0" borderId="40" xfId="13" applyFont="1" applyFill="1" applyBorder="1"/>
    <xf numFmtId="0" fontId="21" fillId="0" borderId="39" xfId="13" applyFont="1" applyFill="1" applyBorder="1"/>
    <xf numFmtId="0" fontId="21" fillId="0" borderId="45" xfId="13" applyFont="1" applyFill="1" applyBorder="1"/>
    <xf numFmtId="0" fontId="9" fillId="0" borderId="0" xfId="13" applyFont="1" applyFill="1" applyBorder="1"/>
    <xf numFmtId="0" fontId="0" fillId="0" borderId="0" xfId="13" applyFont="1" applyFill="1" applyBorder="1"/>
    <xf numFmtId="0" fontId="20" fillId="0" borderId="38" xfId="12" applyFill="1" applyBorder="1"/>
    <xf numFmtId="0" fontId="24" fillId="0" borderId="0" xfId="0" applyFont="1" applyFill="1" applyBorder="1"/>
    <xf numFmtId="0" fontId="9" fillId="0" borderId="0" xfId="13" applyFont="1" applyFill="1" applyBorder="1" applyAlignment="1">
      <alignment horizontal="center"/>
    </xf>
    <xf numFmtId="169" fontId="20" fillId="0" borderId="36" xfId="12" applyNumberFormat="1" applyFill="1"/>
    <xf numFmtId="0" fontId="9" fillId="0" borderId="0" xfId="0" applyFont="1" applyFill="1" applyBorder="1"/>
    <xf numFmtId="0" fontId="26" fillId="0" borderId="0" xfId="0" applyFont="1" applyFill="1"/>
    <xf numFmtId="0" fontId="0" fillId="0" borderId="0" xfId="0" applyFont="1" applyFill="1"/>
    <xf numFmtId="0" fontId="0" fillId="0" borderId="0" xfId="6" applyNumberFormat="1" applyFont="1" applyFill="1"/>
    <xf numFmtId="180" fontId="20" fillId="0" borderId="0" xfId="12" applyNumberFormat="1" applyFill="1" applyBorder="1"/>
    <xf numFmtId="10" fontId="0" fillId="0" borderId="0" xfId="7" applyNumberFormat="1" applyFont="1" applyFill="1" applyAlignment="1">
      <alignment horizontal="right"/>
    </xf>
    <xf numFmtId="180" fontId="5" fillId="0" borderId="1" xfId="8" applyNumberFormat="1" applyFont="1" applyFill="1"/>
    <xf numFmtId="180" fontId="0" fillId="0" borderId="0" xfId="0" applyNumberFormat="1" applyFill="1"/>
    <xf numFmtId="0" fontId="0" fillId="0" borderId="11" xfId="0" applyFill="1" applyBorder="1"/>
    <xf numFmtId="0" fontId="0" fillId="0" borderId="22" xfId="0" applyFill="1" applyBorder="1"/>
    <xf numFmtId="180" fontId="20" fillId="0" borderId="60" xfId="12" applyNumberFormat="1" applyFill="1" applyBorder="1"/>
    <xf numFmtId="10" fontId="0" fillId="0" borderId="23" xfId="7" applyNumberFormat="1" applyFont="1" applyFill="1" applyBorder="1" applyAlignment="1">
      <alignment horizontal="right"/>
    </xf>
    <xf numFmtId="0" fontId="26" fillId="0" borderId="0" xfId="0" applyFont="1" applyFill="1" applyBorder="1"/>
    <xf numFmtId="180" fontId="9" fillId="0" borderId="0" xfId="13" applyNumberFormat="1" applyFont="1" applyFill="1" applyBorder="1" applyAlignment="1">
      <alignment horizontal="center"/>
    </xf>
    <xf numFmtId="180" fontId="5" fillId="0" borderId="1" xfId="8" applyNumberFormat="1" applyFont="1" applyFill="1" applyBorder="1"/>
    <xf numFmtId="0" fontId="37" fillId="0" borderId="0" xfId="0" applyFont="1" applyFill="1" applyBorder="1"/>
    <xf numFmtId="180" fontId="9" fillId="0" borderId="0" xfId="0" applyNumberFormat="1" applyFont="1" applyFill="1"/>
    <xf numFmtId="10" fontId="0" fillId="0" borderId="0" xfId="7" applyNumberFormat="1" applyFont="1" applyFill="1" applyAlignment="1">
      <alignment horizontal="left"/>
    </xf>
    <xf numFmtId="180" fontId="8" fillId="0" borderId="1" xfId="8" applyNumberFormat="1" applyFill="1"/>
    <xf numFmtId="10" fontId="0" fillId="0" borderId="0" xfId="7" applyNumberFormat="1" applyFont="1" applyFill="1" applyAlignment="1">
      <alignment horizontal="center"/>
    </xf>
    <xf numFmtId="9" fontId="0" fillId="0" borderId="0" xfId="7" applyFont="1" applyFill="1" applyBorder="1"/>
    <xf numFmtId="169" fontId="0" fillId="0" borderId="0" xfId="0" applyNumberFormat="1" applyFill="1" applyBorder="1"/>
    <xf numFmtId="180" fontId="0" fillId="0" borderId="0" xfId="0" applyNumberFormat="1" applyFill="1" applyBorder="1"/>
    <xf numFmtId="10" fontId="0" fillId="0" borderId="0" xfId="7" applyNumberFormat="1" applyFont="1" applyFill="1" applyBorder="1"/>
    <xf numFmtId="174" fontId="0" fillId="0" borderId="0" xfId="7" applyNumberFormat="1" applyFont="1" applyFill="1"/>
    <xf numFmtId="1" fontId="0" fillId="0" borderId="0" xfId="0" applyNumberFormat="1" applyFill="1"/>
    <xf numFmtId="174" fontId="0" fillId="0" borderId="0" xfId="0" applyNumberFormat="1" applyFill="1" applyBorder="1"/>
    <xf numFmtId="169" fontId="0" fillId="0" borderId="0" xfId="1" applyNumberFormat="1" applyFont="1" applyFill="1" applyBorder="1"/>
    <xf numFmtId="1" fontId="0" fillId="0" borderId="0" xfId="0" applyNumberFormat="1" applyFill="1" applyBorder="1"/>
    <xf numFmtId="0" fontId="38" fillId="0" borderId="11" xfId="0" applyFont="1" applyFill="1" applyBorder="1"/>
    <xf numFmtId="0" fontId="0" fillId="0" borderId="23" xfId="0" applyFill="1" applyBorder="1"/>
    <xf numFmtId="0" fontId="5" fillId="0" borderId="24" xfId="0" applyFont="1" applyFill="1" applyBorder="1" applyAlignment="1" applyProtection="1">
      <alignment horizontal="left"/>
    </xf>
    <xf numFmtId="0" fontId="0" fillId="0" borderId="5" xfId="0" applyFill="1" applyBorder="1"/>
    <xf numFmtId="0" fontId="34" fillId="0" borderId="0" xfId="0" applyFont="1" applyFill="1"/>
    <xf numFmtId="0" fontId="0" fillId="0" borderId="0" xfId="0" applyFill="1" applyAlignment="1">
      <alignment horizontal="center"/>
    </xf>
    <xf numFmtId="169" fontId="0" fillId="0" borderId="5" xfId="1" applyNumberFormat="1" applyFont="1" applyFill="1" applyBorder="1"/>
    <xf numFmtId="0" fontId="0" fillId="0" borderId="9" xfId="13" applyFont="1" applyFill="1" applyBorder="1" applyAlignment="1">
      <alignment horizontal="center"/>
    </xf>
    <xf numFmtId="0" fontId="5" fillId="0" borderId="0" xfId="0" applyFont="1" applyFill="1" applyBorder="1" applyAlignment="1" applyProtection="1">
      <alignment horizontal="left"/>
    </xf>
    <xf numFmtId="173" fontId="0" fillId="0" borderId="0" xfId="0" applyNumberFormat="1" applyFont="1" applyFill="1"/>
    <xf numFmtId="0" fontId="5" fillId="0" borderId="25" xfId="0" applyFont="1" applyFill="1" applyBorder="1" applyAlignment="1" applyProtection="1">
      <alignment horizontal="left"/>
    </xf>
    <xf numFmtId="0" fontId="0" fillId="0" borderId="3" xfId="0" applyFill="1" applyBorder="1"/>
    <xf numFmtId="169" fontId="20" fillId="0" borderId="44" xfId="12" applyNumberFormat="1" applyFill="1" applyBorder="1"/>
    <xf numFmtId="173" fontId="20" fillId="0" borderId="36" xfId="12" applyNumberFormat="1" applyFill="1"/>
    <xf numFmtId="0" fontId="5" fillId="0" borderId="6" xfId="0" applyFont="1" applyFill="1" applyBorder="1" applyAlignment="1" applyProtection="1">
      <alignment horizontal="left"/>
    </xf>
    <xf numFmtId="0" fontId="0" fillId="0" borderId="2" xfId="0" applyFill="1" applyBorder="1"/>
    <xf numFmtId="173" fontId="0" fillId="0" borderId="2" xfId="0" applyNumberFormat="1" applyFill="1" applyBorder="1"/>
    <xf numFmtId="169" fontId="0" fillId="0" borderId="7" xfId="1" applyNumberFormat="1" applyFont="1" applyFill="1" applyBorder="1"/>
    <xf numFmtId="2" fontId="0" fillId="0" borderId="0" xfId="0" applyNumberFormat="1" applyFill="1" applyAlignment="1">
      <alignment horizontal="center"/>
    </xf>
    <xf numFmtId="2" fontId="29" fillId="0" borderId="0" xfId="0" applyNumberFormat="1" applyFont="1" applyFill="1"/>
    <xf numFmtId="0" fontId="5" fillId="0" borderId="18" xfId="0" applyFont="1" applyFill="1" applyBorder="1" applyAlignment="1" applyProtection="1">
      <alignment horizontal="left"/>
    </xf>
    <xf numFmtId="173" fontId="0" fillId="0" borderId="19" xfId="0" applyNumberFormat="1" applyFill="1" applyBorder="1"/>
    <xf numFmtId="169" fontId="0" fillId="0" borderId="20" xfId="1" applyNumberFormat="1" applyFont="1" applyFill="1" applyBorder="1"/>
    <xf numFmtId="169" fontId="20" fillId="0" borderId="4" xfId="12" applyNumberFormat="1" applyFill="1" applyBorder="1"/>
    <xf numFmtId="173" fontId="5" fillId="22" borderId="0" xfId="8" applyNumberFormat="1" applyFont="1" applyFill="1" applyBorder="1"/>
    <xf numFmtId="1" fontId="5" fillId="22" borderId="0" xfId="8" applyNumberFormat="1" applyFont="1" applyFill="1" applyBorder="1"/>
    <xf numFmtId="10" fontId="0" fillId="22" borderId="0" xfId="7" applyNumberFormat="1" applyFont="1" applyFill="1" applyBorder="1" applyAlignment="1">
      <alignment horizontal="right"/>
    </xf>
    <xf numFmtId="1" fontId="56" fillId="0" borderId="0" xfId="0" applyNumberFormat="1" applyFont="1" applyAlignment="1" applyProtection="1">
      <alignment horizontal="left" vertical="top" wrapText="1"/>
      <protection locked="0" hidden="1"/>
    </xf>
    <xf numFmtId="0" fontId="69" fillId="22" borderId="0" xfId="13" applyFont="1" applyFill="1" applyBorder="1"/>
    <xf numFmtId="179" fontId="0" fillId="22" borderId="0" xfId="0" applyNumberFormat="1" applyFill="1" applyAlignment="1"/>
    <xf numFmtId="180" fontId="5" fillId="22" borderId="46" xfId="8" applyNumberFormat="1" applyFont="1" applyFill="1" applyBorder="1"/>
    <xf numFmtId="180" fontId="0" fillId="22" borderId="0" xfId="13" applyNumberFormat="1" applyFont="1" applyFill="1" applyBorder="1"/>
    <xf numFmtId="179" fontId="20" fillId="0" borderId="36" xfId="6" applyNumberFormat="1" applyFont="1" applyFill="1" applyBorder="1"/>
    <xf numFmtId="179" fontId="4" fillId="0" borderId="1" xfId="4" applyNumberFormat="1" applyFill="1"/>
    <xf numFmtId="168" fontId="0" fillId="0" borderId="0" xfId="1" applyFont="1" applyFill="1"/>
    <xf numFmtId="0" fontId="69" fillId="0" borderId="0" xfId="0" applyFont="1"/>
    <xf numFmtId="180" fontId="0" fillId="22" borderId="0" xfId="6" applyNumberFormat="1" applyFont="1" applyFill="1"/>
    <xf numFmtId="180" fontId="67" fillId="22" borderId="0" xfId="8" applyNumberFormat="1" applyFont="1" applyFill="1" applyBorder="1"/>
    <xf numFmtId="0" fontId="9" fillId="22" borderId="11" xfId="0" applyFont="1" applyFill="1" applyBorder="1"/>
    <xf numFmtId="180" fontId="9" fillId="22" borderId="22" xfId="0" applyNumberFormat="1" applyFont="1" applyFill="1" applyBorder="1"/>
    <xf numFmtId="9" fontId="0" fillId="22" borderId="22" xfId="7" applyFont="1" applyFill="1" applyBorder="1"/>
    <xf numFmtId="0" fontId="5" fillId="22" borderId="24" xfId="0" applyFont="1" applyFill="1" applyBorder="1" applyAlignment="1" applyProtection="1">
      <alignment horizontal="left"/>
    </xf>
    <xf numFmtId="0" fontId="5" fillId="22" borderId="0" xfId="0" applyFont="1" applyFill="1" applyBorder="1" applyAlignment="1" applyProtection="1">
      <alignment horizontal="left"/>
    </xf>
    <xf numFmtId="0" fontId="69" fillId="0" borderId="0" xfId="0" applyFont="1" applyFill="1"/>
    <xf numFmtId="180" fontId="0" fillId="22" borderId="0" xfId="1" applyNumberFormat="1" applyFont="1" applyFill="1" applyBorder="1"/>
    <xf numFmtId="0" fontId="0" fillId="22" borderId="0" xfId="0" quotePrefix="1" applyFill="1"/>
    <xf numFmtId="0" fontId="68" fillId="22" borderId="0" xfId="0" applyFont="1" applyFill="1" applyBorder="1" applyAlignment="1" applyProtection="1">
      <alignment horizontal="left"/>
    </xf>
    <xf numFmtId="182" fontId="0" fillId="0" borderId="0" xfId="0" applyNumberFormat="1"/>
    <xf numFmtId="2" fontId="4" fillId="0" borderId="1" xfId="4" applyNumberFormat="1" applyFill="1" applyAlignment="1">
      <alignment horizontal="center"/>
    </xf>
    <xf numFmtId="174" fontId="0" fillId="22" borderId="0" xfId="7" applyNumberFormat="1" applyFont="1" applyFill="1" applyAlignment="1">
      <alignment horizontal="center"/>
    </xf>
    <xf numFmtId="174" fontId="0" fillId="22" borderId="22" xfId="7" applyNumberFormat="1" applyFont="1" applyFill="1" applyBorder="1" applyAlignment="1">
      <alignment horizontal="center"/>
    </xf>
    <xf numFmtId="0" fontId="9" fillId="0" borderId="11" xfId="0" applyFont="1" applyFill="1" applyBorder="1"/>
    <xf numFmtId="0" fontId="68" fillId="0" borderId="0" xfId="0" applyFont="1" applyFill="1" applyBorder="1" applyAlignment="1" applyProtection="1">
      <alignment horizontal="left"/>
    </xf>
    <xf numFmtId="9" fontId="0" fillId="0" borderId="0" xfId="0" applyNumberFormat="1" applyFill="1"/>
    <xf numFmtId="180" fontId="0" fillId="0" borderId="22" xfId="0" applyNumberFormat="1" applyFill="1" applyBorder="1"/>
    <xf numFmtId="1" fontId="0" fillId="18" borderId="0" xfId="0" applyNumberFormat="1" applyFill="1" applyAlignment="1"/>
    <xf numFmtId="1" fontId="10" fillId="0" borderId="0" xfId="0" quotePrefix="1" applyNumberFormat="1" applyFont="1" applyFill="1" applyAlignment="1">
      <alignment horizontal="right"/>
    </xf>
    <xf numFmtId="2" fontId="0" fillId="0" borderId="0" xfId="0" applyNumberFormat="1" applyAlignment="1">
      <alignment horizontal="center"/>
    </xf>
    <xf numFmtId="3" fontId="0" fillId="0" borderId="0" xfId="0" applyNumberFormat="1" applyAlignment="1"/>
    <xf numFmtId="1" fontId="72" fillId="0" borderId="0" xfId="0" quotePrefix="1" applyNumberFormat="1" applyFont="1" applyAlignment="1" applyProtection="1">
      <alignment horizontal="left"/>
    </xf>
    <xf numFmtId="1" fontId="0" fillId="0" borderId="0" xfId="0" applyNumberFormat="1" applyAlignment="1">
      <alignment horizontal="center"/>
    </xf>
    <xf numFmtId="1" fontId="11" fillId="0" borderId="0" xfId="0" applyNumberFormat="1" applyFont="1" applyFill="1" applyAlignment="1">
      <alignment horizontal="center"/>
    </xf>
    <xf numFmtId="1" fontId="10" fillId="0" borderId="0" xfId="0" applyNumberFormat="1" applyFont="1" applyFill="1" applyAlignment="1">
      <alignment horizontal="center"/>
    </xf>
    <xf numFmtId="1" fontId="11" fillId="0" borderId="0" xfId="0" quotePrefix="1" applyNumberFormat="1" applyFont="1" applyAlignment="1">
      <alignment horizontal="left"/>
    </xf>
    <xf numFmtId="1" fontId="0" fillId="0" borderId="0" xfId="0" applyNumberFormat="1" applyAlignment="1">
      <alignment horizontal="right"/>
    </xf>
    <xf numFmtId="2" fontId="0" fillId="0" borderId="0" xfId="0" applyNumberFormat="1" applyAlignment="1">
      <alignment horizontal="left"/>
    </xf>
    <xf numFmtId="1" fontId="11" fillId="0" borderId="0" xfId="0" applyNumberFormat="1" applyFont="1" applyAlignment="1">
      <alignment horizontal="center"/>
    </xf>
    <xf numFmtId="1" fontId="10" fillId="0" borderId="0" xfId="0" quotePrefix="1" applyNumberFormat="1" applyFont="1" applyFill="1" applyAlignment="1">
      <alignment horizontal="left"/>
    </xf>
    <xf numFmtId="1" fontId="10" fillId="0" borderId="0" xfId="0" applyNumberFormat="1" applyFont="1" applyFill="1" applyAlignment="1"/>
    <xf numFmtId="1" fontId="0" fillId="0" borderId="0" xfId="0" quotePrefix="1" applyNumberFormat="1" applyAlignment="1">
      <alignment horizontal="left"/>
    </xf>
    <xf numFmtId="1" fontId="72" fillId="0" borderId="0" xfId="0" applyNumberFormat="1" applyFont="1" applyAlignment="1"/>
    <xf numFmtId="1" fontId="0" fillId="0" borderId="0" xfId="0" applyNumberFormat="1" applyFill="1" applyAlignment="1"/>
    <xf numFmtId="3" fontId="0" fillId="0" borderId="0" xfId="0" applyNumberFormat="1" applyFill="1" applyAlignment="1">
      <alignment horizontal="center"/>
    </xf>
    <xf numFmtId="183" fontId="0" fillId="0" borderId="0" xfId="0" applyNumberFormat="1" applyFill="1" applyAlignment="1">
      <alignment horizontal="center"/>
    </xf>
    <xf numFmtId="1" fontId="0" fillId="0" borderId="0" xfId="0" quotePrefix="1" applyNumberFormat="1" applyFill="1" applyAlignment="1">
      <alignment horizontal="left"/>
    </xf>
    <xf numFmtId="1" fontId="73" fillId="0" borderId="0" xfId="0" applyNumberFormat="1" applyFont="1" applyAlignment="1">
      <alignment horizontal="left" vertical="top" wrapText="1"/>
    </xf>
    <xf numFmtId="180" fontId="0" fillId="0" borderId="0" xfId="0" applyNumberFormat="1" applyAlignment="1"/>
    <xf numFmtId="184" fontId="0" fillId="0" borderId="0" xfId="0" applyNumberFormat="1" applyAlignment="1"/>
    <xf numFmtId="173" fontId="0" fillId="0" borderId="0" xfId="0" applyNumberFormat="1" applyAlignment="1"/>
    <xf numFmtId="185" fontId="0" fillId="0" borderId="0" xfId="0" applyNumberFormat="1" applyAlignment="1"/>
    <xf numFmtId="1" fontId="10" fillId="0" borderId="0" xfId="0" applyNumberFormat="1" applyFont="1" applyAlignment="1" applyProtection="1"/>
    <xf numFmtId="9" fontId="0" fillId="0" borderId="0" xfId="0" applyNumberFormat="1" applyAlignment="1">
      <alignment horizontal="center"/>
    </xf>
    <xf numFmtId="183" fontId="0" fillId="0" borderId="0" xfId="0" applyNumberFormat="1" applyAlignment="1">
      <alignment horizontal="center"/>
    </xf>
    <xf numFmtId="180" fontId="0" fillId="0" borderId="0" xfId="0" applyNumberFormat="1" applyAlignment="1">
      <alignment horizontal="center"/>
    </xf>
    <xf numFmtId="1" fontId="0" fillId="0" borderId="0" xfId="0" applyNumberFormat="1" applyFill="1" applyAlignment="1">
      <alignment horizontal="left"/>
    </xf>
    <xf numFmtId="1" fontId="10" fillId="0" borderId="0" xfId="0" quotePrefix="1" applyNumberFormat="1" applyFont="1" applyAlignment="1" applyProtection="1">
      <alignment horizontal="left"/>
    </xf>
    <xf numFmtId="3" fontId="10" fillId="0" borderId="0" xfId="0" applyNumberFormat="1" applyFont="1" applyFill="1" applyAlignment="1">
      <alignment horizontal="center"/>
    </xf>
    <xf numFmtId="183" fontId="10" fillId="0" borderId="0" xfId="0" applyNumberFormat="1" applyFont="1" applyFill="1" applyAlignment="1">
      <alignment horizontal="center"/>
    </xf>
    <xf numFmtId="1" fontId="11" fillId="0" borderId="0" xfId="0" applyNumberFormat="1" applyFont="1" applyAlignment="1" applyProtection="1"/>
    <xf numFmtId="1" fontId="11" fillId="0" borderId="0" xfId="0" applyNumberFormat="1" applyFont="1" applyFill="1" applyAlignment="1"/>
    <xf numFmtId="183" fontId="0" fillId="0" borderId="0" xfId="0" applyNumberFormat="1" applyFill="1" applyAlignment="1"/>
    <xf numFmtId="1" fontId="72" fillId="0" borderId="0" xfId="0" applyNumberFormat="1" applyFont="1" applyAlignment="1" applyProtection="1"/>
    <xf numFmtId="1" fontId="11" fillId="0" borderId="0" xfId="0" applyNumberFormat="1" applyFont="1" applyAlignment="1"/>
    <xf numFmtId="1" fontId="0" fillId="0" borderId="0" xfId="0" applyNumberFormat="1" applyFill="1" applyAlignment="1">
      <alignment horizontal="center"/>
    </xf>
    <xf numFmtId="179" fontId="0" fillId="0" borderId="0" xfId="0" applyNumberFormat="1" applyFill="1" applyAlignment="1">
      <alignment horizontal="center"/>
    </xf>
    <xf numFmtId="179" fontId="0" fillId="0" borderId="0" xfId="0" applyNumberFormat="1" applyAlignment="1"/>
    <xf numFmtId="1" fontId="10" fillId="0" borderId="0" xfId="0" applyNumberFormat="1" applyFont="1" applyAlignment="1"/>
    <xf numFmtId="170" fontId="0" fillId="0" borderId="0" xfId="0" applyNumberFormat="1" applyAlignment="1">
      <alignment horizontal="center"/>
    </xf>
    <xf numFmtId="1" fontId="0" fillId="0" borderId="0" xfId="0" quotePrefix="1" applyNumberFormat="1" applyAlignment="1">
      <alignment horizontal="right"/>
    </xf>
    <xf numFmtId="1" fontId="11" fillId="0" borderId="0" xfId="0" applyNumberFormat="1" applyFont="1" applyFill="1" applyAlignment="1" applyProtection="1">
      <alignment horizontal="left" wrapText="1"/>
    </xf>
    <xf numFmtId="175" fontId="74" fillId="0" borderId="0" xfId="0" applyNumberFormat="1" applyFont="1" applyAlignment="1">
      <alignment horizontal="left" wrapText="1"/>
    </xf>
    <xf numFmtId="172" fontId="0" fillId="0" borderId="0" xfId="0" applyNumberFormat="1" applyAlignment="1"/>
    <xf numFmtId="186" fontId="0" fillId="0" borderId="0" xfId="6" applyNumberFormat="1" applyFont="1"/>
    <xf numFmtId="182" fontId="0" fillId="0" borderId="0" xfId="0" applyNumberFormat="1" applyAlignment="1"/>
    <xf numFmtId="187" fontId="0" fillId="0" borderId="0" xfId="1" applyNumberFormat="1" applyFont="1"/>
    <xf numFmtId="1" fontId="11" fillId="0" borderId="0" xfId="0" quotePrefix="1" applyNumberFormat="1" applyFont="1" applyFill="1" applyAlignment="1">
      <alignment horizontal="left"/>
    </xf>
    <xf numFmtId="1" fontId="11" fillId="0" borderId="0" xfId="0" quotePrefix="1" applyNumberFormat="1" applyFont="1" applyFill="1" applyAlignment="1">
      <alignment horizontal="center"/>
    </xf>
    <xf numFmtId="1" fontId="0" fillId="0" borderId="0" xfId="0" quotePrefix="1" applyNumberFormat="1" applyAlignment="1">
      <alignment horizontal="center"/>
    </xf>
    <xf numFmtId="1" fontId="0" fillId="0" borderId="0" xfId="0" applyNumberFormat="1" applyAlignment="1">
      <alignment horizontal="left"/>
    </xf>
    <xf numFmtId="1" fontId="11" fillId="0" borderId="0" xfId="0" applyNumberFormat="1" applyFont="1" applyFill="1" applyAlignment="1">
      <alignment horizontal="left"/>
    </xf>
    <xf numFmtId="1" fontId="10" fillId="0" borderId="0" xfId="0" applyNumberFormat="1" applyFont="1" applyFill="1" applyAlignment="1" applyProtection="1"/>
    <xf numFmtId="166" fontId="0" fillId="0" borderId="0" xfId="1" applyNumberFormat="1" applyFont="1" applyFill="1" applyAlignment="1">
      <alignment horizontal="center"/>
    </xf>
    <xf numFmtId="180" fontId="0" fillId="0" borderId="0" xfId="0" applyNumberFormat="1" applyFill="1" applyAlignment="1">
      <alignment horizontal="center"/>
    </xf>
    <xf numFmtId="174" fontId="0" fillId="0" borderId="0" xfId="7" applyNumberFormat="1" applyFont="1" applyFill="1" applyAlignment="1">
      <alignment horizontal="center"/>
    </xf>
    <xf numFmtId="2" fontId="10" fillId="0" borderId="0" xfId="0" applyNumberFormat="1" applyFont="1" applyAlignment="1">
      <alignment horizontal="center"/>
    </xf>
    <xf numFmtId="184" fontId="10" fillId="0" borderId="0" xfId="0" applyNumberFormat="1" applyFont="1" applyAlignment="1">
      <alignment horizontal="center"/>
    </xf>
    <xf numFmtId="1" fontId="10" fillId="0" borderId="0" xfId="0" quotePrefix="1" applyNumberFormat="1" applyFont="1" applyFill="1" applyAlignment="1" applyProtection="1">
      <alignment horizontal="left"/>
    </xf>
    <xf numFmtId="1" fontId="73" fillId="0" borderId="0" xfId="0" quotePrefix="1" applyNumberFormat="1" applyFont="1" applyAlignment="1">
      <alignment horizontal="left" vertical="top" wrapText="1"/>
    </xf>
    <xf numFmtId="1" fontId="10" fillId="0" borderId="0" xfId="0" applyNumberFormat="1" applyFont="1" applyAlignment="1">
      <alignment horizontal="center"/>
    </xf>
    <xf numFmtId="173" fontId="10" fillId="0" borderId="0" xfId="0" applyNumberFormat="1" applyFont="1" applyAlignment="1">
      <alignment horizontal="center"/>
    </xf>
    <xf numFmtId="9" fontId="0" fillId="0" borderId="0" xfId="7" applyFont="1" applyAlignment="1">
      <alignment horizontal="center"/>
    </xf>
    <xf numFmtId="4" fontId="0" fillId="0" borderId="0" xfId="0" applyNumberFormat="1" applyAlignment="1"/>
    <xf numFmtId="1" fontId="10" fillId="0" borderId="0" xfId="0" applyNumberFormat="1" applyFont="1" applyAlignment="1" applyProtection="1">
      <alignment horizontal="left"/>
    </xf>
    <xf numFmtId="170" fontId="10" fillId="0" borderId="0" xfId="0" applyNumberFormat="1" applyFont="1" applyAlignment="1">
      <alignment horizontal="center"/>
    </xf>
    <xf numFmtId="188" fontId="0" fillId="0" borderId="0" xfId="0" applyNumberFormat="1" applyAlignment="1">
      <alignment horizontal="center"/>
    </xf>
    <xf numFmtId="164" fontId="0" fillId="0" borderId="0" xfId="6" applyNumberFormat="1" applyFont="1" applyAlignment="1">
      <alignment horizontal="right"/>
    </xf>
    <xf numFmtId="1" fontId="11" fillId="0" borderId="0" xfId="0" applyNumberFormat="1" applyFont="1" applyAlignment="1">
      <alignment horizontal="right"/>
    </xf>
    <xf numFmtId="10" fontId="0" fillId="0" borderId="0" xfId="7" applyNumberFormat="1" applyFont="1" applyFill="1" applyBorder="1" applyAlignment="1">
      <alignment horizontal="right"/>
    </xf>
    <xf numFmtId="1" fontId="10" fillId="22" borderId="0" xfId="25" applyNumberFormat="1" applyFill="1" applyAlignment="1"/>
    <xf numFmtId="0" fontId="0" fillId="22" borderId="0" xfId="6" applyNumberFormat="1" applyFont="1" applyFill="1" applyBorder="1"/>
    <xf numFmtId="174" fontId="0" fillId="22" borderId="0" xfId="7" applyNumberFormat="1" applyFont="1" applyFill="1" applyBorder="1" applyAlignment="1">
      <alignment horizontal="center"/>
    </xf>
    <xf numFmtId="2" fontId="0" fillId="0" borderId="0" xfId="0" applyNumberFormat="1" applyFill="1" applyBorder="1"/>
    <xf numFmtId="180" fontId="9" fillId="0" borderId="0" xfId="0" applyNumberFormat="1" applyFont="1"/>
    <xf numFmtId="180" fontId="0" fillId="0" borderId="22" xfId="0" applyNumberFormat="1" applyBorder="1"/>
    <xf numFmtId="179" fontId="10" fillId="0" borderId="0" xfId="0" applyNumberFormat="1" applyFont="1" applyAlignment="1">
      <alignment horizontal="center"/>
    </xf>
    <xf numFmtId="179" fontId="11" fillId="0" borderId="0" xfId="0" applyNumberFormat="1" applyFont="1" applyAlignment="1"/>
    <xf numFmtId="179" fontId="0" fillId="0" borderId="0" xfId="0" applyNumberFormat="1" applyAlignment="1">
      <alignment horizontal="center"/>
    </xf>
    <xf numFmtId="179" fontId="0" fillId="0" borderId="0" xfId="0" applyNumberFormat="1" applyAlignment="1" applyProtection="1"/>
    <xf numFmtId="180" fontId="11" fillId="0" borderId="0" xfId="0" applyNumberFormat="1" applyFont="1" applyAlignment="1"/>
    <xf numFmtId="182" fontId="0" fillId="0" borderId="0" xfId="0" applyNumberFormat="1" applyFill="1"/>
    <xf numFmtId="0" fontId="9" fillId="0" borderId="0" xfId="0" quotePrefix="1" applyFont="1" applyBorder="1"/>
    <xf numFmtId="0" fontId="20" fillId="8" borderId="0" xfId="12" applyBorder="1"/>
    <xf numFmtId="0" fontId="0" fillId="0" borderId="0" xfId="0" quotePrefix="1" applyBorder="1"/>
    <xf numFmtId="0" fontId="9" fillId="0" borderId="0" xfId="0" applyFont="1" applyBorder="1"/>
    <xf numFmtId="0" fontId="21" fillId="0" borderId="64" xfId="13" applyFont="1" applyFill="1" applyBorder="1"/>
    <xf numFmtId="189" fontId="20" fillId="0" borderId="36" xfId="12" applyNumberFormat="1" applyFill="1"/>
    <xf numFmtId="1" fontId="4" fillId="0" borderId="1" xfId="4" applyNumberFormat="1" applyFill="1"/>
    <xf numFmtId="169" fontId="5" fillId="8" borderId="43" xfId="8" applyNumberFormat="1" applyFont="1" applyBorder="1"/>
    <xf numFmtId="169" fontId="20" fillId="0" borderId="38" xfId="12" applyNumberFormat="1" applyFill="1" applyBorder="1"/>
    <xf numFmtId="0" fontId="21" fillId="0" borderId="0" xfId="13" applyFont="1" applyFill="1" applyBorder="1"/>
    <xf numFmtId="0" fontId="21" fillId="0" borderId="2" xfId="13" applyFont="1" applyFill="1" applyBorder="1"/>
    <xf numFmtId="0" fontId="20" fillId="0" borderId="0" xfId="12" applyFill="1" applyBorder="1"/>
    <xf numFmtId="169" fontId="8" fillId="0" borderId="0" xfId="8" applyNumberFormat="1" applyFill="1" applyBorder="1"/>
    <xf numFmtId="169" fontId="20" fillId="0" borderId="0" xfId="12" applyNumberFormat="1" applyFill="1" applyBorder="1"/>
    <xf numFmtId="189" fontId="0" fillId="0" borderId="0" xfId="0" applyNumberFormat="1" applyFill="1"/>
    <xf numFmtId="169" fontId="5" fillId="8" borderId="1" xfId="8" applyNumberFormat="1" applyFont="1"/>
    <xf numFmtId="1" fontId="75" fillId="8" borderId="36" xfId="12" applyNumberFormat="1" applyFont="1"/>
    <xf numFmtId="189" fontId="75" fillId="0" borderId="36" xfId="12" applyNumberFormat="1" applyFont="1" applyFill="1"/>
    <xf numFmtId="169" fontId="5" fillId="0" borderId="1" xfId="8" applyNumberFormat="1" applyFont="1" applyFill="1"/>
    <xf numFmtId="0" fontId="5" fillId="0" borderId="1" xfId="8" applyFont="1" applyFill="1"/>
    <xf numFmtId="0" fontId="5" fillId="0" borderId="36" xfId="12" applyFont="1" applyFill="1"/>
    <xf numFmtId="0" fontId="5" fillId="0" borderId="0" xfId="0" applyFont="1" applyFill="1"/>
    <xf numFmtId="0" fontId="76" fillId="0" borderId="40" xfId="13" applyFont="1" applyFill="1" applyBorder="1"/>
    <xf numFmtId="0" fontId="5" fillId="0" borderId="22" xfId="0" applyFont="1" applyFill="1" applyBorder="1"/>
    <xf numFmtId="169" fontId="5" fillId="0" borderId="43" xfId="8" applyNumberFormat="1" applyFont="1" applyFill="1" applyBorder="1"/>
    <xf numFmtId="2" fontId="5" fillId="8" borderId="1" xfId="8" applyNumberFormat="1" applyFont="1"/>
    <xf numFmtId="0" fontId="0" fillId="23" borderId="0" xfId="0" applyFill="1"/>
    <xf numFmtId="2" fontId="5" fillId="8" borderId="34" xfId="8" applyNumberFormat="1" applyFont="1" applyBorder="1"/>
    <xf numFmtId="9" fontId="9" fillId="0" borderId="0" xfId="7" applyFont="1" applyFill="1" applyAlignment="1">
      <alignment horizontal="center"/>
    </xf>
    <xf numFmtId="179" fontId="0" fillId="0" borderId="0" xfId="0" applyNumberFormat="1" applyFill="1"/>
    <xf numFmtId="169" fontId="5" fillId="0" borderId="5" xfId="1" applyNumberFormat="1" applyFont="1" applyFill="1" applyBorder="1"/>
    <xf numFmtId="2" fontId="5" fillId="24" borderId="0" xfId="8" applyNumberFormat="1" applyFont="1" applyFill="1" applyBorder="1"/>
    <xf numFmtId="0" fontId="0" fillId="23" borderId="0" xfId="0" applyFill="1" applyAlignment="1">
      <alignment horizontal="center"/>
    </xf>
    <xf numFmtId="173" fontId="0" fillId="23" borderId="0" xfId="0" applyNumberFormat="1" applyFill="1"/>
    <xf numFmtId="180" fontId="5" fillId="23" borderId="1" xfId="4" applyNumberFormat="1" applyFont="1" applyFill="1"/>
    <xf numFmtId="180" fontId="5" fillId="23" borderId="1" xfId="8" applyNumberFormat="1" applyFont="1" applyFill="1"/>
    <xf numFmtId="180" fontId="5" fillId="23" borderId="34" xfId="4" applyNumberFormat="1" applyFont="1" applyFill="1" applyBorder="1"/>
    <xf numFmtId="179" fontId="5" fillId="23" borderId="1" xfId="6" applyNumberFormat="1" applyFont="1" applyFill="1" applyBorder="1"/>
    <xf numFmtId="0" fontId="21" fillId="0" borderId="40" xfId="13" applyFont="1" applyFill="1" applyBorder="1" applyAlignment="1">
      <alignment horizontal="center"/>
    </xf>
    <xf numFmtId="0" fontId="21" fillId="0" borderId="0" xfId="13" applyFont="1" applyFill="1" applyBorder="1" applyAlignment="1">
      <alignment horizontal="center"/>
    </xf>
    <xf numFmtId="0" fontId="68" fillId="0" borderId="0" xfId="0" applyFont="1" applyFill="1"/>
    <xf numFmtId="0" fontId="38" fillId="22" borderId="0" xfId="0" applyFont="1" applyFill="1"/>
    <xf numFmtId="2" fontId="9" fillId="0" borderId="0" xfId="0" applyNumberFormat="1" applyFont="1" applyFill="1" applyAlignment="1">
      <alignment horizontal="center"/>
    </xf>
    <xf numFmtId="0" fontId="0" fillId="0" borderId="17" xfId="13" applyFont="1" applyFill="1" applyBorder="1"/>
    <xf numFmtId="180" fontId="0" fillId="0" borderId="0" xfId="13" applyNumberFormat="1" applyFont="1" applyFill="1" applyBorder="1"/>
    <xf numFmtId="0" fontId="9" fillId="0" borderId="0" xfId="0" applyFont="1" applyFill="1" applyBorder="1" applyAlignment="1">
      <alignment horizontal="center"/>
    </xf>
    <xf numFmtId="9" fontId="0" fillId="23" borderId="0" xfId="7" applyFont="1" applyFill="1"/>
    <xf numFmtId="174" fontId="0" fillId="23" borderId="0" xfId="7" applyNumberFormat="1" applyFont="1" applyFill="1"/>
    <xf numFmtId="174" fontId="0" fillId="23" borderId="0" xfId="7" applyNumberFormat="1" applyFont="1" applyFill="1" applyBorder="1"/>
    <xf numFmtId="173" fontId="0" fillId="0" borderId="0" xfId="0" applyNumberFormat="1" applyFill="1" applyAlignment="1">
      <alignment horizontal="center"/>
    </xf>
    <xf numFmtId="2" fontId="5" fillId="0" borderId="34" xfId="8" applyNumberFormat="1" applyFont="1" applyFill="1" applyBorder="1"/>
    <xf numFmtId="180" fontId="5" fillId="0" borderId="34" xfId="8" applyNumberFormat="1" applyFont="1" applyFill="1" applyBorder="1"/>
    <xf numFmtId="180" fontId="0" fillId="0" borderId="0" xfId="0" applyNumberFormat="1" applyFont="1" applyFill="1" applyBorder="1"/>
    <xf numFmtId="0" fontId="0" fillId="23" borderId="0" xfId="0" applyFill="1" applyBorder="1"/>
    <xf numFmtId="169" fontId="5" fillId="24" borderId="5" xfId="8" applyNumberFormat="1" applyFont="1" applyFill="1" applyBorder="1"/>
    <xf numFmtId="2" fontId="1" fillId="0" borderId="1" xfId="8" applyNumberFormat="1" applyFont="1" applyFill="1"/>
    <xf numFmtId="0" fontId="0" fillId="24" borderId="0" xfId="0" applyFill="1"/>
    <xf numFmtId="169" fontId="5" fillId="23" borderId="0" xfId="1" applyNumberFormat="1" applyFont="1" applyFill="1" applyBorder="1"/>
    <xf numFmtId="168" fontId="5" fillId="23" borderId="0" xfId="1" applyFont="1" applyFill="1" applyBorder="1"/>
    <xf numFmtId="2" fontId="0" fillId="23" borderId="0" xfId="0" applyNumberFormat="1" applyFill="1"/>
    <xf numFmtId="169" fontId="0" fillId="23" borderId="0" xfId="1" applyNumberFormat="1" applyFont="1" applyFill="1"/>
    <xf numFmtId="169" fontId="1" fillId="0" borderId="0" xfId="1" applyNumberFormat="1" applyFont="1" applyFill="1"/>
    <xf numFmtId="169" fontId="20" fillId="0" borderId="36" xfId="1" applyNumberFormat="1" applyFont="1" applyFill="1" applyBorder="1"/>
    <xf numFmtId="169" fontId="5" fillId="0" borderId="1" xfId="1" applyNumberFormat="1" applyFont="1" applyFill="1" applyBorder="1"/>
    <xf numFmtId="0" fontId="5" fillId="0" borderId="37" xfId="2" applyFont="1" applyFill="1" applyBorder="1" applyAlignment="1">
      <alignment horizontal="center"/>
    </xf>
    <xf numFmtId="0" fontId="0" fillId="0" borderId="0" xfId="0" applyFont="1" applyFill="1" applyAlignment="1">
      <alignment horizontal="center"/>
    </xf>
    <xf numFmtId="0" fontId="5" fillId="0" borderId="41" xfId="4" applyFont="1" applyFill="1" applyBorder="1" applyAlignment="1">
      <alignment horizontal="center"/>
    </xf>
    <xf numFmtId="179" fontId="0" fillId="23" borderId="0" xfId="0" applyNumberFormat="1" applyFill="1"/>
    <xf numFmtId="1" fontId="5" fillId="0" borderId="0" xfId="8" applyNumberFormat="1" applyFont="1" applyFill="1" applyBorder="1"/>
    <xf numFmtId="180" fontId="4" fillId="0" borderId="0" xfId="4" applyNumberFormat="1" applyFill="1" applyBorder="1"/>
    <xf numFmtId="180" fontId="0" fillId="23" borderId="0" xfId="0" applyNumberFormat="1" applyFill="1"/>
    <xf numFmtId="179" fontId="0" fillId="0" borderId="0" xfId="0" applyNumberFormat="1"/>
    <xf numFmtId="180" fontId="0" fillId="0" borderId="0" xfId="1" applyNumberFormat="1" applyFont="1"/>
    <xf numFmtId="169" fontId="0" fillId="0" borderId="22" xfId="0" applyNumberFormat="1" applyFill="1" applyBorder="1"/>
    <xf numFmtId="180" fontId="20" fillId="0" borderId="65" xfId="12" applyNumberFormat="1" applyFill="1" applyBorder="1"/>
    <xf numFmtId="180" fontId="0" fillId="23" borderId="0" xfId="1" applyNumberFormat="1" applyFont="1" applyFill="1"/>
    <xf numFmtId="180" fontId="0" fillId="23" borderId="0" xfId="0" applyNumberFormat="1" applyFill="1" applyAlignment="1">
      <alignment horizontal="center"/>
    </xf>
    <xf numFmtId="1" fontId="0" fillId="23" borderId="0" xfId="0" applyNumberFormat="1" applyFill="1" applyAlignment="1">
      <alignment horizontal="center"/>
    </xf>
    <xf numFmtId="180" fontId="0" fillId="22" borderId="0" xfId="6" applyNumberFormat="1" applyFont="1" applyFill="1" applyBorder="1"/>
    <xf numFmtId="180" fontId="1" fillId="22" borderId="0" xfId="4" applyNumberFormat="1" applyFont="1" applyFill="1" applyBorder="1"/>
    <xf numFmtId="180" fontId="5" fillId="22" borderId="0" xfId="4" applyNumberFormat="1" applyFont="1" applyFill="1" applyBorder="1"/>
    <xf numFmtId="180" fontId="5" fillId="24" borderId="1" xfId="4" applyNumberFormat="1" applyFont="1" applyFill="1"/>
    <xf numFmtId="0" fontId="9" fillId="24" borderId="0" xfId="0" applyFont="1" applyFill="1" applyBorder="1" applyAlignment="1">
      <alignment horizontal="center"/>
    </xf>
    <xf numFmtId="0" fontId="0" fillId="24" borderId="0" xfId="0" applyFill="1" applyAlignment="1">
      <alignment horizontal="center"/>
    </xf>
    <xf numFmtId="179" fontId="5" fillId="0" borderId="1" xfId="4" applyNumberFormat="1" applyFont="1" applyFill="1"/>
    <xf numFmtId="0" fontId="5" fillId="0" borderId="1" xfId="4" applyFont="1" applyFill="1"/>
    <xf numFmtId="0" fontId="21" fillId="0" borderId="0" xfId="0" applyFont="1" applyFill="1" applyAlignment="1">
      <alignment horizontal="left"/>
    </xf>
    <xf numFmtId="0" fontId="21" fillId="0" borderId="0" xfId="0" applyFont="1" applyFill="1" applyAlignment="1">
      <alignment horizontal="center"/>
    </xf>
    <xf numFmtId="179" fontId="0" fillId="23" borderId="0" xfId="0" applyNumberFormat="1" applyFill="1" applyAlignment="1">
      <alignment horizontal="center"/>
    </xf>
    <xf numFmtId="174" fontId="68" fillId="0" borderId="1" xfId="4" applyNumberFormat="1" applyFont="1" applyFill="1" applyAlignment="1" applyProtection="1">
      <alignment horizontal="center"/>
      <protection locked="0"/>
    </xf>
    <xf numFmtId="1" fontId="10" fillId="0" borderId="0" xfId="21" applyNumberFormat="1" applyFont="1" applyAlignment="1">
      <alignment horizontal="center" wrapText="1"/>
    </xf>
    <xf numFmtId="170" fontId="10" fillId="0" borderId="0" xfId="21" applyNumberFormat="1" applyFont="1" applyAlignment="1">
      <alignment horizontal="left" wrapText="1"/>
    </xf>
    <xf numFmtId="174" fontId="0" fillId="0" borderId="0" xfId="0" applyNumberFormat="1"/>
    <xf numFmtId="0" fontId="9" fillId="24" borderId="0" xfId="0" applyFont="1" applyFill="1" applyAlignment="1">
      <alignment horizontal="left"/>
    </xf>
    <xf numFmtId="174" fontId="0" fillId="23" borderId="0" xfId="0" applyNumberFormat="1" applyFill="1" applyAlignment="1">
      <alignment horizontal="center"/>
    </xf>
    <xf numFmtId="174" fontId="0" fillId="0" borderId="0" xfId="0" applyNumberFormat="1" applyFill="1" applyAlignment="1">
      <alignment horizontal="center"/>
    </xf>
    <xf numFmtId="0" fontId="5" fillId="0" borderId="1" xfId="4" applyFont="1" applyFill="1" applyAlignment="1">
      <alignment horizontal="center"/>
    </xf>
    <xf numFmtId="9" fontId="5" fillId="0" borderId="1" xfId="4" applyNumberFormat="1" applyFont="1" applyFill="1" applyAlignment="1">
      <alignment horizontal="center"/>
    </xf>
    <xf numFmtId="0" fontId="9" fillId="22" borderId="22" xfId="0" applyFont="1" applyFill="1" applyBorder="1"/>
    <xf numFmtId="0" fontId="68" fillId="22" borderId="24" xfId="0" applyFont="1" applyFill="1" applyBorder="1" applyAlignment="1" applyProtection="1">
      <alignment horizontal="left"/>
    </xf>
    <xf numFmtId="180" fontId="0" fillId="22" borderId="22" xfId="1" applyNumberFormat="1" applyFont="1" applyFill="1" applyBorder="1"/>
    <xf numFmtId="180" fontId="1" fillId="22" borderId="22" xfId="1" applyNumberFormat="1" applyFont="1" applyFill="1" applyBorder="1"/>
    <xf numFmtId="0" fontId="68" fillId="22" borderId="11" xfId="0" applyFont="1" applyFill="1" applyBorder="1" applyAlignment="1" applyProtection="1">
      <alignment horizontal="left"/>
    </xf>
    <xf numFmtId="9" fontId="0" fillId="22" borderId="19" xfId="7" applyFont="1" applyFill="1" applyBorder="1"/>
    <xf numFmtId="180" fontId="5" fillId="0" borderId="0" xfId="1" applyNumberFormat="1" applyFont="1" applyFill="1" applyBorder="1"/>
    <xf numFmtId="10" fontId="0" fillId="0" borderId="0" xfId="7" applyNumberFormat="1" applyFont="1" applyFill="1"/>
    <xf numFmtId="188" fontId="0" fillId="0" borderId="0" xfId="0" applyNumberFormat="1" applyFill="1" applyBorder="1"/>
    <xf numFmtId="174" fontId="9" fillId="22" borderId="22" xfId="7" applyNumberFormat="1" applyFont="1" applyFill="1" applyBorder="1" applyAlignment="1">
      <alignment horizontal="center"/>
    </xf>
    <xf numFmtId="0" fontId="9" fillId="22" borderId="22" xfId="6" applyNumberFormat="1" applyFont="1" applyFill="1" applyBorder="1"/>
    <xf numFmtId="2" fontId="9" fillId="22" borderId="22" xfId="0" applyNumberFormat="1" applyFont="1" applyFill="1" applyBorder="1"/>
    <xf numFmtId="0" fontId="68" fillId="0" borderId="36" xfId="12" applyFont="1" applyFill="1"/>
    <xf numFmtId="169" fontId="5" fillId="0" borderId="36" xfId="12" applyNumberFormat="1" applyFont="1" applyFill="1"/>
    <xf numFmtId="168" fontId="5" fillId="0" borderId="36" xfId="12" applyNumberFormat="1" applyFont="1" applyFill="1"/>
    <xf numFmtId="189" fontId="5" fillId="0" borderId="36" xfId="12" applyNumberFormat="1" applyFont="1" applyFill="1"/>
    <xf numFmtId="2" fontId="5" fillId="0" borderId="36" xfId="12" applyNumberFormat="1" applyFont="1" applyFill="1"/>
    <xf numFmtId="0" fontId="76" fillId="0" borderId="45" xfId="13" applyFont="1" applyFill="1" applyBorder="1"/>
    <xf numFmtId="0" fontId="76" fillId="0" borderId="39" xfId="13" applyFont="1" applyFill="1" applyBorder="1"/>
    <xf numFmtId="180" fontId="0" fillId="0" borderId="0" xfId="0" applyNumberFormat="1" applyFill="1" applyAlignment="1"/>
    <xf numFmtId="173" fontId="0" fillId="0" borderId="0" xfId="0" applyNumberFormat="1" applyFont="1" applyFill="1" applyAlignment="1"/>
    <xf numFmtId="173" fontId="0" fillId="23" borderId="0" xfId="0" applyNumberFormat="1" applyFill="1" applyAlignment="1">
      <alignment horizontal="center"/>
    </xf>
    <xf numFmtId="179" fontId="1" fillId="0" borderId="1" xfId="4" applyNumberFormat="1" applyFont="1" applyFill="1"/>
    <xf numFmtId="2" fontId="1" fillId="0" borderId="1" xfId="4" applyNumberFormat="1" applyFont="1" applyFill="1"/>
    <xf numFmtId="179" fontId="1" fillId="23" borderId="1" xfId="4" applyNumberFormat="1" applyFont="1" applyFill="1"/>
    <xf numFmtId="0" fontId="1" fillId="0" borderId="0" xfId="0" applyFont="1"/>
    <xf numFmtId="2" fontId="1" fillId="23" borderId="1" xfId="4" applyNumberFormat="1" applyFont="1" applyFill="1"/>
    <xf numFmtId="2" fontId="5" fillId="0" borderId="1" xfId="4" applyNumberFormat="1" applyFont="1" applyFill="1"/>
    <xf numFmtId="180" fontId="5" fillId="0" borderId="34" xfId="4" applyNumberFormat="1" applyFont="1" applyFill="1" applyBorder="1"/>
    <xf numFmtId="183" fontId="0" fillId="0" borderId="0" xfId="0" applyNumberFormat="1" applyAlignment="1"/>
    <xf numFmtId="1" fontId="49" fillId="20" borderId="0" xfId="0" quotePrefix="1" applyNumberFormat="1" applyFont="1" applyFill="1" applyAlignment="1">
      <alignment horizontal="left"/>
    </xf>
    <xf numFmtId="1" fontId="0" fillId="20" borderId="0" xfId="0" applyNumberFormat="1" applyFill="1" applyAlignment="1"/>
    <xf numFmtId="1" fontId="0" fillId="19" borderId="0" xfId="0" applyNumberFormat="1" applyFill="1" applyAlignment="1"/>
    <xf numFmtId="1" fontId="51" fillId="0" borderId="0" xfId="0" quotePrefix="1" applyNumberFormat="1" applyFont="1" applyFill="1" applyAlignment="1">
      <alignment horizontal="left"/>
    </xf>
    <xf numFmtId="1" fontId="0" fillId="0" borderId="0" xfId="0" applyNumberFormat="1" applyFill="1" applyBorder="1" applyAlignment="1"/>
    <xf numFmtId="1" fontId="0" fillId="0" borderId="0" xfId="0" applyNumberFormat="1" applyBorder="1" applyAlignment="1"/>
    <xf numFmtId="1" fontId="0" fillId="20" borderId="0" xfId="0" quotePrefix="1" applyNumberFormat="1" applyFill="1" applyAlignment="1">
      <alignment horizontal="left"/>
    </xf>
    <xf numFmtId="1" fontId="77" fillId="20" borderId="0" xfId="0" applyNumberFormat="1" applyFont="1" applyFill="1" applyAlignment="1"/>
    <xf numFmtId="1" fontId="0" fillId="20" borderId="0" xfId="0" applyNumberFormat="1" applyFill="1" applyAlignment="1">
      <alignment horizontal="center"/>
    </xf>
    <xf numFmtId="1" fontId="11" fillId="0" borderId="0" xfId="0" applyNumberFormat="1" applyFont="1" applyFill="1" applyAlignment="1">
      <alignment horizontal="right"/>
    </xf>
    <xf numFmtId="1" fontId="77" fillId="0" borderId="0" xfId="0" applyNumberFormat="1" applyFont="1" applyFill="1" applyAlignment="1"/>
    <xf numFmtId="180" fontId="0" fillId="20" borderId="0" xfId="0" applyNumberFormat="1" applyFill="1" applyAlignment="1">
      <alignment horizontal="right"/>
    </xf>
    <xf numFmtId="180" fontId="0" fillId="20" borderId="0" xfId="0" applyNumberFormat="1" applyFill="1" applyAlignment="1">
      <alignment horizontal="center"/>
    </xf>
    <xf numFmtId="180" fontId="11" fillId="0" borderId="0" xfId="0" applyNumberFormat="1" applyFont="1" applyFill="1" applyAlignment="1"/>
    <xf numFmtId="180" fontId="78" fillId="20" borderId="0" xfId="0" applyNumberFormat="1" applyFont="1" applyFill="1" applyAlignment="1">
      <alignment horizontal="center"/>
    </xf>
    <xf numFmtId="1" fontId="77" fillId="20" borderId="0" xfId="0" applyNumberFormat="1" applyFont="1" applyFill="1" applyBorder="1" applyAlignment="1"/>
    <xf numFmtId="180" fontId="78" fillId="0" borderId="0" xfId="0" applyNumberFormat="1" applyFont="1" applyFill="1" applyAlignment="1">
      <alignment horizontal="center"/>
    </xf>
    <xf numFmtId="1" fontId="77" fillId="0" borderId="0" xfId="0" applyNumberFormat="1" applyFont="1" applyFill="1" applyBorder="1" applyAlignment="1"/>
    <xf numFmtId="1" fontId="51" fillId="20" borderId="0" xfId="0" quotePrefix="1" applyNumberFormat="1" applyFont="1" applyFill="1" applyAlignment="1">
      <alignment horizontal="left"/>
    </xf>
    <xf numFmtId="1" fontId="11" fillId="20" borderId="0" xfId="0" applyNumberFormat="1" applyFont="1" applyFill="1" applyAlignment="1">
      <alignment horizontal="center"/>
    </xf>
    <xf numFmtId="1" fontId="11" fillId="20" borderId="0" xfId="0" quotePrefix="1" applyNumberFormat="1" applyFont="1" applyFill="1" applyAlignment="1">
      <alignment horizontal="left"/>
    </xf>
    <xf numFmtId="3" fontId="0" fillId="20" borderId="0" xfId="0" applyNumberFormat="1" applyFill="1" applyAlignment="1">
      <alignment horizontal="center"/>
    </xf>
    <xf numFmtId="183" fontId="0" fillId="20" borderId="0" xfId="0" applyNumberFormat="1" applyFill="1" applyAlignment="1">
      <alignment horizontal="center"/>
    </xf>
    <xf numFmtId="179" fontId="10" fillId="0" borderId="0" xfId="0" applyNumberFormat="1" applyFont="1" applyFill="1" applyAlignment="1">
      <alignment horizontal="center"/>
    </xf>
    <xf numFmtId="4" fontId="0" fillId="20" borderId="0" xfId="0" applyNumberFormat="1" applyFill="1" applyAlignment="1">
      <alignment horizontal="center"/>
    </xf>
    <xf numFmtId="175" fontId="10" fillId="0" borderId="0" xfId="0" applyNumberFormat="1" applyFont="1" applyFill="1" applyAlignment="1">
      <alignment horizontal="left" wrapText="1"/>
    </xf>
    <xf numFmtId="1" fontId="0" fillId="20" borderId="0" xfId="0" applyNumberFormat="1" applyFill="1" applyAlignment="1">
      <alignment horizontal="left"/>
    </xf>
    <xf numFmtId="1" fontId="11" fillId="20" borderId="0" xfId="0" applyNumberFormat="1" applyFont="1" applyFill="1" applyAlignment="1"/>
    <xf numFmtId="3" fontId="11" fillId="0" borderId="0" xfId="0" applyNumberFormat="1" applyFont="1" applyFill="1" applyAlignment="1">
      <alignment horizontal="center"/>
    </xf>
    <xf numFmtId="179" fontId="11" fillId="0" borderId="0" xfId="0" applyNumberFormat="1" applyFont="1" applyFill="1" applyAlignment="1">
      <alignment horizontal="center"/>
    </xf>
    <xf numFmtId="183" fontId="0" fillId="20" borderId="0" xfId="0" applyNumberFormat="1" applyFill="1" applyAlignment="1"/>
    <xf numFmtId="184" fontId="0" fillId="20" borderId="0" xfId="0" applyNumberFormat="1" applyFill="1" applyAlignment="1">
      <alignment horizontal="center"/>
    </xf>
    <xf numFmtId="9" fontId="0" fillId="20" borderId="0" xfId="0" applyNumberFormat="1" applyFill="1" applyAlignment="1"/>
    <xf numFmtId="185" fontId="0" fillId="20" borderId="0" xfId="0" applyNumberFormat="1" applyFill="1" applyAlignment="1">
      <alignment horizontal="center"/>
    </xf>
    <xf numFmtId="179" fontId="11" fillId="20" borderId="0" xfId="0" applyNumberFormat="1" applyFont="1" applyFill="1" applyAlignment="1">
      <alignment horizontal="center"/>
    </xf>
    <xf numFmtId="1" fontId="51" fillId="20" borderId="0" xfId="0" applyNumberFormat="1" applyFont="1" applyFill="1" applyAlignment="1"/>
    <xf numFmtId="180" fontId="11" fillId="20" borderId="0" xfId="0" applyNumberFormat="1" applyFont="1" applyFill="1" applyAlignment="1">
      <alignment horizontal="center"/>
    </xf>
    <xf numFmtId="1" fontId="51" fillId="0" borderId="0" xfId="0" applyNumberFormat="1" applyFont="1" applyFill="1" applyAlignment="1"/>
    <xf numFmtId="1" fontId="72" fillId="20" borderId="0" xfId="0" applyNumberFormat="1" applyFont="1" applyFill="1" applyAlignment="1"/>
    <xf numFmtId="9" fontId="11" fillId="20" borderId="0" xfId="7" applyFont="1" applyFill="1" applyAlignment="1">
      <alignment horizontal="center"/>
    </xf>
    <xf numFmtId="180" fontId="0" fillId="20" borderId="0" xfId="0" applyNumberFormat="1" applyFill="1" applyAlignment="1"/>
    <xf numFmtId="9" fontId="10" fillId="20" borderId="0" xfId="7" applyFont="1" applyFill="1" applyAlignment="1">
      <alignment horizontal="center"/>
    </xf>
    <xf numFmtId="9" fontId="10" fillId="0" borderId="0" xfId="7" applyFont="1" applyFill="1" applyAlignment="1">
      <alignment horizontal="center"/>
    </xf>
    <xf numFmtId="1" fontId="72" fillId="0" borderId="0" xfId="0" applyNumberFormat="1" applyFont="1" applyFill="1" applyAlignment="1"/>
    <xf numFmtId="180" fontId="11" fillId="0" borderId="0" xfId="0" applyNumberFormat="1" applyFont="1" applyFill="1" applyAlignment="1">
      <alignment horizontal="center"/>
    </xf>
    <xf numFmtId="1" fontId="11" fillId="19" borderId="0" xfId="0" quotePrefix="1" applyNumberFormat="1" applyFont="1" applyFill="1" applyAlignment="1">
      <alignment horizontal="left"/>
    </xf>
    <xf numFmtId="9" fontId="0" fillId="20" borderId="0" xfId="7" applyFont="1" applyFill="1" applyAlignment="1">
      <alignment horizontal="center"/>
    </xf>
    <xf numFmtId="9" fontId="0" fillId="0" borderId="0" xfId="7" applyFont="1" applyFill="1" applyAlignment="1">
      <alignment horizontal="center"/>
    </xf>
    <xf numFmtId="1" fontId="0" fillId="0" borderId="0" xfId="7" applyNumberFormat="1" applyFont="1" applyFill="1" applyAlignment="1">
      <alignment horizontal="center"/>
    </xf>
    <xf numFmtId="174" fontId="0" fillId="20" borderId="0" xfId="7" applyNumberFormat="1" applyFont="1" applyFill="1" applyAlignment="1">
      <alignment horizontal="center"/>
    </xf>
    <xf numFmtId="1" fontId="11" fillId="20" borderId="0" xfId="0" applyNumberFormat="1" applyFont="1" applyFill="1" applyAlignment="1">
      <alignment horizontal="left"/>
    </xf>
    <xf numFmtId="179" fontId="0" fillId="20" borderId="0" xfId="0" applyNumberFormat="1" applyFill="1" applyAlignment="1">
      <alignment horizontal="center"/>
    </xf>
    <xf numFmtId="1" fontId="9" fillId="20" borderId="0" xfId="0" applyNumberFormat="1" applyFont="1" applyFill="1" applyAlignment="1">
      <alignment horizontal="center"/>
    </xf>
    <xf numFmtId="180" fontId="9" fillId="22" borderId="0" xfId="0" applyNumberFormat="1" applyFont="1" applyFill="1"/>
    <xf numFmtId="3" fontId="9" fillId="20" borderId="0" xfId="0" applyNumberFormat="1" applyFont="1" applyFill="1" applyAlignment="1">
      <alignment horizontal="center"/>
    </xf>
    <xf numFmtId="179" fontId="9" fillId="20" borderId="0" xfId="0" applyNumberFormat="1" applyFont="1" applyFill="1" applyAlignment="1">
      <alignment horizontal="center"/>
    </xf>
    <xf numFmtId="2" fontId="0" fillId="0" borderId="0" xfId="0" applyNumberFormat="1" applyAlignment="1" applyProtection="1"/>
    <xf numFmtId="1" fontId="63" fillId="20" borderId="0" xfId="0" applyNumberFormat="1" applyFont="1" applyFill="1" applyAlignment="1">
      <alignment horizontal="left"/>
    </xf>
    <xf numFmtId="1" fontId="0" fillId="22" borderId="0" xfId="0" applyNumberFormat="1" applyFill="1" applyAlignment="1"/>
    <xf numFmtId="1" fontId="11" fillId="22" borderId="0" xfId="0" applyNumberFormat="1" applyFont="1" applyFill="1" applyAlignment="1"/>
    <xf numFmtId="0" fontId="0" fillId="22" borderId="0" xfId="13" applyFont="1" applyFill="1" applyBorder="1" applyAlignment="1">
      <alignment horizontal="center"/>
    </xf>
    <xf numFmtId="0" fontId="68" fillId="0" borderId="41" xfId="4" applyFont="1" applyFill="1" applyBorder="1" applyAlignment="1" applyProtection="1">
      <alignment horizontal="center"/>
      <protection locked="0"/>
    </xf>
    <xf numFmtId="0" fontId="68" fillId="0" borderId="1" xfId="4" applyFont="1" applyFill="1" applyBorder="1" applyAlignment="1" applyProtection="1">
      <alignment horizontal="center"/>
      <protection locked="0"/>
    </xf>
    <xf numFmtId="0" fontId="68" fillId="0" borderId="1" xfId="4" applyFont="1" applyFill="1" applyAlignment="1" applyProtection="1">
      <alignment horizontal="center"/>
      <protection locked="0"/>
    </xf>
    <xf numFmtId="180" fontId="68" fillId="0" borderId="1" xfId="4" applyNumberFormat="1" applyFont="1" applyFill="1" applyBorder="1" applyAlignment="1" applyProtection="1">
      <alignment horizontal="center"/>
      <protection locked="0"/>
    </xf>
    <xf numFmtId="0" fontId="9" fillId="0" borderId="61" xfId="16" applyFont="1" applyFill="1" applyBorder="1" applyAlignment="1" applyProtection="1">
      <alignment horizontal="center"/>
      <protection locked="0"/>
    </xf>
    <xf numFmtId="0" fontId="9" fillId="0" borderId="62" xfId="16" applyFont="1" applyFill="1" applyBorder="1" applyAlignment="1" applyProtection="1">
      <alignment horizontal="center"/>
      <protection locked="0"/>
    </xf>
    <xf numFmtId="9" fontId="0" fillId="22" borderId="22" xfId="7" applyNumberFormat="1" applyFont="1" applyFill="1" applyBorder="1"/>
    <xf numFmtId="9" fontId="0" fillId="22" borderId="0" xfId="7" applyNumberFormat="1" applyFont="1" applyFill="1" applyBorder="1"/>
    <xf numFmtId="9" fontId="9" fillId="22" borderId="0" xfId="7" applyNumberFormat="1" applyFont="1" applyFill="1" applyAlignment="1">
      <alignment horizontal="center"/>
    </xf>
    <xf numFmtId="9" fontId="0" fillId="22" borderId="22" xfId="7" applyNumberFormat="1" applyFont="1" applyFill="1" applyBorder="1" applyAlignment="1">
      <alignment horizontal="right"/>
    </xf>
    <xf numFmtId="9" fontId="0" fillId="22" borderId="0" xfId="7" applyNumberFormat="1" applyFont="1" applyFill="1" applyBorder="1" applyAlignment="1">
      <alignment horizontal="right"/>
    </xf>
    <xf numFmtId="9" fontId="0" fillId="22" borderId="0" xfId="0" applyNumberFormat="1" applyFill="1"/>
    <xf numFmtId="1" fontId="0" fillId="20" borderId="0" xfId="0" applyNumberFormat="1" applyFill="1" applyAlignment="1" applyProtection="1">
      <alignment horizontal="center"/>
    </xf>
    <xf numFmtId="1" fontId="11" fillId="20" borderId="0" xfId="0" applyNumberFormat="1" applyFont="1" applyFill="1" applyAlignment="1" applyProtection="1"/>
    <xf numFmtId="9" fontId="0" fillId="20" borderId="0" xfId="7" applyFont="1" applyFill="1" applyAlignment="1" applyProtection="1">
      <alignment horizontal="center"/>
    </xf>
    <xf numFmtId="9" fontId="0" fillId="20" borderId="0" xfId="0" applyNumberFormat="1" applyFill="1" applyAlignment="1" applyProtection="1"/>
    <xf numFmtId="169" fontId="0" fillId="20" borderId="0" xfId="1" applyNumberFormat="1" applyFont="1" applyFill="1"/>
    <xf numFmtId="168" fontId="0" fillId="20" borderId="0" xfId="1" applyFont="1" applyFill="1"/>
    <xf numFmtId="186" fontId="0" fillId="0" borderId="0" xfId="10" applyNumberFormat="1" applyFont="1"/>
    <xf numFmtId="9" fontId="11" fillId="0" borderId="0" xfId="0" applyNumberFormat="1" applyFont="1" applyAlignment="1">
      <alignment horizontal="center"/>
    </xf>
    <xf numFmtId="1" fontId="0" fillId="0" borderId="0" xfId="1" applyNumberFormat="1" applyFont="1" applyAlignment="1">
      <alignment horizontal="center"/>
    </xf>
    <xf numFmtId="9" fontId="0" fillId="0" borderId="0" xfId="0" applyNumberFormat="1" applyAlignment="1"/>
    <xf numFmtId="1" fontId="10" fillId="0" borderId="0" xfId="0" quotePrefix="1" applyNumberFormat="1" applyFont="1" applyAlignment="1">
      <alignment horizontal="left"/>
    </xf>
    <xf numFmtId="0" fontId="0" fillId="0" borderId="0" xfId="0" applyAlignment="1">
      <alignment horizontal="center"/>
    </xf>
    <xf numFmtId="180" fontId="0" fillId="0" borderId="0" xfId="10" applyNumberFormat="1" applyFont="1" applyAlignment="1">
      <alignment horizontal="center"/>
    </xf>
    <xf numFmtId="1" fontId="0" fillId="22" borderId="0" xfId="0" quotePrefix="1" applyNumberFormat="1" applyFill="1" applyAlignment="1">
      <alignment horizontal="left"/>
    </xf>
    <xf numFmtId="173" fontId="0" fillId="0" borderId="0" xfId="0" applyNumberFormat="1" applyAlignment="1">
      <alignment horizontal="center"/>
    </xf>
    <xf numFmtId="166" fontId="0" fillId="0" borderId="0" xfId="10" applyNumberFormat="1" applyFont="1"/>
    <xf numFmtId="1" fontId="0" fillId="20" borderId="22" xfId="0" applyNumberFormat="1" applyFill="1" applyBorder="1" applyAlignment="1"/>
    <xf numFmtId="1" fontId="0" fillId="22" borderId="22" xfId="0" applyNumberFormat="1" applyFill="1" applyBorder="1" applyAlignment="1"/>
    <xf numFmtId="0" fontId="82" fillId="22" borderId="0" xfId="0" applyFont="1" applyFill="1"/>
    <xf numFmtId="173" fontId="9" fillId="22" borderId="0" xfId="0" applyNumberFormat="1" applyFont="1" applyFill="1" applyAlignment="1">
      <alignment horizontal="center"/>
    </xf>
    <xf numFmtId="173" fontId="9" fillId="20" borderId="0" xfId="0" applyNumberFormat="1" applyFont="1" applyFill="1" applyAlignment="1">
      <alignment horizontal="center"/>
    </xf>
    <xf numFmtId="166" fontId="9" fillId="20" borderId="0" xfId="10" quotePrefix="1" applyNumberFormat="1" applyFont="1" applyFill="1" applyAlignment="1">
      <alignment horizontal="left"/>
    </xf>
    <xf numFmtId="1" fontId="9" fillId="20" borderId="0" xfId="0" quotePrefix="1" applyNumberFormat="1" applyFont="1" applyFill="1" applyAlignment="1">
      <alignment horizontal="left"/>
    </xf>
    <xf numFmtId="179" fontId="5" fillId="0" borderId="1" xfId="6" applyNumberFormat="1" applyFont="1" applyFill="1" applyBorder="1"/>
    <xf numFmtId="0" fontId="83" fillId="22" borderId="0" xfId="0" applyFont="1" applyFill="1"/>
    <xf numFmtId="0" fontId="83" fillId="22" borderId="0" xfId="0" applyFont="1" applyFill="1" applyBorder="1"/>
    <xf numFmtId="180" fontId="5" fillId="23" borderId="66" xfId="4" applyNumberFormat="1" applyFont="1" applyFill="1" applyBorder="1"/>
    <xf numFmtId="0" fontId="9" fillId="0" borderId="0" xfId="0" applyFont="1" applyAlignment="1">
      <alignment horizontal="center"/>
    </xf>
    <xf numFmtId="0" fontId="0" fillId="0" borderId="0" xfId="0" applyAlignment="1">
      <alignment horizontal="right"/>
    </xf>
    <xf numFmtId="0" fontId="2" fillId="2" borderId="18" xfId="2" applyBorder="1"/>
    <xf numFmtId="0" fontId="2" fillId="2" borderId="19" xfId="2" applyBorder="1"/>
    <xf numFmtId="0" fontId="2" fillId="2" borderId="20" xfId="2" applyBorder="1"/>
    <xf numFmtId="10" fontId="0" fillId="0" borderId="0" xfId="0" applyNumberFormat="1"/>
    <xf numFmtId="10" fontId="0" fillId="11" borderId="0" xfId="7" applyNumberFormat="1" applyFont="1" applyFill="1"/>
    <xf numFmtId="2" fontId="0" fillId="11" borderId="0" xfId="0" applyNumberFormat="1" applyFill="1"/>
    <xf numFmtId="0" fontId="1" fillId="0" borderId="9" xfId="4" applyFont="1" applyFill="1" applyBorder="1"/>
    <xf numFmtId="9" fontId="0" fillId="0" borderId="0" xfId="7" applyFont="1" applyBorder="1"/>
    <xf numFmtId="0" fontId="0" fillId="12" borderId="67" xfId="13" applyFont="1" applyBorder="1"/>
    <xf numFmtId="0" fontId="0" fillId="12" borderId="37" xfId="13" applyFont="1" applyBorder="1"/>
    <xf numFmtId="0" fontId="0" fillId="12" borderId="68" xfId="13" applyFont="1" applyBorder="1"/>
    <xf numFmtId="0" fontId="0" fillId="0" borderId="0" xfId="0" applyAlignment="1">
      <alignment wrapText="1"/>
    </xf>
    <xf numFmtId="9" fontId="0" fillId="0" borderId="5" xfId="7" applyFont="1" applyBorder="1"/>
    <xf numFmtId="0" fontId="0" fillId="0" borderId="0" xfId="0" applyAlignment="1">
      <alignment vertical="top"/>
    </xf>
    <xf numFmtId="168" fontId="0" fillId="0" borderId="24" xfId="1" applyFont="1" applyBorder="1"/>
    <xf numFmtId="9" fontId="0" fillId="0" borderId="4" xfId="7" applyFont="1" applyBorder="1"/>
    <xf numFmtId="168" fontId="0" fillId="0" borderId="25" xfId="1" applyFont="1" applyBorder="1"/>
    <xf numFmtId="168" fontId="0" fillId="0" borderId="3" xfId="0" applyNumberFormat="1" applyBorder="1"/>
    <xf numFmtId="9" fontId="0" fillId="0" borderId="3" xfId="7" applyFont="1" applyBorder="1"/>
    <xf numFmtId="9" fontId="5" fillId="23" borderId="1" xfId="7" applyFont="1" applyFill="1" applyBorder="1"/>
    <xf numFmtId="182" fontId="10" fillId="0" borderId="0" xfId="0" applyNumberFormat="1" applyFont="1" applyAlignment="1">
      <alignment horizontal="right" wrapText="1"/>
    </xf>
    <xf numFmtId="1" fontId="10" fillId="0" borderId="0" xfId="0" applyNumberFormat="1" applyFont="1" applyAlignment="1">
      <alignment horizontal="center" wrapText="1"/>
    </xf>
    <xf numFmtId="1" fontId="10" fillId="0" borderId="0" xfId="25" applyNumberFormat="1" applyFill="1" applyAlignment="1"/>
    <xf numFmtId="2" fontId="0" fillId="0" borderId="0" xfId="0" applyNumberFormat="1" applyFill="1" applyAlignment="1"/>
    <xf numFmtId="1" fontId="10" fillId="0" borderId="0" xfId="19" applyNumberFormat="1" applyAlignment="1"/>
    <xf numFmtId="0" fontId="0" fillId="0" borderId="0" xfId="0" applyAlignment="1">
      <alignment horizontal="center"/>
    </xf>
    <xf numFmtId="0" fontId="9" fillId="0" borderId="22" xfId="0" applyFont="1" applyFill="1" applyBorder="1"/>
    <xf numFmtId="0" fontId="68" fillId="0" borderId="24" xfId="0" applyFont="1" applyFill="1" applyBorder="1" applyAlignment="1" applyProtection="1">
      <alignment horizontal="left"/>
    </xf>
    <xf numFmtId="9" fontId="0" fillId="11" borderId="0" xfId="0" applyNumberFormat="1" applyFill="1" applyAlignment="1">
      <alignment horizontal="center"/>
    </xf>
    <xf numFmtId="9" fontId="0" fillId="14" borderId="0" xfId="0" applyNumberFormat="1" applyFill="1" applyAlignment="1">
      <alignment horizontal="center"/>
    </xf>
    <xf numFmtId="180" fontId="0" fillId="0" borderId="0" xfId="1" applyNumberFormat="1" applyFont="1" applyFill="1"/>
    <xf numFmtId="1" fontId="0" fillId="22" borderId="0" xfId="0" applyNumberFormat="1" applyFill="1" applyAlignment="1">
      <alignment horizontal="left"/>
    </xf>
    <xf numFmtId="37" fontId="0" fillId="0" borderId="0" xfId="1" applyNumberFormat="1" applyFont="1" applyAlignment="1">
      <alignment horizontal="center"/>
    </xf>
    <xf numFmtId="180" fontId="0" fillId="22" borderId="0" xfId="0" applyNumberFormat="1" applyFill="1" applyAlignment="1" applyProtection="1">
      <alignment horizontal="center"/>
    </xf>
    <xf numFmtId="9" fontId="0" fillId="23" borderId="0" xfId="7" applyFont="1" applyFill="1" applyAlignment="1">
      <alignment horizontal="right"/>
    </xf>
    <xf numFmtId="9" fontId="0" fillId="23" borderId="0" xfId="0" applyNumberFormat="1" applyFill="1" applyAlignment="1"/>
    <xf numFmtId="169" fontId="5" fillId="0" borderId="0" xfId="1" applyNumberFormat="1" applyFont="1" applyFill="1" applyBorder="1"/>
    <xf numFmtId="10" fontId="0" fillId="0" borderId="0" xfId="0" applyNumberFormat="1" applyBorder="1"/>
    <xf numFmtId="0" fontId="20" fillId="0" borderId="70" xfId="12" applyFill="1" applyBorder="1"/>
    <xf numFmtId="169" fontId="5" fillId="0" borderId="71" xfId="1" applyNumberFormat="1" applyFont="1" applyFill="1" applyBorder="1"/>
    <xf numFmtId="169" fontId="4" fillId="0" borderId="71" xfId="1" applyNumberFormat="1" applyFont="1" applyFill="1" applyBorder="1"/>
    <xf numFmtId="10" fontId="0" fillId="0" borderId="63" xfId="0" applyNumberFormat="1" applyBorder="1"/>
    <xf numFmtId="9" fontId="5" fillId="0" borderId="0" xfId="7" applyFont="1" applyFill="1" applyBorder="1"/>
    <xf numFmtId="166" fontId="9" fillId="0" borderId="0" xfId="10" quotePrefix="1" applyNumberFormat="1" applyFont="1" applyFill="1" applyAlignment="1">
      <alignment horizontal="left"/>
    </xf>
    <xf numFmtId="1" fontId="9" fillId="0" borderId="0" xfId="0" quotePrefix="1" applyNumberFormat="1" applyFont="1" applyFill="1" applyAlignment="1">
      <alignment horizontal="left"/>
    </xf>
    <xf numFmtId="10" fontId="5" fillId="0" borderId="0" xfId="0" applyNumberFormat="1" applyFont="1" applyFill="1"/>
    <xf numFmtId="0" fontId="9" fillId="0" borderId="0" xfId="0" applyFont="1" applyAlignment="1">
      <alignment horizontal="left"/>
    </xf>
    <xf numFmtId="179" fontId="0" fillId="0" borderId="0" xfId="6" applyNumberFormat="1" applyFont="1"/>
    <xf numFmtId="3" fontId="0" fillId="23" borderId="0" xfId="1" applyNumberFormat="1" applyFont="1" applyFill="1" applyAlignment="1">
      <alignment horizontal="center"/>
    </xf>
    <xf numFmtId="9" fontId="5" fillId="0" borderId="0" xfId="0" applyNumberFormat="1" applyFont="1" applyFill="1" applyAlignment="1"/>
    <xf numFmtId="189" fontId="0" fillId="23" borderId="0" xfId="0" applyNumberFormat="1" applyFill="1"/>
    <xf numFmtId="0" fontId="4" fillId="0" borderId="1" xfId="4" applyFill="1" applyAlignment="1">
      <alignment horizontal="center"/>
    </xf>
    <xf numFmtId="1" fontId="9" fillId="0" borderId="34" xfId="0" applyNumberFormat="1" applyFont="1" applyBorder="1" applyAlignment="1" applyProtection="1">
      <alignment horizontal="center"/>
      <protection locked="0"/>
    </xf>
    <xf numFmtId="174" fontId="9" fillId="0" borderId="1" xfId="0" applyNumberFormat="1" applyFont="1" applyFill="1" applyBorder="1" applyAlignment="1" applyProtection="1">
      <alignment horizontal="center"/>
      <protection locked="0"/>
    </xf>
    <xf numFmtId="1" fontId="10" fillId="0" borderId="0" xfId="24" applyNumberFormat="1" applyFill="1" applyAlignment="1"/>
    <xf numFmtId="0" fontId="0" fillId="0" borderId="0" xfId="0" applyBorder="1" applyAlignment="1">
      <alignment horizontal="center"/>
    </xf>
    <xf numFmtId="0" fontId="11" fillId="0" borderId="0" xfId="0" applyFont="1" applyFill="1" applyAlignment="1">
      <alignment horizontal="center"/>
    </xf>
    <xf numFmtId="175" fontId="10" fillId="18" borderId="0" xfId="0" applyNumberFormat="1" applyFont="1" applyFill="1" applyAlignment="1">
      <alignment horizontal="left" wrapText="1"/>
    </xf>
    <xf numFmtId="0" fontId="2" fillId="2" borderId="11" xfId="2" applyBorder="1"/>
    <xf numFmtId="0" fontId="2" fillId="2" borderId="22" xfId="2" applyBorder="1"/>
    <xf numFmtId="0" fontId="2" fillId="2" borderId="23" xfId="2" applyBorder="1"/>
    <xf numFmtId="0" fontId="3" fillId="3" borderId="5" xfId="3" applyBorder="1"/>
    <xf numFmtId="10" fontId="0" fillId="0" borderId="0" xfId="7" applyNumberFormat="1" applyFont="1" applyBorder="1"/>
    <xf numFmtId="10" fontId="0" fillId="0" borderId="5" xfId="7" applyNumberFormat="1" applyFont="1" applyBorder="1"/>
    <xf numFmtId="0" fontId="0" fillId="11" borderId="24" xfId="0" applyFill="1" applyBorder="1"/>
    <xf numFmtId="2" fontId="0" fillId="0" borderId="0" xfId="0" applyNumberFormat="1" applyBorder="1"/>
    <xf numFmtId="2" fontId="0" fillId="0" borderId="0" xfId="7" applyNumberFormat="1" applyFont="1" applyBorder="1"/>
    <xf numFmtId="10" fontId="0" fillId="0" borderId="3" xfId="7" applyNumberFormat="1" applyFont="1" applyBorder="1"/>
    <xf numFmtId="175" fontId="10" fillId="0" borderId="0" xfId="0" applyNumberFormat="1" applyFont="1" applyAlignment="1">
      <alignment horizontal="left" wrapText="1"/>
    </xf>
    <xf numFmtId="2" fontId="0" fillId="0" borderId="3" xfId="0" applyNumberFormat="1" applyBorder="1"/>
    <xf numFmtId="2" fontId="5" fillId="0" borderId="9" xfId="4" applyNumberFormat="1" applyFont="1" applyFill="1" applyBorder="1"/>
    <xf numFmtId="180" fontId="1" fillId="8" borderId="9" xfId="8" applyNumberFormat="1" applyFont="1" applyBorder="1"/>
    <xf numFmtId="170" fontId="0" fillId="0" borderId="0" xfId="0" applyNumberFormat="1"/>
    <xf numFmtId="10" fontId="8" fillId="8" borderId="1" xfId="8" applyNumberFormat="1"/>
    <xf numFmtId="0" fontId="0" fillId="0" borderId="24" xfId="0" applyBorder="1" applyAlignment="1">
      <alignment horizontal="right"/>
    </xf>
    <xf numFmtId="0" fontId="0" fillId="14" borderId="0" xfId="0" applyFill="1" applyBorder="1"/>
    <xf numFmtId="0" fontId="0" fillId="14" borderId="5" xfId="0" applyFill="1" applyBorder="1"/>
    <xf numFmtId="0" fontId="4" fillId="12" borderId="67" xfId="13" applyFont="1" applyBorder="1"/>
    <xf numFmtId="0" fontId="4" fillId="12" borderId="37" xfId="13" applyFont="1" applyBorder="1"/>
    <xf numFmtId="0" fontId="4" fillId="12" borderId="75" xfId="13" applyFont="1" applyBorder="1"/>
    <xf numFmtId="0" fontId="4" fillId="12" borderId="68" xfId="13" applyFont="1" applyBorder="1"/>
    <xf numFmtId="0" fontId="4" fillId="0" borderId="0" xfId="13" applyFont="1" applyFill="1" applyBorder="1"/>
    <xf numFmtId="1" fontId="0" fillId="11" borderId="24" xfId="0" applyNumberFormat="1" applyFill="1" applyBorder="1"/>
    <xf numFmtId="1" fontId="0" fillId="0" borderId="0" xfId="0" applyNumberFormat="1" applyBorder="1"/>
    <xf numFmtId="1" fontId="0" fillId="0" borderId="24" xfId="0" applyNumberFormat="1" applyBorder="1"/>
    <xf numFmtId="1" fontId="0" fillId="11" borderId="0" xfId="0" applyNumberFormat="1" applyFill="1" applyBorder="1"/>
    <xf numFmtId="1" fontId="0" fillId="0" borderId="5" xfId="0" applyNumberFormat="1" applyBorder="1"/>
    <xf numFmtId="1" fontId="0" fillId="11" borderId="5" xfId="0" applyNumberFormat="1" applyFill="1" applyBorder="1"/>
    <xf numFmtId="190" fontId="0" fillId="0" borderId="0" xfId="0" applyNumberFormat="1"/>
    <xf numFmtId="0" fontId="8" fillId="8" borderId="5" xfId="8" applyBorder="1"/>
    <xf numFmtId="172" fontId="0" fillId="0" borderId="0" xfId="0" applyNumberFormat="1"/>
    <xf numFmtId="0" fontId="8" fillId="8" borderId="5" xfId="8" quotePrefix="1" applyBorder="1"/>
    <xf numFmtId="168" fontId="8" fillId="8" borderId="4" xfId="8" applyNumberFormat="1" applyBorder="1"/>
    <xf numFmtId="191" fontId="0" fillId="0" borderId="0" xfId="0" applyNumberFormat="1"/>
    <xf numFmtId="192" fontId="0" fillId="0" borderId="0" xfId="0" applyNumberFormat="1"/>
    <xf numFmtId="11" fontId="0" fillId="0" borderId="0" xfId="0" applyNumberFormat="1"/>
    <xf numFmtId="1" fontId="0" fillId="0" borderId="3" xfId="0" applyNumberFormat="1" applyBorder="1"/>
    <xf numFmtId="1" fontId="0" fillId="0" borderId="25" xfId="0" applyNumberFormat="1" applyBorder="1"/>
    <xf numFmtId="1" fontId="0" fillId="0" borderId="4" xfId="0" applyNumberFormat="1" applyBorder="1"/>
    <xf numFmtId="1" fontId="0" fillId="11" borderId="3" xfId="0" applyNumberFormat="1" applyFill="1" applyBorder="1"/>
    <xf numFmtId="0" fontId="0" fillId="26" borderId="22" xfId="0" applyFill="1" applyBorder="1"/>
    <xf numFmtId="0" fontId="4" fillId="12" borderId="76" xfId="13" applyFont="1" applyBorder="1"/>
    <xf numFmtId="0" fontId="4" fillId="12" borderId="77" xfId="13" applyFont="1" applyBorder="1"/>
    <xf numFmtId="0" fontId="4" fillId="12" borderId="78" xfId="13" applyFont="1" applyBorder="1"/>
    <xf numFmtId="193" fontId="8" fillId="8" borderId="43" xfId="8" quotePrefix="1" applyNumberFormat="1" applyBorder="1"/>
    <xf numFmtId="10" fontId="0" fillId="0" borderId="24" xfId="7" applyNumberFormat="1" applyFont="1" applyFill="1" applyBorder="1"/>
    <xf numFmtId="10" fontId="0" fillId="0" borderId="5" xfId="7" applyNumberFormat="1" applyFont="1" applyFill="1" applyBorder="1"/>
    <xf numFmtId="10" fontId="0" fillId="27" borderId="24" xfId="7" applyNumberFormat="1" applyFont="1" applyFill="1" applyBorder="1"/>
    <xf numFmtId="10" fontId="0" fillId="27" borderId="0" xfId="7" applyNumberFormat="1" applyFont="1" applyFill="1" applyBorder="1"/>
    <xf numFmtId="10" fontId="0" fillId="27" borderId="5" xfId="7" applyNumberFormat="1" applyFont="1" applyFill="1" applyBorder="1"/>
    <xf numFmtId="2" fontId="0" fillId="0" borderId="0" xfId="7" applyNumberFormat="1" applyFont="1" applyFill="1"/>
    <xf numFmtId="10" fontId="0" fillId="24" borderId="0" xfId="7" applyNumberFormat="1" applyFont="1" applyFill="1" applyBorder="1"/>
    <xf numFmtId="193" fontId="8" fillId="8" borderId="42" xfId="8" quotePrefix="1" applyNumberFormat="1" applyBorder="1"/>
    <xf numFmtId="10" fontId="0" fillId="24" borderId="24" xfId="7" applyNumberFormat="1" applyFont="1" applyFill="1" applyBorder="1"/>
    <xf numFmtId="10" fontId="0" fillId="0" borderId="24" xfId="7" applyNumberFormat="1" applyFont="1" applyBorder="1"/>
    <xf numFmtId="0" fontId="8" fillId="8" borderId="79" xfId="8" applyBorder="1"/>
    <xf numFmtId="182" fontId="0" fillId="0" borderId="5" xfId="0" applyNumberFormat="1" applyBorder="1"/>
    <xf numFmtId="0" fontId="8" fillId="8" borderId="81" xfId="8" applyBorder="1"/>
    <xf numFmtId="10" fontId="0" fillId="0" borderId="18" xfId="7" applyNumberFormat="1" applyFont="1" applyBorder="1"/>
    <xf numFmtId="10" fontId="0" fillId="0" borderId="19" xfId="7" applyNumberFormat="1" applyFont="1" applyBorder="1"/>
    <xf numFmtId="10" fontId="0" fillId="0" borderId="20" xfId="7" applyNumberFormat="1" applyFont="1" applyBorder="1"/>
    <xf numFmtId="2" fontId="0" fillId="0" borderId="24" xfId="7" applyNumberFormat="1" applyFont="1" applyBorder="1"/>
    <xf numFmtId="2" fontId="0" fillId="0" borderId="5" xfId="7" applyNumberFormat="1" applyFont="1" applyBorder="1"/>
    <xf numFmtId="2" fontId="0" fillId="0" borderId="18" xfId="0" applyNumberFormat="1" applyBorder="1"/>
    <xf numFmtId="2" fontId="0" fillId="0" borderId="19" xfId="0" applyNumberFormat="1" applyBorder="1"/>
    <xf numFmtId="2" fontId="0" fillId="0" borderId="20" xfId="0" applyNumberFormat="1" applyBorder="1"/>
    <xf numFmtId="1" fontId="0" fillId="0" borderId="24" xfId="0" applyNumberFormat="1" applyFill="1" applyBorder="1"/>
    <xf numFmtId="9" fontId="0" fillId="11" borderId="0" xfId="7" applyFont="1" applyFill="1"/>
    <xf numFmtId="1" fontId="8" fillId="8" borderId="1" xfId="8" applyNumberFormat="1"/>
    <xf numFmtId="1" fontId="0" fillId="0" borderId="0" xfId="0" applyNumberFormat="1" applyAlignment="1">
      <alignment vertical="top"/>
    </xf>
    <xf numFmtId="9" fontId="0" fillId="0" borderId="0" xfId="0" applyNumberFormat="1"/>
    <xf numFmtId="9" fontId="0" fillId="11" borderId="0" xfId="0" applyNumberFormat="1" applyFill="1"/>
    <xf numFmtId="1" fontId="8" fillId="8" borderId="1" xfId="8" applyNumberFormat="1" applyAlignment="1">
      <alignment vertical="top"/>
    </xf>
    <xf numFmtId="1" fontId="0" fillId="11" borderId="0" xfId="0" applyNumberFormat="1" applyFill="1"/>
    <xf numFmtId="9" fontId="0" fillId="0" borderId="0" xfId="7" applyNumberFormat="1" applyFont="1"/>
    <xf numFmtId="2" fontId="4" fillId="0" borderId="1" xfId="4" applyNumberFormat="1" applyFill="1"/>
    <xf numFmtId="0" fontId="13" fillId="0" borderId="0" xfId="0" applyFont="1" applyFill="1" applyAlignment="1">
      <alignment horizontal="center"/>
    </xf>
    <xf numFmtId="0" fontId="4" fillId="4" borderId="1" xfId="4" applyAlignment="1">
      <alignment horizontal="center"/>
    </xf>
    <xf numFmtId="10" fontId="8" fillId="8" borderId="1" xfId="8" quotePrefix="1" applyNumberFormat="1"/>
    <xf numFmtId="0" fontId="2" fillId="0" borderId="20" xfId="2" applyFill="1" applyBorder="1"/>
    <xf numFmtId="0" fontId="4" fillId="0" borderId="41" xfId="4" applyFill="1" applyBorder="1"/>
    <xf numFmtId="0" fontId="0" fillId="0" borderId="0" xfId="0" applyBorder="1" applyAlignment="1"/>
    <xf numFmtId="10" fontId="0" fillId="0" borderId="16" xfId="7" applyNumberFormat="1" applyFont="1" applyBorder="1"/>
    <xf numFmtId="0" fontId="0" fillId="0" borderId="0" xfId="7" applyNumberFormat="1" applyFont="1" applyBorder="1"/>
    <xf numFmtId="0" fontId="0" fillId="0" borderId="0" xfId="7" applyNumberFormat="1" applyFont="1" applyFill="1" applyBorder="1"/>
    <xf numFmtId="0" fontId="0" fillId="0" borderId="12" xfId="7" applyNumberFormat="1" applyFont="1" applyBorder="1"/>
    <xf numFmtId="10" fontId="0" fillId="0" borderId="17" xfId="7" applyNumberFormat="1" applyFont="1" applyBorder="1"/>
    <xf numFmtId="0" fontId="0" fillId="0" borderId="14" xfId="7" applyNumberFormat="1" applyFont="1" applyBorder="1"/>
    <xf numFmtId="0" fontId="0" fillId="0" borderId="13" xfId="7" applyNumberFormat="1" applyFont="1" applyBorder="1"/>
    <xf numFmtId="0" fontId="0" fillId="0" borderId="0" xfId="0"/>
    <xf numFmtId="0" fontId="0" fillId="0" borderId="0" xfId="0"/>
    <xf numFmtId="0" fontId="8" fillId="8" borderId="43" xfId="8" applyBorder="1"/>
    <xf numFmtId="10" fontId="2" fillId="2" borderId="5" xfId="7" applyNumberFormat="1" applyFont="1" applyFill="1" applyBorder="1"/>
    <xf numFmtId="2" fontId="2" fillId="2" borderId="3" xfId="2" applyNumberFormat="1" applyBorder="1"/>
    <xf numFmtId="10" fontId="0" fillId="0" borderId="4" xfId="7" applyNumberFormat="1" applyFont="1" applyBorder="1"/>
    <xf numFmtId="170" fontId="0" fillId="11" borderId="0" xfId="0" applyNumberFormat="1" applyFill="1"/>
    <xf numFmtId="0" fontId="4" fillId="0" borderId="85" xfId="4" applyFill="1" applyBorder="1"/>
    <xf numFmtId="0" fontId="4" fillId="0" borderId="1" xfId="4" applyFill="1" applyBorder="1"/>
    <xf numFmtId="2" fontId="4" fillId="0" borderId="1" xfId="4" applyNumberFormat="1" applyFill="1" applyBorder="1"/>
    <xf numFmtId="10" fontId="0" fillId="0" borderId="0" xfId="0" applyNumberFormat="1" applyFill="1"/>
    <xf numFmtId="169" fontId="5" fillId="0" borderId="86" xfId="1" applyNumberFormat="1" applyFont="1" applyFill="1" applyBorder="1"/>
    <xf numFmtId="10" fontId="0" fillId="0" borderId="87" xfId="7" applyNumberFormat="1" applyFont="1" applyBorder="1"/>
    <xf numFmtId="1" fontId="0" fillId="0" borderId="5" xfId="0" applyNumberFormat="1" applyFill="1" applyBorder="1"/>
    <xf numFmtId="1" fontId="0" fillId="0" borderId="3" xfId="0" applyNumberFormat="1" applyFill="1" applyBorder="1"/>
    <xf numFmtId="1" fontId="0" fillId="0" borderId="4" xfId="0" applyNumberFormat="1" applyFill="1" applyBorder="1"/>
    <xf numFmtId="10" fontId="8" fillId="8" borderId="43" xfId="7" applyNumberFormat="1" applyFont="1" applyFill="1" applyBorder="1"/>
    <xf numFmtId="10" fontId="8" fillId="8" borderId="81" xfId="7" applyNumberFormat="1" applyFont="1" applyFill="1" applyBorder="1"/>
    <xf numFmtId="10" fontId="8" fillId="8" borderId="57" xfId="7" applyNumberFormat="1" applyFont="1" applyFill="1" applyBorder="1"/>
    <xf numFmtId="174" fontId="0" fillId="0" borderId="20" xfId="0" applyNumberFormat="1" applyBorder="1"/>
    <xf numFmtId="10" fontId="8" fillId="8" borderId="43" xfId="8" applyNumberFormat="1" applyBorder="1"/>
    <xf numFmtId="0" fontId="0" fillId="0" borderId="0" xfId="0"/>
    <xf numFmtId="0" fontId="85" fillId="22" borderId="0" xfId="13" applyFont="1" applyFill="1" applyBorder="1"/>
    <xf numFmtId="1" fontId="63" fillId="0" borderId="0" xfId="0" applyNumberFormat="1" applyFont="1" applyFill="1" applyAlignment="1">
      <alignment horizontal="left"/>
    </xf>
    <xf numFmtId="0" fontId="77" fillId="0" borderId="0" xfId="0" applyFont="1" applyFill="1" applyAlignment="1"/>
    <xf numFmtId="166" fontId="11" fillId="0" borderId="0" xfId="0" applyNumberFormat="1" applyFont="1" applyFill="1" applyAlignment="1"/>
    <xf numFmtId="0" fontId="9" fillId="0" borderId="0" xfId="0" quotePrefix="1" applyFont="1" applyFill="1" applyAlignment="1">
      <alignment horizontal="left"/>
    </xf>
    <xf numFmtId="0" fontId="9" fillId="0" borderId="0" xfId="0" applyFont="1" applyFill="1" applyAlignment="1"/>
    <xf numFmtId="0" fontId="11" fillId="0" borderId="0" xfId="0" applyFont="1" applyFill="1" applyAlignment="1">
      <alignment horizontal="left"/>
    </xf>
    <xf numFmtId="0" fontId="11" fillId="0" borderId="0" xfId="0" applyFont="1" applyFill="1" applyAlignment="1"/>
    <xf numFmtId="0" fontId="11" fillId="0" borderId="0" xfId="0" quotePrefix="1" applyFont="1" applyFill="1" applyAlignment="1">
      <alignment horizontal="left"/>
    </xf>
    <xf numFmtId="0" fontId="9" fillId="0" borderId="0" xfId="10" quotePrefix="1" applyNumberFormat="1" applyFont="1" applyFill="1" applyAlignment="1">
      <alignment horizontal="left"/>
    </xf>
    <xf numFmtId="1" fontId="5" fillId="0" borderId="0" xfId="0" applyNumberFormat="1" applyFont="1" applyFill="1" applyAlignment="1">
      <alignment horizontal="center"/>
    </xf>
    <xf numFmtId="3" fontId="5" fillId="0" borderId="0" xfId="1" applyNumberFormat="1" applyFont="1" applyFill="1" applyAlignment="1">
      <alignment horizontal="center"/>
    </xf>
    <xf numFmtId="180" fontId="5" fillId="0" borderId="0" xfId="0" applyNumberFormat="1" applyFont="1" applyFill="1" applyAlignment="1">
      <alignment horizontal="right"/>
    </xf>
    <xf numFmtId="9" fontId="0" fillId="20" borderId="0" xfId="0" applyNumberFormat="1" applyFill="1" applyAlignment="1">
      <alignment horizontal="center"/>
    </xf>
    <xf numFmtId="180" fontId="0" fillId="20" borderId="22" xfId="0" applyNumberFormat="1" applyFill="1" applyBorder="1" applyAlignment="1"/>
    <xf numFmtId="9" fontId="0" fillId="20" borderId="22" xfId="0" applyNumberFormat="1" applyFill="1" applyBorder="1" applyAlignment="1">
      <alignment horizontal="center"/>
    </xf>
    <xf numFmtId="180" fontId="0" fillId="20" borderId="0" xfId="0" applyNumberFormat="1" applyFill="1" applyBorder="1" applyAlignment="1"/>
    <xf numFmtId="0" fontId="82" fillId="0" borderId="0" xfId="0" applyFont="1" applyFill="1"/>
    <xf numFmtId="0" fontId="83" fillId="0" borderId="0" xfId="0" applyFont="1" applyFill="1"/>
    <xf numFmtId="0" fontId="83" fillId="0" borderId="0" xfId="0" applyFont="1" applyFill="1" applyBorder="1"/>
    <xf numFmtId="1" fontId="0" fillId="22" borderId="0" xfId="0" applyNumberFormat="1" applyFill="1" applyAlignment="1">
      <alignment horizontal="center"/>
    </xf>
    <xf numFmtId="173" fontId="0" fillId="22" borderId="0" xfId="0" applyNumberFormat="1" applyFill="1" applyAlignment="1">
      <alignment horizontal="center"/>
    </xf>
    <xf numFmtId="179" fontId="0" fillId="22" borderId="0" xfId="0" applyNumberFormat="1" applyFill="1" applyAlignment="1">
      <alignment horizontal="center"/>
    </xf>
    <xf numFmtId="9" fontId="0" fillId="22" borderId="0" xfId="0" applyNumberFormat="1" applyFill="1" applyAlignment="1">
      <alignment horizontal="center"/>
    </xf>
    <xf numFmtId="180" fontId="0" fillId="22" borderId="0" xfId="0" applyNumberFormat="1" applyFill="1" applyAlignment="1">
      <alignment horizontal="center"/>
    </xf>
    <xf numFmtId="1" fontId="11" fillId="0" borderId="0" xfId="7" applyNumberFormat="1" applyFont="1" applyFill="1" applyAlignment="1">
      <alignment horizontal="center"/>
    </xf>
    <xf numFmtId="1" fontId="10" fillId="0" borderId="0" xfId="7" applyNumberFormat="1" applyFont="1" applyFill="1" applyAlignment="1">
      <alignment horizontal="center"/>
    </xf>
    <xf numFmtId="1" fontId="9" fillId="0" borderId="0" xfId="0" applyNumberFormat="1" applyFont="1" applyFill="1" applyAlignment="1">
      <alignment horizontal="center"/>
    </xf>
    <xf numFmtId="9" fontId="9" fillId="0" borderId="0" xfId="0" applyNumberFormat="1" applyFont="1" applyFill="1" applyAlignment="1">
      <alignment horizontal="center"/>
    </xf>
    <xf numFmtId="0" fontId="5" fillId="0" borderId="0" xfId="0" applyFont="1" applyFill="1" applyAlignment="1"/>
    <xf numFmtId="0" fontId="5" fillId="0" borderId="0" xfId="0" applyFont="1" applyFill="1" applyAlignment="1">
      <alignment horizontal="left"/>
    </xf>
    <xf numFmtId="0" fontId="68" fillId="0" borderId="0" xfId="0" applyFont="1" applyFill="1" applyAlignment="1"/>
    <xf numFmtId="0" fontId="9" fillId="0" borderId="0" xfId="0" applyFont="1" applyAlignment="1"/>
    <xf numFmtId="0" fontId="0" fillId="0" borderId="0" xfId="0" applyFont="1" applyFill="1" applyAlignment="1"/>
    <xf numFmtId="1" fontId="0" fillId="0" borderId="0" xfId="0" applyNumberFormat="1" applyFont="1" applyFill="1" applyAlignment="1"/>
    <xf numFmtId="180" fontId="0" fillId="0" borderId="0" xfId="0" applyNumberFormat="1" applyFont="1" applyFill="1" applyAlignment="1"/>
    <xf numFmtId="180" fontId="0" fillId="0" borderId="0" xfId="0" applyNumberFormat="1" applyFont="1" applyFill="1" applyAlignment="1">
      <alignment horizontal="center"/>
    </xf>
    <xf numFmtId="9" fontId="0" fillId="0" borderId="0" xfId="0" applyNumberFormat="1" applyFont="1" applyFill="1" applyAlignment="1">
      <alignment horizontal="center"/>
    </xf>
    <xf numFmtId="1" fontId="0" fillId="0" borderId="0" xfId="0" applyNumberFormat="1" applyFont="1" applyFill="1" applyAlignment="1">
      <alignment horizontal="center"/>
    </xf>
    <xf numFmtId="0" fontId="0" fillId="0" borderId="0" xfId="0" applyFont="1" applyAlignment="1"/>
    <xf numFmtId="179" fontId="0" fillId="0" borderId="0" xfId="0" applyNumberFormat="1" applyFont="1" applyFill="1" applyAlignment="1">
      <alignment horizontal="center"/>
    </xf>
    <xf numFmtId="174" fontId="0" fillId="0" borderId="0" xfId="0" applyNumberFormat="1" applyFont="1" applyAlignment="1">
      <alignment horizontal="center"/>
    </xf>
    <xf numFmtId="1" fontId="0" fillId="0" borderId="0" xfId="0" applyNumberFormat="1" applyFont="1" applyAlignment="1">
      <alignment horizontal="center"/>
    </xf>
    <xf numFmtId="1" fontId="0" fillId="0" borderId="0" xfId="0" applyNumberFormat="1" applyFont="1" applyAlignment="1"/>
    <xf numFmtId="9" fontId="0" fillId="0" borderId="0" xfId="0" applyNumberFormat="1" applyFont="1" applyAlignment="1">
      <alignment horizontal="center"/>
    </xf>
    <xf numFmtId="180" fontId="0" fillId="0" borderId="0" xfId="0" applyNumberFormat="1" applyFont="1" applyAlignment="1">
      <alignment horizontal="center"/>
    </xf>
    <xf numFmtId="173" fontId="0" fillId="0" borderId="0" xfId="0" applyNumberFormat="1" applyFont="1" applyAlignment="1">
      <alignment horizontal="center"/>
    </xf>
    <xf numFmtId="179" fontId="0" fillId="0" borderId="0" xfId="0" applyNumberFormat="1" applyFont="1" applyAlignment="1">
      <alignment horizontal="center"/>
    </xf>
    <xf numFmtId="9" fontId="5" fillId="0" borderId="0" xfId="7" applyFont="1" applyFill="1" applyAlignment="1">
      <alignment horizontal="center"/>
    </xf>
    <xf numFmtId="0" fontId="5" fillId="0" borderId="0" xfId="0" applyFont="1" applyFill="1" applyAlignment="1" applyProtection="1"/>
    <xf numFmtId="9" fontId="68" fillId="0" borderId="0" xfId="7" applyFont="1" applyFill="1" applyAlignment="1">
      <alignment horizontal="center"/>
    </xf>
    <xf numFmtId="0" fontId="5" fillId="0" borderId="0" xfId="25" applyNumberFormat="1" applyFont="1" applyFill="1">
      <alignment horizontal="left" wrapText="1"/>
    </xf>
    <xf numFmtId="0" fontId="5" fillId="0" borderId="0" xfId="25" quotePrefix="1" applyNumberFormat="1" applyFont="1" applyFill="1" applyAlignment="1">
      <alignment horizontal="left"/>
    </xf>
    <xf numFmtId="0" fontId="5" fillId="0" borderId="0" xfId="0" quotePrefix="1" applyFont="1" applyFill="1" applyAlignment="1">
      <alignment horizontal="left"/>
    </xf>
    <xf numFmtId="9" fontId="68" fillId="0" borderId="0" xfId="0" applyNumberFormat="1" applyFont="1" applyFill="1" applyAlignment="1">
      <alignment horizontal="center"/>
    </xf>
    <xf numFmtId="180" fontId="9" fillId="0" borderId="0" xfId="0" applyNumberFormat="1" applyFont="1" applyFill="1" applyAlignment="1">
      <alignment horizontal="center"/>
    </xf>
    <xf numFmtId="1" fontId="9" fillId="0" borderId="0" xfId="0" applyNumberFormat="1" applyFont="1" applyAlignment="1"/>
    <xf numFmtId="1" fontId="5" fillId="0" borderId="0" xfId="0" applyNumberFormat="1" applyFont="1" applyFill="1" applyAlignment="1">
      <alignment horizontal="right"/>
    </xf>
    <xf numFmtId="1" fontId="87" fillId="20" borderId="0" xfId="0" quotePrefix="1" applyNumberFormat="1" applyFont="1" applyFill="1" applyAlignment="1">
      <alignment horizontal="left"/>
    </xf>
    <xf numFmtId="1" fontId="87" fillId="20" borderId="0" xfId="0" applyNumberFormat="1" applyFont="1" applyFill="1" applyAlignment="1">
      <alignment horizontal="left"/>
    </xf>
    <xf numFmtId="1" fontId="87" fillId="19" borderId="0" xfId="0" quotePrefix="1" applyNumberFormat="1" applyFont="1" applyFill="1" applyAlignment="1">
      <alignment horizontal="left"/>
    </xf>
    <xf numFmtId="1" fontId="87" fillId="0" borderId="0" xfId="0" quotePrefix="1" applyNumberFormat="1" applyFont="1" applyFill="1" applyAlignment="1">
      <alignment horizontal="left"/>
    </xf>
    <xf numFmtId="1" fontId="87" fillId="0" borderId="0" xfId="0" applyNumberFormat="1" applyFont="1" applyFill="1" applyAlignment="1">
      <alignment horizontal="left"/>
    </xf>
    <xf numFmtId="180" fontId="68" fillId="22" borderId="0" xfId="12" applyNumberFormat="1" applyFont="1" applyFill="1" applyBorder="1"/>
    <xf numFmtId="180" fontId="5" fillId="22" borderId="0" xfId="0" applyNumberFormat="1" applyFont="1" applyFill="1"/>
    <xf numFmtId="174" fontId="9" fillId="22" borderId="0" xfId="7" applyNumberFormat="1" applyFont="1" applyFill="1" applyBorder="1" applyAlignment="1">
      <alignment horizontal="center"/>
    </xf>
    <xf numFmtId="180" fontId="9" fillId="22" borderId="0" xfId="0" applyNumberFormat="1" applyFont="1" applyFill="1" applyBorder="1"/>
    <xf numFmtId="174" fontId="9" fillId="22" borderId="0" xfId="7" applyNumberFormat="1" applyFont="1" applyFill="1" applyAlignment="1">
      <alignment horizontal="center"/>
    </xf>
    <xf numFmtId="180" fontId="9" fillId="22" borderId="19" xfId="0" applyNumberFormat="1" applyFont="1" applyFill="1" applyBorder="1"/>
    <xf numFmtId="174" fontId="9" fillId="22" borderId="19" xfId="7" applyNumberFormat="1" applyFont="1" applyFill="1" applyBorder="1" applyAlignment="1">
      <alignment horizontal="center"/>
    </xf>
    <xf numFmtId="180" fontId="68" fillId="22" borderId="22" xfId="12" applyNumberFormat="1" applyFont="1" applyFill="1" applyBorder="1"/>
    <xf numFmtId="1" fontId="48" fillId="19" borderId="0" xfId="0" applyNumberFormat="1" applyFont="1" applyFill="1" applyAlignment="1"/>
    <xf numFmtId="0" fontId="0" fillId="0" borderId="0" xfId="0"/>
    <xf numFmtId="1" fontId="4" fillId="4" borderId="57" xfId="4" applyNumberFormat="1" applyBorder="1" applyAlignment="1">
      <alignment horizontal="center"/>
    </xf>
    <xf numFmtId="0" fontId="0" fillId="0" borderId="0" xfId="0"/>
    <xf numFmtId="2" fontId="4" fillId="4" borderId="79" xfId="4" applyNumberFormat="1" applyBorder="1"/>
    <xf numFmtId="0" fontId="4" fillId="4" borderId="43" xfId="4" applyBorder="1"/>
    <xf numFmtId="1" fontId="4" fillId="4" borderId="1" xfId="4" applyNumberFormat="1"/>
    <xf numFmtId="180" fontId="0" fillId="22" borderId="0" xfId="7" applyNumberFormat="1" applyFont="1" applyFill="1" applyAlignment="1">
      <alignment horizontal="center"/>
    </xf>
    <xf numFmtId="180" fontId="0" fillId="22" borderId="0" xfId="7" applyNumberFormat="1" applyFont="1" applyFill="1"/>
    <xf numFmtId="174" fontId="9" fillId="22" borderId="22" xfId="0" applyNumberFormat="1" applyFont="1" applyFill="1" applyBorder="1"/>
    <xf numFmtId="179" fontId="0" fillId="0" borderId="0" xfId="0" applyNumberFormat="1" applyAlignment="1">
      <alignment horizontal="right"/>
    </xf>
    <xf numFmtId="184" fontId="0" fillId="0" borderId="0" xfId="0" applyNumberFormat="1"/>
    <xf numFmtId="175" fontId="5" fillId="20" borderId="0" xfId="0" applyNumberFormat="1" applyFont="1" applyFill="1" applyAlignment="1">
      <alignment horizontal="left" wrapText="1"/>
    </xf>
    <xf numFmtId="0" fontId="9" fillId="0" borderId="1" xfId="0" applyFont="1" applyBorder="1" applyAlignment="1" applyProtection="1">
      <alignment horizontal="center"/>
      <protection locked="0"/>
    </xf>
    <xf numFmtId="9" fontId="0" fillId="22" borderId="0" xfId="7" applyNumberFormat="1" applyFont="1" applyFill="1" applyBorder="1" applyAlignment="1" applyProtection="1">
      <alignment horizontal="center"/>
    </xf>
    <xf numFmtId="9" fontId="0" fillId="22" borderId="69" xfId="7" applyNumberFormat="1" applyFont="1" applyFill="1" applyBorder="1" applyAlignment="1" applyProtection="1">
      <alignment horizontal="center"/>
    </xf>
    <xf numFmtId="9" fontId="0" fillId="22" borderId="22" xfId="7" applyNumberFormat="1" applyFont="1" applyFill="1" applyBorder="1" applyAlignment="1" applyProtection="1">
      <alignment horizontal="right"/>
    </xf>
    <xf numFmtId="9" fontId="0" fillId="22" borderId="0" xfId="0" applyNumberFormat="1" applyFill="1" applyProtection="1"/>
    <xf numFmtId="9" fontId="0" fillId="22" borderId="0" xfId="13" applyNumberFormat="1" applyFont="1" applyFill="1" applyBorder="1" applyProtection="1"/>
    <xf numFmtId="0" fontId="68" fillId="0" borderId="11" xfId="0" applyFont="1" applyFill="1" applyBorder="1" applyAlignment="1" applyProtection="1">
      <alignment horizontal="left"/>
    </xf>
    <xf numFmtId="1" fontId="11" fillId="0" borderId="0" xfId="0" applyNumberFormat="1" applyFont="1" applyFill="1" applyAlignment="1" applyProtection="1"/>
    <xf numFmtId="0" fontId="0" fillId="0" borderId="0" xfId="0" applyFill="1" applyProtection="1"/>
    <xf numFmtId="0" fontId="26" fillId="0" borderId="0" xfId="0" applyFont="1" applyFill="1" applyProtection="1"/>
    <xf numFmtId="0" fontId="9" fillId="0" borderId="22" xfId="0" applyFont="1" applyFill="1" applyBorder="1" applyProtection="1"/>
    <xf numFmtId="0" fontId="0" fillId="0" borderId="0" xfId="0" applyFill="1" applyBorder="1" applyProtection="1"/>
    <xf numFmtId="0" fontId="9" fillId="0" borderId="11" xfId="0" applyFont="1" applyFill="1" applyBorder="1" applyProtection="1"/>
    <xf numFmtId="0" fontId="0" fillId="0" borderId="22" xfId="0" applyFill="1" applyBorder="1" applyProtection="1"/>
    <xf numFmtId="0" fontId="26" fillId="0" borderId="0" xfId="0" applyFont="1" applyFill="1" applyBorder="1" applyProtection="1"/>
    <xf numFmtId="0" fontId="0" fillId="0" borderId="0" xfId="0" applyFont="1" applyFill="1" applyProtection="1"/>
    <xf numFmtId="0" fontId="9" fillId="0" borderId="0" xfId="0" applyFont="1" applyFill="1" applyProtection="1"/>
    <xf numFmtId="0" fontId="9" fillId="0" borderId="0" xfId="0" applyFont="1" applyFill="1" applyBorder="1" applyProtection="1"/>
    <xf numFmtId="0" fontId="24" fillId="0" borderId="0" xfId="0" applyFont="1" applyFill="1" applyBorder="1" applyProtection="1"/>
    <xf numFmtId="0" fontId="25" fillId="0" borderId="0" xfId="0" applyFont="1" applyFill="1" applyProtection="1"/>
    <xf numFmtId="0" fontId="0" fillId="0" borderId="0" xfId="0" quotePrefix="1" applyFill="1" applyProtection="1"/>
    <xf numFmtId="0" fontId="38" fillId="0" borderId="0" xfId="0" applyFont="1" applyFill="1" applyProtection="1"/>
    <xf numFmtId="1" fontId="51" fillId="0" borderId="0" xfId="0" applyNumberFormat="1" applyFont="1" applyFill="1" applyAlignment="1" applyProtection="1"/>
    <xf numFmtId="1" fontId="0" fillId="0" borderId="0" xfId="0" applyNumberFormat="1" applyFill="1" applyAlignment="1" applyProtection="1"/>
    <xf numFmtId="1" fontId="11" fillId="0" borderId="0" xfId="0" quotePrefix="1" applyNumberFormat="1" applyFont="1" applyFill="1" applyAlignment="1" applyProtection="1">
      <alignment horizontal="left"/>
    </xf>
    <xf numFmtId="1" fontId="0" fillId="0" borderId="0" xfId="0" quotePrefix="1" applyNumberFormat="1" applyFill="1" applyAlignment="1" applyProtection="1">
      <alignment horizontal="left"/>
    </xf>
    <xf numFmtId="1" fontId="0" fillId="0" borderId="0" xfId="0" applyNumberFormat="1" applyFill="1" applyAlignment="1" applyProtection="1">
      <alignment horizontal="left"/>
    </xf>
    <xf numFmtId="0" fontId="83" fillId="0" borderId="0" xfId="0" applyFont="1" applyFill="1" applyProtection="1"/>
    <xf numFmtId="0" fontId="82" fillId="0" borderId="0" xfId="0" applyFont="1" applyFill="1" applyProtection="1"/>
    <xf numFmtId="0" fontId="83" fillId="0" borderId="0" xfId="0" applyFont="1" applyFill="1" applyBorder="1" applyProtection="1"/>
    <xf numFmtId="0" fontId="68" fillId="0" borderId="88" xfId="2" applyFont="1" applyFill="1" applyBorder="1" applyAlignment="1" applyProtection="1">
      <alignment horizontal="center"/>
      <protection locked="0"/>
    </xf>
    <xf numFmtId="0" fontId="0" fillId="22" borderId="0" xfId="0" applyNumberFormat="1" applyFill="1" applyAlignment="1">
      <alignment horizontal="center"/>
    </xf>
    <xf numFmtId="9" fontId="0" fillId="22" borderId="0" xfId="7" applyNumberFormat="1" applyFont="1" applyFill="1" applyProtection="1">
      <protection locked="0"/>
    </xf>
    <xf numFmtId="180" fontId="1" fillId="22" borderId="0" xfId="4" applyNumberFormat="1" applyFont="1" applyFill="1" applyBorder="1" applyProtection="1">
      <protection locked="0"/>
    </xf>
    <xf numFmtId="180" fontId="9" fillId="22" borderId="22" xfId="0" applyNumberFormat="1" applyFont="1" applyFill="1" applyBorder="1" applyProtection="1">
      <protection locked="0"/>
    </xf>
    <xf numFmtId="9" fontId="0" fillId="22" borderId="0" xfId="7" applyNumberFormat="1" applyFont="1" applyFill="1" applyBorder="1" applyAlignment="1" applyProtection="1">
      <alignment horizontal="center"/>
      <protection locked="0"/>
    </xf>
    <xf numFmtId="9" fontId="0" fillId="22" borderId="22" xfId="7" applyFont="1" applyFill="1" applyBorder="1" applyProtection="1">
      <protection locked="0"/>
    </xf>
    <xf numFmtId="180" fontId="0" fillId="22" borderId="0" xfId="1" applyNumberFormat="1" applyFont="1" applyFill="1" applyBorder="1" applyProtection="1">
      <protection locked="0"/>
    </xf>
    <xf numFmtId="9" fontId="0" fillId="22" borderId="0" xfId="7" applyFont="1" applyFill="1" applyBorder="1" applyProtection="1"/>
    <xf numFmtId="179" fontId="0" fillId="0" borderId="1" xfId="7" applyNumberFormat="1" applyFont="1" applyFill="1" applyBorder="1" applyAlignment="1" applyProtection="1">
      <alignment horizontal="center"/>
      <protection locked="0"/>
    </xf>
    <xf numFmtId="180" fontId="5" fillId="0" borderId="1" xfId="4" applyNumberFormat="1" applyFont="1" applyFill="1" applyBorder="1" applyProtection="1">
      <protection locked="0"/>
    </xf>
    <xf numFmtId="180" fontId="5" fillId="0" borderId="34" xfId="4" applyNumberFormat="1" applyFont="1" applyFill="1" applyBorder="1" applyProtection="1">
      <protection locked="0"/>
    </xf>
    <xf numFmtId="180" fontId="5" fillId="0" borderId="63" xfId="4" applyNumberFormat="1" applyFont="1" applyFill="1" applyBorder="1" applyProtection="1">
      <protection locked="0"/>
    </xf>
    <xf numFmtId="9" fontId="0" fillId="0" borderId="1" xfId="7" applyNumberFormat="1" applyFont="1" applyFill="1" applyBorder="1" applyAlignment="1" applyProtection="1">
      <alignment horizontal="center"/>
      <protection locked="0"/>
    </xf>
    <xf numFmtId="179" fontId="0" fillId="0" borderId="88" xfId="7" applyNumberFormat="1" applyFont="1" applyFill="1" applyBorder="1" applyProtection="1">
      <protection locked="0"/>
    </xf>
    <xf numFmtId="179" fontId="0" fillId="0" borderId="89" xfId="7" applyNumberFormat="1" applyFont="1" applyFill="1" applyBorder="1" applyProtection="1">
      <protection locked="0"/>
    </xf>
    <xf numFmtId="180" fontId="0" fillId="0" borderId="0" xfId="0" applyNumberFormat="1" applyFill="1" applyProtection="1">
      <protection locked="0"/>
    </xf>
    <xf numFmtId="9" fontId="0" fillId="0" borderId="66" xfId="7" applyNumberFormat="1" applyFont="1" applyFill="1" applyBorder="1" applyAlignment="1" applyProtection="1">
      <alignment horizontal="center"/>
      <protection locked="0"/>
    </xf>
    <xf numFmtId="9" fontId="0" fillId="22" borderId="22" xfId="7" applyNumberFormat="1" applyFont="1" applyFill="1" applyBorder="1" applyProtection="1">
      <protection locked="0"/>
    </xf>
    <xf numFmtId="180" fontId="0" fillId="0" borderId="88" xfId="0" applyNumberFormat="1" applyFill="1" applyBorder="1" applyProtection="1">
      <protection locked="0"/>
    </xf>
    <xf numFmtId="180" fontId="0" fillId="0" borderId="89" xfId="0" applyNumberFormat="1" applyFill="1" applyBorder="1" applyProtection="1">
      <protection locked="0"/>
    </xf>
    <xf numFmtId="9" fontId="0" fillId="22" borderId="19" xfId="7" applyNumberFormat="1" applyFont="1" applyFill="1" applyBorder="1" applyProtection="1">
      <protection locked="0"/>
    </xf>
    <xf numFmtId="180" fontId="0" fillId="0" borderId="88" xfId="1" applyNumberFormat="1" applyFont="1" applyFill="1" applyBorder="1" applyProtection="1">
      <protection locked="0"/>
    </xf>
    <xf numFmtId="9" fontId="0" fillId="0" borderId="88" xfId="7" applyFont="1" applyFill="1" applyBorder="1" applyAlignment="1" applyProtection="1">
      <alignment horizontal="center"/>
      <protection locked="0"/>
    </xf>
    <xf numFmtId="180" fontId="1" fillId="0" borderId="88" xfId="8" applyNumberFormat="1" applyFont="1" applyFill="1" applyBorder="1" applyProtection="1">
      <protection locked="0"/>
    </xf>
    <xf numFmtId="1" fontId="0" fillId="20" borderId="0" xfId="0" applyNumberFormat="1" applyFill="1" applyAlignment="1" applyProtection="1">
      <protection locked="0"/>
    </xf>
    <xf numFmtId="9" fontId="0" fillId="0" borderId="88" xfId="0" applyNumberFormat="1" applyFill="1" applyBorder="1" applyAlignment="1" applyProtection="1">
      <alignment horizontal="center"/>
      <protection locked="0"/>
    </xf>
    <xf numFmtId="1" fontId="0" fillId="0" borderId="88" xfId="1" applyNumberFormat="1" applyFont="1" applyFill="1" applyBorder="1" applyAlignment="1" applyProtection="1">
      <alignment horizontal="center"/>
      <protection locked="0"/>
    </xf>
    <xf numFmtId="180" fontId="0" fillId="0" borderId="88" xfId="7" applyNumberFormat="1" applyFont="1" applyFill="1" applyBorder="1" applyAlignment="1" applyProtection="1">
      <alignment horizontal="center"/>
      <protection locked="0"/>
    </xf>
    <xf numFmtId="180" fontId="0" fillId="20" borderId="0" xfId="0" applyNumberFormat="1" applyFill="1" applyAlignment="1" applyProtection="1">
      <protection locked="0"/>
    </xf>
    <xf numFmtId="3" fontId="0" fillId="0" borderId="88" xfId="0" applyNumberFormat="1" applyFill="1" applyBorder="1" applyAlignment="1" applyProtection="1">
      <alignment horizontal="center"/>
      <protection locked="0"/>
    </xf>
    <xf numFmtId="180" fontId="0" fillId="0" borderId="88" xfId="0" applyNumberFormat="1" applyFill="1" applyBorder="1" applyAlignment="1" applyProtection="1">
      <alignment horizontal="center"/>
      <protection locked="0"/>
    </xf>
    <xf numFmtId="173" fontId="5" fillId="0" borderId="1" xfId="7" applyNumberFormat="1" applyFont="1" applyFill="1" applyBorder="1" applyAlignment="1" applyProtection="1">
      <alignment horizontal="center"/>
      <protection locked="0"/>
    </xf>
    <xf numFmtId="179" fontId="0" fillId="0" borderId="88" xfId="0" applyNumberFormat="1" applyFill="1" applyBorder="1" applyAlignment="1" applyProtection="1">
      <alignment horizontal="center"/>
      <protection locked="0"/>
    </xf>
    <xf numFmtId="179" fontId="0" fillId="0" borderId="88" xfId="0" applyNumberFormat="1" applyFont="1" applyFill="1" applyBorder="1" applyAlignment="1" applyProtection="1">
      <alignment horizontal="center"/>
      <protection locked="0"/>
    </xf>
    <xf numFmtId="0" fontId="0" fillId="22" borderId="0" xfId="0" applyFill="1" applyProtection="1"/>
    <xf numFmtId="9" fontId="0" fillId="0" borderId="0" xfId="0" applyNumberFormat="1" applyFill="1" applyAlignment="1" applyProtection="1">
      <alignment horizontal="center"/>
      <protection locked="0"/>
    </xf>
    <xf numFmtId="180" fontId="1" fillId="0" borderId="1" xfId="4" applyNumberFormat="1" applyFont="1" applyFill="1" applyBorder="1" applyProtection="1">
      <protection locked="0"/>
    </xf>
    <xf numFmtId="180" fontId="1" fillId="0" borderId="34" xfId="4" applyNumberFormat="1" applyFont="1" applyFill="1" applyBorder="1" applyProtection="1">
      <protection locked="0"/>
    </xf>
    <xf numFmtId="180" fontId="1" fillId="0" borderId="69" xfId="4" applyNumberFormat="1" applyFont="1" applyFill="1" applyBorder="1" applyProtection="1">
      <protection locked="0"/>
    </xf>
    <xf numFmtId="9" fontId="0" fillId="22" borderId="0" xfId="7" applyFont="1" applyFill="1" applyProtection="1">
      <protection locked="0"/>
    </xf>
    <xf numFmtId="9" fontId="0" fillId="0" borderId="88" xfId="7" applyNumberFormat="1" applyFont="1" applyFill="1" applyBorder="1" applyAlignment="1" applyProtection="1">
      <alignment horizontal="center"/>
      <protection locked="0"/>
    </xf>
    <xf numFmtId="9" fontId="0" fillId="0" borderId="89" xfId="7" applyNumberFormat="1" applyFont="1" applyFill="1" applyBorder="1" applyAlignment="1" applyProtection="1">
      <alignment horizontal="center"/>
      <protection locked="0"/>
    </xf>
    <xf numFmtId="173" fontId="89" fillId="0" borderId="0" xfId="26" applyNumberFormat="1" applyFill="1"/>
    <xf numFmtId="2" fontId="0" fillId="0" borderId="0" xfId="0" applyNumberFormat="1" applyFill="1" applyProtection="1">
      <protection locked="0"/>
    </xf>
    <xf numFmtId="174" fontId="0" fillId="0" borderId="0" xfId="7" applyNumberFormat="1" applyFont="1" applyFill="1" applyAlignment="1" applyProtection="1">
      <alignment horizontal="center"/>
      <protection locked="0"/>
    </xf>
    <xf numFmtId="0" fontId="0" fillId="0" borderId="0" xfId="0" applyFill="1" applyProtection="1">
      <protection locked="0"/>
    </xf>
    <xf numFmtId="9" fontId="0" fillId="0" borderId="0" xfId="7" applyNumberFormat="1" applyFont="1" applyFill="1" applyProtection="1">
      <protection locked="0"/>
    </xf>
    <xf numFmtId="0" fontId="9" fillId="0" borderId="22" xfId="6" applyNumberFormat="1" applyFont="1" applyFill="1" applyBorder="1" applyProtection="1">
      <protection locked="0"/>
    </xf>
    <xf numFmtId="2" fontId="9" fillId="0" borderId="22" xfId="0" applyNumberFormat="1" applyFont="1" applyFill="1" applyBorder="1" applyProtection="1">
      <protection locked="0"/>
    </xf>
    <xf numFmtId="180" fontId="20" fillId="0" borderId="22" xfId="12" applyNumberFormat="1" applyFont="1" applyFill="1" applyBorder="1" applyProtection="1">
      <protection locked="0"/>
    </xf>
    <xf numFmtId="174" fontId="9" fillId="0" borderId="22" xfId="7" applyNumberFormat="1" applyFont="1" applyFill="1" applyBorder="1" applyAlignment="1" applyProtection="1">
      <alignment horizontal="center"/>
      <protection locked="0"/>
    </xf>
    <xf numFmtId="9" fontId="0" fillId="0" borderId="22" xfId="7" applyNumberFormat="1" applyFont="1" applyFill="1" applyBorder="1" applyProtection="1">
      <protection locked="0"/>
    </xf>
    <xf numFmtId="0" fontId="0" fillId="0" borderId="0" xfId="6" applyNumberFormat="1" applyFont="1" applyFill="1" applyBorder="1" applyProtection="1">
      <protection locked="0"/>
    </xf>
    <xf numFmtId="2" fontId="0" fillId="0" borderId="0" xfId="0" applyNumberFormat="1" applyFill="1" applyBorder="1" applyProtection="1">
      <protection locked="0"/>
    </xf>
    <xf numFmtId="180" fontId="20" fillId="0" borderId="0" xfId="12" applyNumberFormat="1" applyFill="1" applyBorder="1" applyProtection="1">
      <protection locked="0"/>
    </xf>
    <xf numFmtId="174" fontId="0" fillId="0" borderId="0" xfId="7" applyNumberFormat="1" applyFont="1" applyFill="1" applyBorder="1" applyAlignment="1" applyProtection="1">
      <alignment horizontal="center"/>
      <protection locked="0"/>
    </xf>
    <xf numFmtId="9" fontId="0" fillId="0" borderId="0" xfId="7" applyNumberFormat="1" applyFont="1" applyFill="1" applyBorder="1" applyProtection="1">
      <protection locked="0"/>
    </xf>
    <xf numFmtId="0" fontId="9" fillId="0" borderId="0" xfId="13" applyFont="1" applyFill="1" applyBorder="1" applyAlignment="1" applyProtection="1">
      <alignment horizontal="center"/>
      <protection locked="0"/>
    </xf>
    <xf numFmtId="180" fontId="9" fillId="0" borderId="0" xfId="13" applyNumberFormat="1" applyFont="1" applyFill="1" applyBorder="1" applyAlignment="1" applyProtection="1">
      <alignment horizontal="center"/>
      <protection locked="0"/>
    </xf>
    <xf numFmtId="0" fontId="9" fillId="0" borderId="0" xfId="0" applyFont="1" applyFill="1" applyAlignment="1" applyProtection="1">
      <alignment horizontal="center"/>
      <protection locked="0"/>
    </xf>
    <xf numFmtId="9" fontId="9" fillId="0" borderId="0" xfId="7" applyNumberFormat="1" applyFont="1" applyFill="1" applyAlignment="1" applyProtection="1">
      <alignment horizontal="center"/>
      <protection locked="0"/>
    </xf>
    <xf numFmtId="180" fontId="5" fillId="0" borderId="0" xfId="8" applyNumberFormat="1" applyFont="1" applyFill="1" applyBorder="1" applyProtection="1">
      <protection locked="0"/>
    </xf>
    <xf numFmtId="180" fontId="67" fillId="0" borderId="0" xfId="8" applyNumberFormat="1" applyFont="1" applyFill="1" applyBorder="1" applyProtection="1">
      <protection locked="0"/>
    </xf>
    <xf numFmtId="0" fontId="0" fillId="0" borderId="22" xfId="0" applyFill="1" applyBorder="1" applyProtection="1">
      <protection locked="0"/>
    </xf>
    <xf numFmtId="180" fontId="20" fillId="0" borderId="22" xfId="12" applyNumberFormat="1" applyFill="1" applyBorder="1" applyProtection="1">
      <protection locked="0"/>
    </xf>
    <xf numFmtId="9" fontId="0" fillId="0" borderId="22" xfId="7" applyNumberFormat="1" applyFont="1" applyFill="1" applyBorder="1" applyAlignment="1" applyProtection="1">
      <alignment horizontal="right"/>
      <protection locked="0"/>
    </xf>
    <xf numFmtId="0" fontId="0" fillId="0" borderId="0" xfId="0" applyFill="1" applyBorder="1" applyProtection="1">
      <protection locked="0"/>
    </xf>
    <xf numFmtId="9" fontId="0" fillId="0" borderId="0" xfId="7" applyNumberFormat="1" applyFont="1" applyFill="1" applyBorder="1" applyAlignment="1" applyProtection="1">
      <alignment horizontal="right"/>
      <protection locked="0"/>
    </xf>
    <xf numFmtId="180" fontId="5" fillId="0" borderId="46" xfId="8" applyNumberFormat="1" applyFont="1" applyFill="1" applyBorder="1" applyProtection="1">
      <protection locked="0"/>
    </xf>
    <xf numFmtId="180" fontId="0" fillId="0" borderId="0" xfId="6" applyNumberFormat="1" applyFont="1" applyFill="1" applyProtection="1">
      <protection locked="0"/>
    </xf>
    <xf numFmtId="180" fontId="9" fillId="0" borderId="22" xfId="0" applyNumberFormat="1" applyFont="1" applyFill="1" applyBorder="1" applyProtection="1">
      <protection locked="0"/>
    </xf>
    <xf numFmtId="9" fontId="0" fillId="0" borderId="0" xfId="0" applyNumberFormat="1" applyFill="1" applyProtection="1">
      <protection locked="0"/>
    </xf>
    <xf numFmtId="180" fontId="1" fillId="0" borderId="0" xfId="4" applyNumberFormat="1" applyFont="1" applyFill="1" applyBorder="1" applyProtection="1">
      <protection locked="0"/>
    </xf>
    <xf numFmtId="180" fontId="5" fillId="0" borderId="0" xfId="4" applyNumberFormat="1" applyFont="1" applyFill="1" applyBorder="1" applyProtection="1">
      <protection locked="0"/>
    </xf>
    <xf numFmtId="9" fontId="0" fillId="0" borderId="0" xfId="7" applyNumberFormat="1" applyFont="1" applyFill="1" applyBorder="1" applyAlignment="1" applyProtection="1">
      <alignment horizontal="center"/>
      <protection locked="0"/>
    </xf>
    <xf numFmtId="180" fontId="0" fillId="0" borderId="0" xfId="6" applyNumberFormat="1" applyFont="1" applyFill="1" applyBorder="1" applyProtection="1">
      <protection locked="0"/>
    </xf>
    <xf numFmtId="9" fontId="0" fillId="0" borderId="69" xfId="7" applyNumberFormat="1" applyFont="1" applyFill="1" applyBorder="1" applyAlignment="1" applyProtection="1">
      <alignment horizontal="center"/>
      <protection locked="0"/>
    </xf>
    <xf numFmtId="180" fontId="0" fillId="0" borderId="22" xfId="0" applyNumberFormat="1" applyFill="1" applyBorder="1" applyProtection="1">
      <protection locked="0"/>
    </xf>
    <xf numFmtId="174" fontId="0" fillId="0" borderId="22" xfId="7" applyNumberFormat="1" applyFont="1" applyFill="1" applyBorder="1" applyAlignment="1" applyProtection="1">
      <alignment horizontal="center"/>
      <protection locked="0"/>
    </xf>
    <xf numFmtId="180" fontId="0" fillId="0" borderId="0" xfId="13" applyNumberFormat="1" applyFont="1" applyFill="1" applyBorder="1" applyProtection="1">
      <protection locked="0"/>
    </xf>
    <xf numFmtId="0" fontId="0" fillId="0" borderId="0" xfId="13" applyFont="1" applyFill="1" applyBorder="1" applyProtection="1">
      <protection locked="0"/>
    </xf>
    <xf numFmtId="9" fontId="0" fillId="0" borderId="0" xfId="13" applyNumberFormat="1" applyFont="1" applyFill="1" applyBorder="1" applyProtection="1">
      <protection locked="0"/>
    </xf>
    <xf numFmtId="0" fontId="9" fillId="0" borderId="0" xfId="0" applyFont="1" applyFill="1" applyBorder="1" applyProtection="1">
      <protection locked="0"/>
    </xf>
    <xf numFmtId="9" fontId="0" fillId="0" borderId="0" xfId="7" applyFont="1" applyFill="1" applyProtection="1">
      <protection locked="0"/>
    </xf>
    <xf numFmtId="9" fontId="0" fillId="0" borderId="22" xfId="7" applyFont="1" applyFill="1" applyBorder="1" applyProtection="1">
      <protection locked="0"/>
    </xf>
    <xf numFmtId="174" fontId="0" fillId="0" borderId="0" xfId="7" applyNumberFormat="1" applyFont="1" applyFill="1" applyProtection="1">
      <protection locked="0"/>
    </xf>
    <xf numFmtId="9" fontId="0" fillId="0" borderId="19" xfId="7" applyFont="1" applyFill="1" applyBorder="1" applyProtection="1">
      <protection locked="0"/>
    </xf>
    <xf numFmtId="180" fontId="0" fillId="0" borderId="19" xfId="0" applyNumberFormat="1" applyFill="1" applyBorder="1" applyProtection="1">
      <protection locked="0"/>
    </xf>
    <xf numFmtId="174" fontId="0" fillId="0" borderId="19" xfId="7" applyNumberFormat="1" applyFont="1" applyFill="1" applyBorder="1" applyAlignment="1" applyProtection="1">
      <alignment horizontal="center"/>
      <protection locked="0"/>
    </xf>
    <xf numFmtId="9" fontId="0" fillId="0" borderId="19" xfId="7" applyNumberFormat="1" applyFont="1" applyFill="1" applyBorder="1" applyProtection="1">
      <protection locked="0"/>
    </xf>
    <xf numFmtId="9" fontId="0" fillId="0" borderId="0" xfId="7" applyFont="1" applyFill="1" applyBorder="1" applyProtection="1">
      <protection locked="0"/>
    </xf>
    <xf numFmtId="180" fontId="0" fillId="0" borderId="0" xfId="0" applyNumberFormat="1" applyFill="1" applyBorder="1" applyProtection="1">
      <protection locked="0"/>
    </xf>
    <xf numFmtId="168" fontId="0" fillId="0" borderId="0" xfId="0" applyNumberFormat="1" applyFill="1" applyBorder="1" applyProtection="1">
      <protection locked="0"/>
    </xf>
    <xf numFmtId="169" fontId="0" fillId="0" borderId="0" xfId="1" applyNumberFormat="1" applyFont="1" applyFill="1" applyProtection="1">
      <protection locked="0"/>
    </xf>
    <xf numFmtId="174" fontId="0" fillId="0" borderId="0" xfId="7" applyNumberFormat="1" applyFont="1" applyFill="1" applyBorder="1" applyProtection="1">
      <protection locked="0"/>
    </xf>
    <xf numFmtId="174" fontId="0" fillId="0" borderId="88" xfId="7" applyNumberFormat="1" applyFont="1" applyFill="1" applyBorder="1" applyAlignment="1" applyProtection="1">
      <alignment horizontal="center"/>
      <protection locked="0"/>
    </xf>
    <xf numFmtId="174" fontId="0" fillId="0" borderId="89" xfId="7" applyNumberFormat="1" applyFont="1" applyFill="1" applyBorder="1" applyAlignment="1" applyProtection="1">
      <alignment horizontal="center"/>
      <protection locked="0"/>
    </xf>
    <xf numFmtId="174" fontId="0" fillId="0" borderId="22" xfId="0" applyNumberFormat="1" applyFill="1" applyBorder="1" applyProtection="1">
      <protection locked="0"/>
    </xf>
    <xf numFmtId="174" fontId="0" fillId="0" borderId="0" xfId="0" applyNumberFormat="1" applyFill="1" applyBorder="1" applyProtection="1">
      <protection locked="0"/>
    </xf>
    <xf numFmtId="169" fontId="0" fillId="0" borderId="0" xfId="1" applyNumberFormat="1" applyFont="1" applyFill="1" applyBorder="1" applyProtection="1">
      <protection locked="0"/>
    </xf>
    <xf numFmtId="1" fontId="0" fillId="0" borderId="0" xfId="0" applyNumberFormat="1" applyFill="1" applyBorder="1" applyProtection="1">
      <protection locked="0"/>
    </xf>
    <xf numFmtId="180" fontId="0" fillId="0" borderId="0" xfId="1" applyNumberFormat="1" applyFont="1" applyFill="1" applyBorder="1" applyProtection="1">
      <protection locked="0"/>
    </xf>
    <xf numFmtId="9" fontId="9" fillId="0" borderId="0" xfId="7" applyFont="1" applyFill="1" applyAlignment="1" applyProtection="1">
      <alignment horizontal="center"/>
      <protection locked="0"/>
    </xf>
    <xf numFmtId="9" fontId="0" fillId="0" borderId="88" xfId="7" applyFont="1" applyFill="1" applyBorder="1" applyProtection="1">
      <protection locked="0"/>
    </xf>
    <xf numFmtId="1" fontId="0" fillId="0" borderId="88" xfId="0" applyNumberFormat="1" applyFill="1" applyBorder="1" applyProtection="1">
      <protection locked="0"/>
    </xf>
    <xf numFmtId="180" fontId="0" fillId="0" borderId="22" xfId="1" applyNumberFormat="1" applyFont="1" applyFill="1" applyBorder="1" applyProtection="1">
      <protection locked="0"/>
    </xf>
    <xf numFmtId="180" fontId="1" fillId="0" borderId="22" xfId="1" applyNumberFormat="1" applyFont="1" applyFill="1" applyBorder="1" applyProtection="1">
      <protection locked="0"/>
    </xf>
    <xf numFmtId="1" fontId="0" fillId="0" borderId="0" xfId="0" applyNumberFormat="1" applyFill="1" applyAlignment="1" applyProtection="1">
      <protection locked="0"/>
    </xf>
    <xf numFmtId="9" fontId="0" fillId="0" borderId="0" xfId="0" applyNumberFormat="1" applyFill="1" applyAlignment="1" applyProtection="1">
      <protection locked="0"/>
    </xf>
    <xf numFmtId="1" fontId="11" fillId="0" borderId="0" xfId="0" applyNumberFormat="1" applyFont="1" applyFill="1" applyAlignment="1" applyProtection="1">
      <alignment horizontal="center"/>
      <protection locked="0"/>
    </xf>
    <xf numFmtId="1" fontId="0" fillId="0" borderId="0" xfId="0" applyNumberFormat="1" applyFill="1" applyAlignment="1" applyProtection="1">
      <alignment horizontal="center"/>
      <protection locked="0"/>
    </xf>
    <xf numFmtId="1" fontId="11" fillId="0" borderId="0" xfId="0" applyNumberFormat="1" applyFont="1" applyFill="1" applyAlignment="1" applyProtection="1">
      <protection locked="0"/>
    </xf>
    <xf numFmtId="9" fontId="10" fillId="0" borderId="88" xfId="7" applyFont="1" applyFill="1" applyBorder="1" applyAlignment="1" applyProtection="1">
      <alignment horizontal="center"/>
      <protection locked="0"/>
    </xf>
    <xf numFmtId="168" fontId="0" fillId="0" borderId="0" xfId="1" applyFont="1" applyFill="1" applyProtection="1">
      <protection locked="0"/>
    </xf>
    <xf numFmtId="180" fontId="0" fillId="0" borderId="0" xfId="0" applyNumberFormat="1" applyFill="1" applyAlignment="1" applyProtection="1">
      <protection locked="0"/>
    </xf>
    <xf numFmtId="180" fontId="0" fillId="0" borderId="0" xfId="0" applyNumberFormat="1" applyFill="1" applyAlignment="1" applyProtection="1">
      <alignment horizontal="center"/>
      <protection locked="0"/>
    </xf>
    <xf numFmtId="1" fontId="0" fillId="0" borderId="0" xfId="0" quotePrefix="1" applyNumberFormat="1" applyFill="1" applyAlignment="1" applyProtection="1">
      <alignment horizontal="left"/>
      <protection locked="0"/>
    </xf>
    <xf numFmtId="0" fontId="82" fillId="0" borderId="0" xfId="0" applyFont="1" applyFill="1" applyProtection="1">
      <protection locked="0"/>
    </xf>
    <xf numFmtId="173" fontId="0" fillId="0" borderId="0" xfId="0" applyNumberFormat="1" applyFill="1" applyProtection="1">
      <protection locked="0"/>
    </xf>
    <xf numFmtId="0" fontId="0" fillId="0" borderId="0" xfId="0" applyFont="1" applyAlignment="1">
      <alignment horizontal="left"/>
    </xf>
    <xf numFmtId="0" fontId="0" fillId="0" borderId="0" xfId="0"/>
    <xf numFmtId="168" fontId="5" fillId="0" borderId="0" xfId="0" applyNumberFormat="1" applyFont="1" applyFill="1"/>
    <xf numFmtId="0" fontId="0" fillId="0" borderId="0" xfId="0"/>
    <xf numFmtId="1" fontId="62" fillId="20" borderId="0" xfId="25" quotePrefix="1" applyNumberFormat="1" applyFont="1" applyFill="1" applyAlignment="1">
      <alignment horizontal="left" vertical="center"/>
    </xf>
    <xf numFmtId="10" fontId="68" fillId="24" borderId="88" xfId="7" applyNumberFormat="1" applyFont="1" applyFill="1" applyBorder="1" applyAlignment="1" applyProtection="1">
      <alignment horizontal="center"/>
      <protection locked="0"/>
    </xf>
    <xf numFmtId="0" fontId="25" fillId="22" borderId="0" xfId="0" applyFont="1" applyFill="1" applyAlignment="1"/>
    <xf numFmtId="1" fontId="68" fillId="20" borderId="0" xfId="0" applyNumberFormat="1" applyFont="1" applyFill="1" applyAlignment="1">
      <alignment horizontal="left"/>
    </xf>
    <xf numFmtId="10" fontId="10" fillId="22" borderId="0" xfId="7" applyNumberFormat="1" applyFont="1" applyFill="1" applyAlignment="1"/>
    <xf numFmtId="9" fontId="10" fillId="22" borderId="0" xfId="7" applyNumberFormat="1" applyFont="1" applyFill="1" applyAlignment="1"/>
    <xf numFmtId="9" fontId="9" fillId="0" borderId="61" xfId="7" applyFont="1" applyFill="1" applyBorder="1" applyAlignment="1" applyProtection="1">
      <alignment horizontal="center"/>
      <protection locked="0"/>
    </xf>
    <xf numFmtId="0" fontId="9" fillId="0" borderId="90" xfId="16" applyFont="1" applyFill="1" applyBorder="1" applyAlignment="1" applyProtection="1">
      <alignment horizontal="center"/>
      <protection locked="0"/>
    </xf>
    <xf numFmtId="0" fontId="0" fillId="0" borderId="0" xfId="0"/>
    <xf numFmtId="1" fontId="94" fillId="22" borderId="0" xfId="0" applyNumberFormat="1" applyFont="1" applyFill="1" applyAlignment="1">
      <alignment horizontal="center"/>
    </xf>
    <xf numFmtId="1" fontId="65" fillId="19" borderId="0" xfId="0" applyNumberFormat="1" applyFont="1" applyFill="1" applyAlignment="1">
      <alignment horizontal="center"/>
    </xf>
    <xf numFmtId="1" fontId="66" fillId="20" borderId="0" xfId="0" quotePrefix="1" applyNumberFormat="1" applyFont="1" applyFill="1" applyAlignment="1">
      <alignment horizontal="center"/>
    </xf>
    <xf numFmtId="1" fontId="58" fillId="20" borderId="0" xfId="0" applyNumberFormat="1" applyFont="1" applyFill="1" applyAlignment="1">
      <alignment horizontal="center"/>
    </xf>
    <xf numFmtId="1" fontId="61" fillId="20" borderId="0" xfId="0" applyNumberFormat="1" applyFont="1" applyFill="1" applyAlignment="1"/>
    <xf numFmtId="1" fontId="62" fillId="22" borderId="0" xfId="0" applyNumberFormat="1" applyFont="1" applyFill="1" applyAlignment="1">
      <alignment horizontal="center"/>
    </xf>
    <xf numFmtId="1" fontId="63" fillId="22" borderId="0" xfId="23" applyNumberFormat="1" applyFont="1" applyFill="1" applyAlignment="1">
      <alignment horizontal="center"/>
    </xf>
    <xf numFmtId="1" fontId="79" fillId="22" borderId="0" xfId="23" applyNumberFormat="1" applyFont="1" applyFill="1" applyAlignment="1"/>
    <xf numFmtId="1" fontId="79" fillId="22" borderId="0" xfId="23" applyNumberFormat="1" applyFont="1" applyFill="1" applyAlignment="1">
      <alignment horizontal="left"/>
    </xf>
    <xf numFmtId="1" fontId="88" fillId="22" borderId="0" xfId="17" applyNumberFormat="1" applyFont="1" applyFill="1" applyAlignment="1" applyProtection="1">
      <alignment horizontal="left"/>
    </xf>
    <xf numFmtId="1" fontId="81" fillId="22" borderId="0" xfId="23" applyNumberFormat="1" applyFont="1" applyFill="1" applyAlignment="1"/>
    <xf numFmtId="1" fontId="88" fillId="22" borderId="0" xfId="17" applyNumberFormat="1" applyFont="1" applyFill="1" applyAlignment="1" applyProtection="1"/>
    <xf numFmtId="0" fontId="1" fillId="22" borderId="0" xfId="0" applyFont="1" applyFill="1"/>
    <xf numFmtId="1" fontId="62" fillId="22" borderId="0" xfId="23" applyNumberFormat="1" applyFont="1" applyFill="1" applyAlignment="1">
      <alignment horizontal="center"/>
    </xf>
    <xf numFmtId="1" fontId="10" fillId="22" borderId="0" xfId="23" applyNumberFormat="1" applyFill="1" applyAlignment="1"/>
    <xf numFmtId="1" fontId="80" fillId="22" borderId="0" xfId="17" applyNumberFormat="1" applyFont="1" applyFill="1" applyAlignment="1" applyProtection="1"/>
    <xf numFmtId="0" fontId="0" fillId="0" borderId="0" xfId="0"/>
    <xf numFmtId="1" fontId="10" fillId="0" borderId="0" xfId="19" applyNumberFormat="1" applyAlignment="1"/>
    <xf numFmtId="170" fontId="56" fillId="0" borderId="0" xfId="0" applyNumberFormat="1" applyFont="1" applyAlignment="1"/>
    <xf numFmtId="0" fontId="0" fillId="0" borderId="0" xfId="0"/>
    <xf numFmtId="0" fontId="97" fillId="0" borderId="91" xfId="13" applyFont="1" applyFill="1" applyBorder="1" applyAlignment="1">
      <alignment horizontal="left"/>
    </xf>
    <xf numFmtId="1" fontId="97" fillId="0" borderId="0" xfId="0" applyNumberFormat="1" applyFont="1" applyFill="1"/>
    <xf numFmtId="1" fontId="0" fillId="0" borderId="0" xfId="7" applyNumberFormat="1" applyFont="1" applyFill="1"/>
    <xf numFmtId="0" fontId="0" fillId="0" borderId="0" xfId="0"/>
    <xf numFmtId="0" fontId="0" fillId="0" borderId="0" xfId="0"/>
    <xf numFmtId="183" fontId="10" fillId="0" borderId="0" xfId="0" applyNumberFormat="1" applyFont="1" applyAlignment="1">
      <alignment horizontal="center"/>
    </xf>
    <xf numFmtId="1" fontId="11" fillId="20" borderId="0" xfId="0" applyNumberFormat="1" applyFont="1" applyFill="1" applyAlignment="1">
      <alignment horizontal="center" wrapText="1"/>
    </xf>
    <xf numFmtId="1" fontId="11" fillId="0" borderId="0" xfId="0" applyNumberFormat="1" applyFont="1" applyFill="1" applyAlignment="1">
      <alignment horizontal="center" wrapText="1"/>
    </xf>
    <xf numFmtId="1" fontId="10" fillId="24" borderId="0" xfId="22" applyNumberFormat="1" applyFill="1" applyAlignment="1"/>
    <xf numFmtId="1" fontId="60" fillId="24" borderId="0" xfId="22" applyNumberFormat="1" applyFont="1" applyFill="1" applyAlignment="1"/>
    <xf numFmtId="175" fontId="47" fillId="24" borderId="0" xfId="0" applyNumberFormat="1" applyFont="1" applyFill="1" applyAlignment="1"/>
    <xf numFmtId="1" fontId="47" fillId="24" borderId="0" xfId="22" applyNumberFormat="1" applyFont="1" applyFill="1" applyAlignment="1"/>
    <xf numFmtId="1" fontId="10" fillId="24" borderId="0" xfId="22" applyNumberFormat="1" applyFill="1" applyBorder="1" applyAlignment="1"/>
    <xf numFmtId="1" fontId="47" fillId="24" borderId="0" xfId="17" applyNumberFormat="1" applyFont="1" applyFill="1" applyAlignment="1" applyProtection="1"/>
    <xf numFmtId="1" fontId="47" fillId="24" borderId="0" xfId="0" applyNumberFormat="1" applyFont="1" applyFill="1" applyAlignment="1"/>
    <xf numFmtId="1" fontId="47" fillId="24" borderId="0" xfId="22" applyNumberFormat="1" applyFont="1" applyFill="1" applyAlignment="1">
      <alignment horizontal="left" indent="4"/>
    </xf>
    <xf numFmtId="1" fontId="64" fillId="0" borderId="0" xfId="24" applyNumberFormat="1" applyFont="1" applyFill="1" applyAlignment="1"/>
    <xf numFmtId="1" fontId="65" fillId="0" borderId="0" xfId="24" applyNumberFormat="1" applyFont="1" applyFill="1" applyAlignment="1"/>
    <xf numFmtId="1" fontId="66" fillId="0" borderId="0" xfId="24" quotePrefix="1" applyNumberFormat="1" applyFont="1" applyFill="1" applyAlignment="1">
      <alignment horizontal="left"/>
    </xf>
    <xf numFmtId="170" fontId="98" fillId="0" borderId="0" xfId="0" applyNumberFormat="1" applyFont="1" applyAlignment="1"/>
    <xf numFmtId="170" fontId="53" fillId="18" borderId="0" xfId="0" applyNumberFormat="1" applyFont="1" applyFill="1" applyAlignment="1">
      <alignment horizontal="center"/>
    </xf>
    <xf numFmtId="170" fontId="56" fillId="0" borderId="0" xfId="19" applyNumberFormat="1" applyFont="1" applyAlignment="1">
      <alignment horizontal="left" vertical="top" wrapText="1"/>
    </xf>
    <xf numFmtId="170" fontId="50" fillId="18" borderId="0" xfId="0" applyNumberFormat="1" applyFont="1" applyFill="1" applyAlignment="1">
      <alignment horizontal="left" wrapText="1"/>
    </xf>
    <xf numFmtId="170" fontId="50" fillId="0" borderId="0" xfId="0" applyNumberFormat="1" applyFont="1" applyFill="1" applyAlignment="1">
      <alignment horizontal="left" wrapText="1"/>
    </xf>
    <xf numFmtId="170" fontId="54" fillId="18" borderId="0" xfId="0" applyNumberFormat="1" applyFont="1" applyFill="1" applyAlignment="1">
      <alignment horizontal="center"/>
    </xf>
    <xf numFmtId="170" fontId="19" fillId="18" borderId="0" xfId="0" applyNumberFormat="1" applyFont="1" applyFill="1" applyAlignment="1">
      <alignment horizontal="left" wrapText="1"/>
    </xf>
    <xf numFmtId="170" fontId="11" fillId="0" borderId="0" xfId="19" quotePrefix="1" applyNumberFormat="1" applyFont="1" applyAlignment="1">
      <alignment horizontal="left"/>
    </xf>
    <xf numFmtId="170" fontId="52" fillId="0" borderId="0" xfId="19" quotePrefix="1" applyNumberFormat="1" applyFont="1" applyAlignment="1">
      <alignment horizontal="left"/>
    </xf>
    <xf numFmtId="170" fontId="50" fillId="0" borderId="0" xfId="0" applyNumberFormat="1" applyFont="1" applyAlignment="1">
      <alignment horizontal="left" wrapText="1"/>
    </xf>
    <xf numFmtId="170" fontId="52" fillId="0" borderId="0" xfId="19" quotePrefix="1" applyNumberFormat="1" applyFont="1" applyAlignment="1">
      <alignment horizontal="center" vertical="top" wrapText="1"/>
    </xf>
    <xf numFmtId="170" fontId="56" fillId="0" borderId="0" xfId="19" applyNumberFormat="1" applyFont="1" applyAlignment="1">
      <alignment horizontal="center" vertical="top" wrapText="1"/>
    </xf>
    <xf numFmtId="170" fontId="52" fillId="0" borderId="0" xfId="19" quotePrefix="1" applyNumberFormat="1" applyFont="1" applyAlignment="1">
      <alignment horizontal="left" vertical="top" wrapText="1"/>
    </xf>
    <xf numFmtId="170" fontId="11" fillId="0" borderId="0" xfId="19" quotePrefix="1" applyNumberFormat="1" applyFont="1" applyAlignment="1"/>
    <xf numFmtId="170" fontId="95" fillId="0" borderId="0" xfId="0" applyNumberFormat="1" applyFont="1" applyAlignment="1">
      <alignment horizontal="left"/>
    </xf>
    <xf numFmtId="170" fontId="95" fillId="0" borderId="0" xfId="0" applyNumberFormat="1" applyFont="1" applyAlignment="1"/>
    <xf numFmtId="170" fontId="10" fillId="0" borderId="0" xfId="19" applyNumberFormat="1" applyFont="1">
      <alignment horizontal="left" wrapText="1"/>
    </xf>
    <xf numFmtId="170" fontId="11" fillId="0" borderId="0" xfId="19" applyNumberFormat="1" applyFont="1" applyAlignment="1"/>
    <xf numFmtId="170" fontId="11" fillId="0" borderId="0" xfId="19" applyNumberFormat="1" applyFont="1" applyAlignment="1">
      <alignment horizontal="center"/>
    </xf>
    <xf numFmtId="175" fontId="50" fillId="11" borderId="0" xfId="0" applyNumberFormat="1" applyFont="1" applyFill="1" applyAlignment="1">
      <alignment horizontal="left" wrapText="1"/>
    </xf>
    <xf numFmtId="170" fontId="53" fillId="11" borderId="0" xfId="0" applyNumberFormat="1" applyFont="1" applyFill="1" applyAlignment="1">
      <alignment horizontal="center"/>
    </xf>
    <xf numFmtId="170" fontId="50" fillId="11" borderId="0" xfId="0" applyNumberFormat="1" applyFont="1" applyFill="1" applyAlignment="1">
      <alignment horizontal="left" wrapText="1"/>
    </xf>
    <xf numFmtId="170" fontId="54" fillId="11" borderId="0" xfId="0" applyNumberFormat="1" applyFont="1" applyFill="1" applyAlignment="1">
      <alignment horizontal="center"/>
    </xf>
    <xf numFmtId="170" fontId="19" fillId="11" borderId="0" xfId="0" applyNumberFormat="1" applyFont="1" applyFill="1" applyAlignment="1">
      <alignment horizontal="left" wrapText="1"/>
    </xf>
    <xf numFmtId="0" fontId="69" fillId="22" borderId="0" xfId="0" applyFont="1" applyFill="1" applyAlignment="1">
      <alignment horizontal="left" vertical="top" wrapText="1"/>
    </xf>
    <xf numFmtId="0" fontId="0" fillId="0" borderId="0" xfId="0" applyAlignment="1">
      <alignment wrapText="1"/>
    </xf>
    <xf numFmtId="0" fontId="0" fillId="12" borderId="11" xfId="13" applyFont="1" applyBorder="1" applyAlignment="1">
      <alignment horizontal="center"/>
    </xf>
    <xf numFmtId="0" fontId="0" fillId="12" borderId="23" xfId="13" applyFont="1" applyBorder="1" applyAlignment="1">
      <alignment horizontal="center"/>
    </xf>
    <xf numFmtId="0" fontId="9" fillId="0" borderId="24" xfId="0" applyFont="1" applyBorder="1" applyAlignment="1">
      <alignment horizontal="center"/>
    </xf>
    <xf numFmtId="0" fontId="9" fillId="0" borderId="5" xfId="0" applyFont="1" applyBorder="1" applyAlignment="1">
      <alignment horizontal="center"/>
    </xf>
    <xf numFmtId="0" fontId="21" fillId="0" borderId="14" xfId="0" applyFont="1" applyFill="1" applyBorder="1" applyAlignment="1">
      <alignment horizontal="center"/>
    </xf>
    <xf numFmtId="0" fontId="0" fillId="0" borderId="14" xfId="0" applyBorder="1" applyAlignment="1">
      <alignment horizontal="center"/>
    </xf>
    <xf numFmtId="0" fontId="0" fillId="0" borderId="0" xfId="0"/>
    <xf numFmtId="0" fontId="0" fillId="0" borderId="0" xfId="0" applyAlignment="1">
      <alignment horizontal="left" wrapText="1"/>
    </xf>
    <xf numFmtId="0" fontId="0" fillId="0" borderId="0" xfId="0" applyAlignment="1">
      <alignment horizontal="left" vertical="top" wrapText="1"/>
    </xf>
    <xf numFmtId="0" fontId="0" fillId="12" borderId="82" xfId="13" applyFont="1" applyBorder="1" applyAlignment="1">
      <alignment horizontal="center"/>
    </xf>
    <xf numFmtId="0" fontId="0" fillId="12" borderId="83" xfId="13" applyFont="1" applyBorder="1" applyAlignment="1">
      <alignment horizontal="center"/>
    </xf>
    <xf numFmtId="0" fontId="0" fillId="12" borderId="84" xfId="13" applyFont="1" applyBorder="1" applyAlignment="1">
      <alignment horizontal="center"/>
    </xf>
    <xf numFmtId="0" fontId="0" fillId="0" borderId="11" xfId="0" applyBorder="1" applyAlignment="1">
      <alignment horizontal="center" vertical="center"/>
    </xf>
    <xf numFmtId="0" fontId="0" fillId="0" borderId="25" xfId="0" applyBorder="1" applyAlignment="1">
      <alignment horizontal="center" vertical="center"/>
    </xf>
    <xf numFmtId="0" fontId="0" fillId="11" borderId="18" xfId="0" applyFill="1" applyBorder="1" applyAlignment="1">
      <alignment horizontal="center"/>
    </xf>
    <xf numFmtId="0" fontId="0" fillId="11" borderId="19" xfId="0" applyFill="1" applyBorder="1" applyAlignment="1">
      <alignment horizontal="center"/>
    </xf>
    <xf numFmtId="0" fontId="0" fillId="11" borderId="20" xfId="0" applyFill="1" applyBorder="1" applyAlignment="1">
      <alignment horizontal="center"/>
    </xf>
    <xf numFmtId="0" fontId="0" fillId="25" borderId="72" xfId="0" applyFill="1" applyBorder="1" applyAlignment="1">
      <alignment horizontal="center"/>
    </xf>
    <xf numFmtId="0" fontId="0" fillId="25" borderId="73" xfId="0" applyFill="1" applyBorder="1" applyAlignment="1">
      <alignment horizontal="center"/>
    </xf>
    <xf numFmtId="0" fontId="0" fillId="25" borderId="74" xfId="0" applyFill="1" applyBorder="1" applyAlignment="1">
      <alignment horizontal="center"/>
    </xf>
    <xf numFmtId="0" fontId="0" fillId="0" borderId="0" xfId="0" applyAlignment="1">
      <alignment horizontal="center"/>
    </xf>
    <xf numFmtId="0" fontId="0" fillId="0" borderId="72" xfId="0" applyBorder="1" applyAlignment="1">
      <alignment horizontal="center"/>
    </xf>
    <xf numFmtId="0" fontId="0" fillId="0" borderId="73" xfId="0" applyBorder="1" applyAlignment="1">
      <alignment horizontal="center"/>
    </xf>
    <xf numFmtId="0" fontId="0" fillId="0" borderId="74" xfId="0" applyBorder="1" applyAlignment="1">
      <alignment horizontal="center"/>
    </xf>
    <xf numFmtId="0" fontId="0" fillId="12" borderId="76" xfId="13" applyFont="1" applyBorder="1" applyAlignment="1">
      <alignment horizontal="center" vertical="center" wrapText="1"/>
    </xf>
    <xf numFmtId="0" fontId="0" fillId="12" borderId="67" xfId="13" applyFont="1" applyBorder="1" applyAlignment="1">
      <alignment horizontal="center" vertical="center" wrapText="1"/>
    </xf>
    <xf numFmtId="0" fontId="0" fillId="12" borderId="80" xfId="13" applyFont="1" applyBorder="1" applyAlignment="1">
      <alignment horizontal="center" vertical="center" wrapText="1"/>
    </xf>
    <xf numFmtId="0" fontId="0" fillId="0" borderId="72" xfId="0" applyFill="1" applyBorder="1" applyAlignment="1">
      <alignment horizontal="center" wrapText="1"/>
    </xf>
    <xf numFmtId="0" fontId="0" fillId="0" borderId="73" xfId="0" applyFill="1" applyBorder="1" applyAlignment="1">
      <alignment horizontal="center" wrapText="1"/>
    </xf>
    <xf numFmtId="0" fontId="0" fillId="0" borderId="74" xfId="0" applyFill="1" applyBorder="1" applyAlignment="1">
      <alignment horizontal="center" wrapText="1"/>
    </xf>
    <xf numFmtId="0" fontId="0" fillId="0" borderId="72" xfId="0" applyFill="1" applyBorder="1" applyAlignment="1">
      <alignment horizontal="center"/>
    </xf>
    <xf numFmtId="0" fontId="0" fillId="0" borderId="73" xfId="0" applyFill="1" applyBorder="1" applyAlignment="1">
      <alignment horizontal="center"/>
    </xf>
    <xf numFmtId="0" fontId="0" fillId="0" borderId="74" xfId="0" applyFill="1"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170" fontId="56" fillId="0" borderId="0" xfId="19" quotePrefix="1" applyNumberFormat="1" applyFont="1" applyAlignment="1">
      <alignment horizontal="left" vertical="top" wrapText="1"/>
    </xf>
    <xf numFmtId="170" fontId="10" fillId="0" borderId="0" xfId="19" applyNumberFormat="1" applyAlignment="1"/>
    <xf numFmtId="0" fontId="3" fillId="3" borderId="52" xfId="3" applyBorder="1" applyAlignment="1">
      <alignment horizontal="center"/>
    </xf>
    <xf numFmtId="0" fontId="3" fillId="3" borderId="53" xfId="3" applyBorder="1" applyAlignment="1">
      <alignment horizontal="center"/>
    </xf>
    <xf numFmtId="0" fontId="3" fillId="3" borderId="54" xfId="3" applyBorder="1" applyAlignment="1">
      <alignment horizontal="center"/>
    </xf>
    <xf numFmtId="0" fontId="0" fillId="0" borderId="0" xfId="0" applyBorder="1" applyAlignment="1">
      <alignment horizontal="center"/>
    </xf>
    <xf numFmtId="0" fontId="0" fillId="6" borderId="24" xfId="5" applyFont="1" applyBorder="1" applyAlignment="1">
      <alignment horizontal="center" vertical="center" wrapText="1"/>
    </xf>
    <xf numFmtId="0" fontId="1" fillId="6" borderId="56" xfId="5" applyBorder="1" applyAlignment="1">
      <alignment horizontal="center" vertical="center" wrapText="1"/>
    </xf>
    <xf numFmtId="0" fontId="1" fillId="6" borderId="24" xfId="5" applyBorder="1" applyAlignment="1">
      <alignment horizontal="center" vertical="center" wrapText="1"/>
    </xf>
    <xf numFmtId="0" fontId="1" fillId="6" borderId="59" xfId="5" applyBorder="1" applyAlignment="1">
      <alignment horizontal="center" vertical="center" wrapText="1"/>
    </xf>
    <xf numFmtId="0" fontId="0" fillId="0" borderId="8" xfId="0" applyBorder="1" applyAlignment="1">
      <alignment horizontal="center"/>
    </xf>
    <xf numFmtId="0" fontId="13" fillId="0" borderId="0" xfId="9" applyFont="1" applyAlignment="1">
      <alignment horizontal="left" vertical="top" wrapText="1"/>
    </xf>
    <xf numFmtId="0" fontId="10" fillId="0" borderId="0" xfId="9"/>
    <xf numFmtId="0" fontId="18" fillId="0" borderId="0" xfId="9" applyFont="1" applyAlignment="1">
      <alignment horizontal="left"/>
    </xf>
    <xf numFmtId="0" fontId="13" fillId="11" borderId="0" xfId="9" applyFont="1" applyFill="1" applyAlignment="1">
      <alignment horizontal="left" vertical="top" wrapText="1"/>
    </xf>
    <xf numFmtId="0" fontId="10" fillId="11" borderId="0" xfId="9" applyFill="1"/>
    <xf numFmtId="0" fontId="13" fillId="0" borderId="0" xfId="9" applyFont="1" applyAlignment="1">
      <alignment horizontal="left"/>
    </xf>
    <xf numFmtId="0" fontId="19" fillId="0" borderId="11" xfId="0" applyFont="1" applyBorder="1" applyAlignment="1">
      <alignment horizontal="center" vertical="center" wrapText="1"/>
    </xf>
    <xf numFmtId="0" fontId="19" fillId="0" borderId="22" xfId="0" applyFont="1" applyBorder="1" applyAlignment="1">
      <alignment horizontal="center" vertical="center" wrapText="1"/>
    </xf>
    <xf numFmtId="0" fontId="10" fillId="0" borderId="22" xfId="0" applyFont="1" applyBorder="1" applyAlignment="1">
      <alignment horizontal="center" vertical="center" wrapText="1"/>
    </xf>
    <xf numFmtId="0" fontId="10" fillId="0" borderId="22" xfId="0" applyFont="1" applyBorder="1" applyAlignment="1">
      <alignment wrapText="1"/>
    </xf>
    <xf numFmtId="0" fontId="0" fillId="0" borderId="23" xfId="0" applyBorder="1" applyAlignment="1">
      <alignment wrapText="1"/>
    </xf>
    <xf numFmtId="0" fontId="19" fillId="0" borderId="24" xfId="0" applyFont="1" applyBorder="1" applyAlignment="1">
      <alignment horizontal="center" vertical="center" wrapText="1"/>
    </xf>
    <xf numFmtId="0" fontId="19" fillId="0" borderId="0"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0" xfId="0" applyFont="1" applyBorder="1" applyAlignment="1">
      <alignment wrapText="1"/>
    </xf>
    <xf numFmtId="0" fontId="0" fillId="0" borderId="5" xfId="0" applyBorder="1" applyAlignment="1">
      <alignment wrapText="1"/>
    </xf>
    <xf numFmtId="0" fontId="19" fillId="0" borderId="25" xfId="0" applyFont="1" applyBorder="1" applyAlignment="1">
      <alignment horizontal="center" vertical="center" wrapText="1"/>
    </xf>
    <xf numFmtId="0" fontId="19" fillId="0" borderId="3" xfId="0" applyFont="1" applyBorder="1" applyAlignment="1">
      <alignment horizontal="center" vertical="center" wrapText="1"/>
    </xf>
    <xf numFmtId="0" fontId="10" fillId="0" borderId="3" xfId="0" applyFont="1" applyBorder="1" applyAlignment="1">
      <alignment horizontal="center" vertical="center" wrapText="1"/>
    </xf>
    <xf numFmtId="0" fontId="10" fillId="0" borderId="3" xfId="0" applyFont="1" applyBorder="1" applyAlignment="1">
      <alignment wrapText="1"/>
    </xf>
    <xf numFmtId="0" fontId="0" fillId="0" borderId="4" xfId="0" applyBorder="1" applyAlignment="1">
      <alignment wrapText="1"/>
    </xf>
    <xf numFmtId="0" fontId="14" fillId="9" borderId="30" xfId="0" applyFont="1" applyFill="1" applyBorder="1" applyAlignment="1">
      <alignment horizontal="center" vertical="center" wrapText="1"/>
    </xf>
    <xf numFmtId="0" fontId="0" fillId="0" borderId="31" xfId="0" applyBorder="1" applyAlignment="1">
      <alignment horizontal="center" vertical="center" wrapText="1"/>
    </xf>
    <xf numFmtId="0" fontId="16" fillId="0" borderId="30" xfId="0" applyFont="1" applyBorder="1" applyAlignment="1">
      <alignment horizontal="center" vertical="center" wrapText="1"/>
    </xf>
    <xf numFmtId="0" fontId="0" fillId="0" borderId="31" xfId="0" applyBorder="1" applyAlignment="1">
      <alignment horizontal="center"/>
    </xf>
    <xf numFmtId="0" fontId="16" fillId="0" borderId="11" xfId="0" applyFont="1" applyBorder="1" applyAlignment="1">
      <alignment horizontal="center" vertical="center" wrapText="1"/>
    </xf>
    <xf numFmtId="0" fontId="0" fillId="0" borderId="25" xfId="0" applyBorder="1" applyAlignment="1">
      <alignment horizontal="center"/>
    </xf>
    <xf numFmtId="0" fontId="16" fillId="0" borderId="30" xfId="0" applyFont="1" applyBorder="1" applyAlignment="1">
      <alignment horizontal="center" vertical="center"/>
    </xf>
    <xf numFmtId="0" fontId="0" fillId="0" borderId="31" xfId="0" applyBorder="1" applyAlignment="1">
      <alignment horizontal="center" vertical="center"/>
    </xf>
    <xf numFmtId="0" fontId="16" fillId="0" borderId="23" xfId="0" applyFont="1" applyBorder="1" applyAlignment="1">
      <alignment horizontal="center" vertical="center"/>
    </xf>
    <xf numFmtId="0" fontId="0" fillId="0" borderId="4" xfId="0" applyBorder="1" applyAlignment="1">
      <alignment horizontal="center" vertical="center"/>
    </xf>
    <xf numFmtId="0" fontId="16" fillId="0" borderId="31" xfId="0" applyFont="1" applyBorder="1" applyAlignment="1">
      <alignment horizontal="center" vertical="center"/>
    </xf>
    <xf numFmtId="0" fontId="11" fillId="0" borderId="0" xfId="0" applyFont="1" applyFill="1" applyAlignment="1">
      <alignment horizontal="center"/>
    </xf>
    <xf numFmtId="1" fontId="13" fillId="0" borderId="0" xfId="0" applyNumberFormat="1" applyFont="1" applyAlignment="1">
      <alignment horizontal="center"/>
    </xf>
    <xf numFmtId="0" fontId="2" fillId="2" borderId="0" xfId="2" applyAlignment="1">
      <alignment horizontal="center" vertical="center" wrapText="1"/>
    </xf>
    <xf numFmtId="0" fontId="3" fillId="3" borderId="0" xfId="3" applyAlignment="1">
      <alignment horizontal="center" vertical="center" wrapText="1"/>
    </xf>
  </cellXfs>
  <cellStyles count="27">
    <cellStyle name="20% - Accent3" xfId="5" builtinId="38"/>
    <cellStyle name="40% - Accent1" xfId="16" builtinId="31"/>
    <cellStyle name="Accent6" xfId="26" builtinId="49"/>
    <cellStyle name="Calculation" xfId="8" builtinId="22"/>
    <cellStyle name="Comma" xfId="1" builtinId="3"/>
    <cellStyle name="Comma 2" xfId="11"/>
    <cellStyle name="Currency" xfId="6" builtinId="4"/>
    <cellStyle name="Currency 2" xfId="10"/>
    <cellStyle name="Good" xfId="2" builtinId="26"/>
    <cellStyle name="Hyperlink" xfId="17" builtinId="8"/>
    <cellStyle name="Input" xfId="4" builtinId="20"/>
    <cellStyle name="Neutral" xfId="3" builtinId="28"/>
    <cellStyle name="Normal" xfId="0" builtinId="0"/>
    <cellStyle name="Normal 2" xfId="9"/>
    <cellStyle name="Normal 3" xfId="14"/>
    <cellStyle name="Normal_About" xfId="23"/>
    <cellStyle name="Normal_Deflators" xfId="21"/>
    <cellStyle name="Normal_JEDI geo input output summary" xfId="25"/>
    <cellStyle name="Normal_Multipliers" xfId="19"/>
    <cellStyle name="Normal_PCE" xfId="20"/>
    <cellStyle name="Normal_Sheet2" xfId="18"/>
    <cellStyle name="Normal_Sheet7" xfId="22"/>
    <cellStyle name="Normal_Start" xfId="24"/>
    <cellStyle name="Note" xfId="13" builtinId="10"/>
    <cellStyle name="Output" xfId="12" builtinId="21"/>
    <cellStyle name="Percent" xfId="7" builtinId="5"/>
    <cellStyle name="Percent 2" xfId="15"/>
  </cellStyles>
  <dxfs count="171">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tint="-0.24994659260841701"/>
      </font>
      <fill>
        <patternFill>
          <bgColor theme="0" tint="-0.24994659260841701"/>
        </patternFill>
      </fill>
    </dxf>
    <dxf>
      <font>
        <color theme="1"/>
      </font>
      <fill>
        <patternFill patternType="lightTrellis">
          <fgColor theme="0" tint="-0.499984740745262"/>
          <bgColor theme="0" tint="-0.499984740745262"/>
        </patternFill>
      </fill>
    </dxf>
    <dxf>
      <font>
        <color theme="0" tint="-0.24994659260841701"/>
      </font>
      <fill>
        <patternFill>
          <bgColor theme="0" tint="-0.24994659260841701"/>
        </patternFill>
      </fill>
      <border>
        <left/>
        <right/>
        <top/>
        <bottom/>
      </border>
    </dxf>
    <dxf>
      <font>
        <color theme="0" tint="-0.499984740745262"/>
      </font>
      <fill>
        <patternFill>
          <bgColor theme="0" tint="-0.499984740745262"/>
        </patternFill>
      </fill>
    </dxf>
    <dxf>
      <font>
        <color theme="0" tint="-0.499984740745262"/>
      </font>
      <fill>
        <patternFill>
          <bgColor theme="0" tint="-0.499984740745262"/>
        </patternFill>
      </fill>
    </dxf>
    <dxf>
      <font>
        <color theme="0" tint="-0.24994659260841701"/>
      </font>
      <fill>
        <patternFill>
          <bgColor theme="0" tint="-0.24994659260841701"/>
        </patternFill>
      </fill>
      <border>
        <left/>
        <right/>
        <top/>
        <bottom/>
      </border>
    </dxf>
    <dxf>
      <font>
        <color theme="0" tint="-0.499984740745262"/>
      </font>
      <fill>
        <patternFill>
          <bgColor theme="0" tint="-0.499984740745262"/>
        </patternFill>
      </fill>
    </dxf>
    <dxf>
      <font>
        <color theme="0" tint="-0.499984740745262"/>
      </font>
      <fill>
        <patternFill>
          <bgColor theme="0" tint="-0.499984740745262"/>
        </patternFill>
      </fill>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dxf>
    <dxf>
      <font>
        <color theme="0" tint="-0.499984740745262"/>
      </font>
      <fill>
        <patternFill>
          <bgColor theme="0" tint="-0.499984740745262"/>
        </patternFill>
      </fill>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dxf>
    <dxf>
      <font>
        <color theme="0" tint="-0.24994659260841701"/>
      </font>
      <fill>
        <patternFill>
          <bgColor theme="0" tint="-0.24994659260841701"/>
        </patternFill>
      </fill>
      <border>
        <left/>
        <right/>
        <top/>
        <bottom/>
      </border>
    </dxf>
    <dxf>
      <font>
        <color theme="0" tint="-0.499984740745262"/>
      </font>
      <fill>
        <patternFill>
          <bgColor theme="0" tint="-0.499984740745262"/>
        </patternFill>
      </fill>
    </dxf>
    <dxf>
      <font>
        <color theme="0" tint="-0.24994659260841701"/>
      </font>
      <fill>
        <patternFill>
          <bgColor theme="0" tint="-0.24994659260841701"/>
        </patternFill>
      </fill>
      <border>
        <left/>
        <right/>
        <top/>
        <bottom/>
      </border>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24994659260841701"/>
      </font>
      <fill>
        <patternFill>
          <bgColor theme="0" tint="-0.24994659260841701"/>
        </patternFill>
      </fill>
      <border>
        <left/>
        <right/>
        <top/>
        <bottom/>
      </border>
    </dxf>
    <dxf>
      <font>
        <color theme="0" tint="-0.499984740745262"/>
      </font>
      <fill>
        <patternFill>
          <bgColor theme="0" tint="-0.499984740745262"/>
        </patternFill>
      </fill>
    </dxf>
    <dxf>
      <font>
        <color theme="0" tint="-0.24994659260841701"/>
      </font>
      <fill>
        <patternFill>
          <bgColor theme="0" tint="-0.24994659260841701"/>
        </patternFill>
      </fill>
      <border>
        <left/>
        <right/>
        <top/>
        <bottom/>
      </border>
    </dxf>
    <dxf>
      <font>
        <color theme="0" tint="-0.499984740745262"/>
      </font>
      <fill>
        <patternFill>
          <bgColor theme="0" tint="-0.499984740745262"/>
        </patternFill>
      </fill>
    </dxf>
    <dxf>
      <font>
        <color theme="0" tint="-0.499984740745262"/>
      </font>
      <fill>
        <patternFill>
          <bgColor theme="0" tint="-0.499984740745262"/>
        </patternFill>
      </fill>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24994659260841701"/>
      </font>
      <fill>
        <patternFill>
          <bgColor theme="0" tint="-0.24994659260841701"/>
        </patternFill>
      </fill>
      <border>
        <left/>
        <right/>
        <top/>
        <bottom/>
      </border>
    </dxf>
    <dxf>
      <font>
        <color rgb="FF00FFFF"/>
      </font>
      <fill>
        <patternFill>
          <bgColor rgb="FF00FFFF"/>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border>
        <left/>
        <right/>
        <top/>
        <bottom/>
      </border>
    </dxf>
    <dxf>
      <font>
        <color theme="0" tint="-0.24994659260841701"/>
      </font>
      <fill>
        <patternFill>
          <fgColor theme="0" tint="-0.499984740745262"/>
          <bgColor theme="0" tint="-0.24994659260841701"/>
        </patternFill>
      </fill>
      <border>
        <left/>
        <right/>
        <top/>
        <bottom/>
      </border>
    </dxf>
    <dxf>
      <font>
        <color theme="0" tint="-0.24994659260841701"/>
      </font>
      <fill>
        <patternFill>
          <bgColor theme="0" tint="-0.24994659260841701"/>
        </patternFill>
      </fill>
    </dxf>
    <dxf>
      <font>
        <color theme="0" tint="-0.24994659260841701"/>
      </font>
      <fill>
        <patternFill patternType="lightTrellis">
          <fgColor theme="0" tint="-0.24994659260841701"/>
          <bgColor theme="0" tint="-0.24994659260841701"/>
        </patternFill>
      </fill>
    </dxf>
    <dxf>
      <font>
        <color theme="0" tint="-0.24994659260841701"/>
      </font>
      <fill>
        <patternFill patternType="solid">
          <bgColor theme="0" tint="-0.24994659260841701"/>
        </patternFill>
      </fill>
    </dxf>
    <dxf>
      <font>
        <color theme="0" tint="-0.24994659260841701"/>
      </font>
      <fill>
        <patternFill>
          <fgColor theme="0" tint="-0.14996795556505021"/>
          <bgColor theme="0" tint="-0.24994659260841701"/>
        </patternFill>
      </fill>
      <border>
        <left/>
        <right/>
        <top/>
        <bottom/>
      </border>
    </dxf>
  </dxfs>
  <tableStyles count="0" defaultTableStyle="TableStyleMedium9" defaultPivotStyle="PivotStyleLight16"/>
  <colors>
    <mruColors>
      <color rgb="FF00FFFF"/>
      <color rgb="FFFF66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microsoft.com/office/2006/relationships/vbaProject" Target="vbaProject.bin"/><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Air Cooled binary plant cost (50MW) </a:t>
            </a:r>
          </a:p>
        </c:rich>
      </c:tx>
      <c:layout>
        <c:manualLayout>
          <c:xMode val="edge"/>
          <c:yMode val="edge"/>
          <c:x val="0.15361320077473894"/>
          <c:y val="2.675584344811972E-2"/>
        </c:manualLayout>
      </c:layout>
      <c:overlay val="0"/>
    </c:title>
    <c:autoTitleDeleted val="0"/>
    <c:plotArea>
      <c:layout/>
      <c:scatterChart>
        <c:scatterStyle val="smoothMarker"/>
        <c:varyColors val="0"/>
        <c:ser>
          <c:idx val="0"/>
          <c:order val="0"/>
          <c:tx>
            <c:v>2004 Cost  $/kW</c:v>
          </c:tx>
          <c:marker>
            <c:symbol val="none"/>
          </c:marker>
          <c:xVal>
            <c:numLit>
              <c:formatCode>General</c:formatCode>
              <c:ptCount val="17"/>
              <c:pt idx="0">
                <c:v>100</c:v>
              </c:pt>
              <c:pt idx="1">
                <c:v>120</c:v>
              </c:pt>
              <c:pt idx="2">
                <c:v>140</c:v>
              </c:pt>
              <c:pt idx="3">
                <c:v>160</c:v>
              </c:pt>
              <c:pt idx="4">
                <c:v>180</c:v>
              </c:pt>
              <c:pt idx="5">
                <c:v>190</c:v>
              </c:pt>
              <c:pt idx="6">
                <c:v>200</c:v>
              </c:pt>
              <c:pt idx="7">
                <c:v>220</c:v>
              </c:pt>
              <c:pt idx="8">
                <c:v>240</c:v>
              </c:pt>
              <c:pt idx="9">
                <c:v>260</c:v>
              </c:pt>
              <c:pt idx="10">
                <c:v>280</c:v>
              </c:pt>
              <c:pt idx="11">
                <c:v>300</c:v>
              </c:pt>
              <c:pt idx="12">
                <c:v>320</c:v>
              </c:pt>
              <c:pt idx="13">
                <c:v>340</c:v>
              </c:pt>
              <c:pt idx="14">
                <c:v>360</c:v>
              </c:pt>
              <c:pt idx="15">
                <c:v>380</c:v>
              </c:pt>
              <c:pt idx="16">
                <c:v>400</c:v>
              </c:pt>
            </c:numLit>
          </c:xVal>
          <c:yVal>
            <c:numLit>
              <c:formatCode>General</c:formatCode>
              <c:ptCount val="17"/>
              <c:pt idx="0">
                <c:v>3444.4079999999967</c:v>
              </c:pt>
              <c:pt idx="1">
                <c:v>2437.5183040000043</c:v>
              </c:pt>
              <c:pt idx="2">
                <c:v>1909.083392000002</c:v>
              </c:pt>
              <c:pt idx="3">
                <c:v>1691.5289280000013</c:v>
              </c:pt>
              <c:pt idx="4">
                <c:v>1617.280576000001</c:v>
              </c:pt>
              <c:pt idx="5">
                <c:v>1581.5292120000011</c:v>
              </c:pt>
              <c:pt idx="6">
                <c:v>1550.7292120000011</c:v>
              </c:pt>
              <c:pt idx="7">
                <c:v>1489.129212000001</c:v>
              </c:pt>
              <c:pt idx="8">
                <c:v>1427.5292120000011</c:v>
              </c:pt>
              <c:pt idx="9">
                <c:v>1365.9292120000014</c:v>
              </c:pt>
              <c:pt idx="10">
                <c:v>1304.329212000001</c:v>
              </c:pt>
              <c:pt idx="11">
                <c:v>1242.7292120000011</c:v>
              </c:pt>
              <c:pt idx="12">
                <c:v>1181.129212000001</c:v>
              </c:pt>
              <c:pt idx="13">
                <c:v>1119.5292120000011</c:v>
              </c:pt>
              <c:pt idx="14">
                <c:v>1057.9292120000014</c:v>
              </c:pt>
              <c:pt idx="15">
                <c:v>996.32921200000112</c:v>
              </c:pt>
              <c:pt idx="16">
                <c:v>934.72921200000121</c:v>
              </c:pt>
            </c:numLit>
          </c:yVal>
          <c:smooth val="1"/>
        </c:ser>
        <c:ser>
          <c:idx val="1"/>
          <c:order val="1"/>
          <c:tx>
            <c:v>2010  Cost $/kW</c:v>
          </c:tx>
          <c:marker>
            <c:symbol val="none"/>
          </c:marker>
          <c:xVal>
            <c:numLit>
              <c:formatCode>General</c:formatCode>
              <c:ptCount val="17"/>
              <c:pt idx="0">
                <c:v>100</c:v>
              </c:pt>
              <c:pt idx="1">
                <c:v>120</c:v>
              </c:pt>
              <c:pt idx="2">
                <c:v>140</c:v>
              </c:pt>
              <c:pt idx="3">
                <c:v>160</c:v>
              </c:pt>
              <c:pt idx="4">
                <c:v>180</c:v>
              </c:pt>
              <c:pt idx="5">
                <c:v>190</c:v>
              </c:pt>
              <c:pt idx="6">
                <c:v>200</c:v>
              </c:pt>
              <c:pt idx="7">
                <c:v>220</c:v>
              </c:pt>
              <c:pt idx="8">
                <c:v>240</c:v>
              </c:pt>
              <c:pt idx="9">
                <c:v>260</c:v>
              </c:pt>
              <c:pt idx="10">
                <c:v>280</c:v>
              </c:pt>
              <c:pt idx="11">
                <c:v>300</c:v>
              </c:pt>
              <c:pt idx="12">
                <c:v>320</c:v>
              </c:pt>
              <c:pt idx="13">
                <c:v>340</c:v>
              </c:pt>
              <c:pt idx="14">
                <c:v>360</c:v>
              </c:pt>
              <c:pt idx="15">
                <c:v>380</c:v>
              </c:pt>
              <c:pt idx="16">
                <c:v>400</c:v>
              </c:pt>
            </c:numLit>
          </c:xVal>
          <c:yVal>
            <c:numLit>
              <c:formatCode>General</c:formatCode>
              <c:ptCount val="17"/>
              <c:pt idx="0">
                <c:v>4888.8371612903184</c:v>
              </c:pt>
              <c:pt idx="1">
                <c:v>3459.7033992258116</c:v>
              </c:pt>
              <c:pt idx="2">
                <c:v>2709.6667499354867</c:v>
              </c:pt>
              <c:pt idx="3">
                <c:v>2400.8797687741962</c:v>
              </c:pt>
              <c:pt idx="4">
                <c:v>2295.4950110967761</c:v>
              </c:pt>
              <c:pt idx="5">
                <c:v>2244.7511396129057</c:v>
              </c:pt>
              <c:pt idx="6">
                <c:v>2201.0350105806474</c:v>
              </c:pt>
              <c:pt idx="7">
                <c:v>2113.6027525161312</c:v>
              </c:pt>
              <c:pt idx="8">
                <c:v>2026.1704944516148</c:v>
              </c:pt>
              <c:pt idx="9">
                <c:v>1938.7382363870988</c:v>
              </c:pt>
              <c:pt idx="10">
                <c:v>1851.3059783225826</c:v>
              </c:pt>
              <c:pt idx="11">
                <c:v>1763.873720258066</c:v>
              </c:pt>
              <c:pt idx="12">
                <c:v>1676.4414621935503</c:v>
              </c:pt>
              <c:pt idx="13">
                <c:v>1589.0092041290341</c:v>
              </c:pt>
              <c:pt idx="14">
                <c:v>1501.5769460645179</c:v>
              </c:pt>
              <c:pt idx="15">
                <c:v>1414.1446880000017</c:v>
              </c:pt>
              <c:pt idx="16">
                <c:v>1326.7124299354855</c:v>
              </c:pt>
            </c:numLit>
          </c:yVal>
          <c:smooth val="1"/>
        </c:ser>
        <c:dLbls>
          <c:showLegendKey val="0"/>
          <c:showVal val="0"/>
          <c:showCatName val="0"/>
          <c:showSerName val="0"/>
          <c:showPercent val="0"/>
          <c:showBubbleSize val="0"/>
        </c:dLbls>
        <c:axId val="122209984"/>
        <c:axId val="122211136"/>
      </c:scatterChart>
      <c:valAx>
        <c:axId val="122209984"/>
        <c:scaling>
          <c:orientation val="minMax"/>
          <c:max val="400"/>
          <c:min val="100"/>
        </c:scaling>
        <c:delete val="0"/>
        <c:axPos val="b"/>
        <c:majorGridlines/>
        <c:title>
          <c:tx>
            <c:rich>
              <a:bodyPr/>
              <a:lstStyle/>
              <a:p>
                <a:pPr>
                  <a:defRPr/>
                </a:pPr>
                <a:r>
                  <a:rPr lang="en-US"/>
                  <a:t>Degees Celcius</a:t>
                </a:r>
              </a:p>
            </c:rich>
          </c:tx>
          <c:overlay val="0"/>
        </c:title>
        <c:numFmt formatCode="General" sourceLinked="1"/>
        <c:majorTickMark val="out"/>
        <c:minorTickMark val="none"/>
        <c:tickLblPos val="nextTo"/>
        <c:crossAx val="122211136"/>
        <c:crosses val="autoZero"/>
        <c:crossBetween val="midCat"/>
        <c:majorUnit val="20"/>
      </c:valAx>
      <c:valAx>
        <c:axId val="122211136"/>
        <c:scaling>
          <c:orientation val="minMax"/>
        </c:scaling>
        <c:delete val="0"/>
        <c:axPos val="l"/>
        <c:majorGridlines/>
        <c:title>
          <c:tx>
            <c:rich>
              <a:bodyPr rot="-5400000" vert="horz"/>
              <a:lstStyle/>
              <a:p>
                <a:pPr>
                  <a:defRPr/>
                </a:pPr>
                <a:r>
                  <a:rPr lang="en-US"/>
                  <a:t>Cost $/kW </a:t>
                </a:r>
              </a:p>
            </c:rich>
          </c:tx>
          <c:overlay val="0"/>
        </c:title>
        <c:numFmt formatCode="General" sourceLinked="1"/>
        <c:majorTickMark val="out"/>
        <c:minorTickMark val="none"/>
        <c:tickLblPos val="nextTo"/>
        <c:crossAx val="122209984"/>
        <c:crosses val="autoZero"/>
        <c:crossBetween val="midCat"/>
      </c:valAx>
    </c:plotArea>
    <c:legend>
      <c:legendPos val="r"/>
      <c:overlay val="0"/>
    </c:legend>
    <c:plotVisOnly val="1"/>
    <c:dispBlanksAs val="gap"/>
    <c:showDLblsOverMax val="0"/>
  </c:chart>
  <c:printSettings>
    <c:headerFooter/>
    <c:pageMargins b="0.75000000000000977" l="0.70000000000000062" r="0.70000000000000062" t="0.75000000000000977"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GETEM 50MW Binary Parasitic loss % </a:t>
            </a:r>
          </a:p>
        </c:rich>
      </c:tx>
      <c:overlay val="0"/>
    </c:title>
    <c:autoTitleDeleted val="0"/>
    <c:plotArea>
      <c:layout/>
      <c:lineChart>
        <c:grouping val="standard"/>
        <c:varyColors val="0"/>
        <c:ser>
          <c:idx val="0"/>
          <c:order val="0"/>
          <c:tx>
            <c:v>2000M @ 70 kg/s</c:v>
          </c:tx>
          <c:marker>
            <c:symbol val="none"/>
          </c:marker>
          <c:cat>
            <c:numLit>
              <c:formatCode>General</c:formatCode>
              <c:ptCount val="6"/>
              <c:pt idx="0">
                <c:v>150</c:v>
              </c:pt>
              <c:pt idx="1">
                <c:v>175</c:v>
              </c:pt>
              <c:pt idx="2">
                <c:v>200</c:v>
              </c:pt>
              <c:pt idx="3">
                <c:v>225</c:v>
              </c:pt>
              <c:pt idx="4">
                <c:v>250</c:v>
              </c:pt>
              <c:pt idx="5">
                <c:v>275</c:v>
              </c:pt>
            </c:numLit>
          </c:cat>
          <c:val>
            <c:numLit>
              <c:formatCode>General</c:formatCode>
              <c:ptCount val="6"/>
              <c:pt idx="0">
                <c:v>0.4018000000000001</c:v>
              </c:pt>
              <c:pt idx="1">
                <c:v>0.2964</c:v>
              </c:pt>
              <c:pt idx="2">
                <c:v>0.21560000000000001</c:v>
              </c:pt>
              <c:pt idx="3">
                <c:v>0.16060000000000002</c:v>
              </c:pt>
              <c:pt idx="4">
                <c:v>0.15860000000000002</c:v>
              </c:pt>
              <c:pt idx="5">
                <c:v>0.17260000000000006</c:v>
              </c:pt>
            </c:numLit>
          </c:val>
          <c:smooth val="0"/>
        </c:ser>
        <c:ser>
          <c:idx val="1"/>
          <c:order val="1"/>
          <c:tx>
            <c:v>3000M @70kg/s</c:v>
          </c:tx>
          <c:marker>
            <c:symbol val="none"/>
          </c:marker>
          <c:cat>
            <c:numLit>
              <c:formatCode>General</c:formatCode>
              <c:ptCount val="6"/>
              <c:pt idx="0">
                <c:v>150</c:v>
              </c:pt>
              <c:pt idx="1">
                <c:v>175</c:v>
              </c:pt>
              <c:pt idx="2">
                <c:v>200</c:v>
              </c:pt>
              <c:pt idx="3">
                <c:v>225</c:v>
              </c:pt>
              <c:pt idx="4">
                <c:v>250</c:v>
              </c:pt>
              <c:pt idx="5">
                <c:v>275</c:v>
              </c:pt>
            </c:numLit>
          </c:cat>
          <c:val>
            <c:numLit>
              <c:formatCode>General</c:formatCode>
              <c:ptCount val="6"/>
              <c:pt idx="0">
                <c:v>0.3806000000000001</c:v>
              </c:pt>
              <c:pt idx="1">
                <c:v>0.26420000000000005</c:v>
              </c:pt>
              <c:pt idx="2">
                <c:v>0.19140000000000001</c:v>
              </c:pt>
              <c:pt idx="3">
                <c:v>0.14299999999999999</c:v>
              </c:pt>
              <c:pt idx="4">
                <c:v>0.13739999999999994</c:v>
              </c:pt>
              <c:pt idx="5">
                <c:v>0.14620000000000008</c:v>
              </c:pt>
            </c:numLit>
          </c:val>
          <c:smooth val="0"/>
        </c:ser>
        <c:ser>
          <c:idx val="2"/>
          <c:order val="2"/>
          <c:tx>
            <c:v>5000M @70kg/s</c:v>
          </c:tx>
          <c:marker>
            <c:symbol val="none"/>
          </c:marker>
          <c:cat>
            <c:numLit>
              <c:formatCode>General</c:formatCode>
              <c:ptCount val="6"/>
              <c:pt idx="0">
                <c:v>150</c:v>
              </c:pt>
              <c:pt idx="1">
                <c:v>175</c:v>
              </c:pt>
              <c:pt idx="2">
                <c:v>200</c:v>
              </c:pt>
              <c:pt idx="3">
                <c:v>225</c:v>
              </c:pt>
              <c:pt idx="4">
                <c:v>250</c:v>
              </c:pt>
              <c:pt idx="5">
                <c:v>275</c:v>
              </c:pt>
            </c:numLit>
          </c:cat>
          <c:val>
            <c:numLit>
              <c:formatCode>General</c:formatCode>
              <c:ptCount val="6"/>
              <c:pt idx="0">
                <c:v>0.34500000000000003</c:v>
              </c:pt>
              <c:pt idx="1">
                <c:v>0.21239999999999998</c:v>
              </c:pt>
              <c:pt idx="2">
                <c:v>0.14379999999999998</c:v>
              </c:pt>
              <c:pt idx="3">
                <c:v>0.10700000000000004</c:v>
              </c:pt>
              <c:pt idx="4">
                <c:v>9.5199999999999993E-2</c:v>
              </c:pt>
              <c:pt idx="5">
                <c:v>9.4800000000000051E-2</c:v>
              </c:pt>
            </c:numLit>
          </c:val>
          <c:smooth val="0"/>
        </c:ser>
        <c:ser>
          <c:idx val="3"/>
          <c:order val="3"/>
          <c:tx>
            <c:v>2000m @50 kg/s</c:v>
          </c:tx>
          <c:marker>
            <c:symbol val="none"/>
          </c:marker>
          <c:val>
            <c:numLit>
              <c:formatCode>General</c:formatCode>
              <c:ptCount val="6"/>
              <c:pt idx="0">
                <c:v>0.26480000000000009</c:v>
              </c:pt>
              <c:pt idx="1">
                <c:v>0.19760000000000005</c:v>
              </c:pt>
              <c:pt idx="2">
                <c:v>0.15000000000000002</c:v>
              </c:pt>
              <c:pt idx="3">
                <c:v>0.11900000000000006</c:v>
              </c:pt>
              <c:pt idx="4">
                <c:v>0.12280000000000002</c:v>
              </c:pt>
              <c:pt idx="5">
                <c:v>0.1394</c:v>
              </c:pt>
            </c:numLit>
          </c:val>
          <c:smooth val="0"/>
        </c:ser>
        <c:ser>
          <c:idx val="4"/>
          <c:order val="4"/>
          <c:tx>
            <c:v>3000m @50kg/s</c:v>
          </c:tx>
          <c:marker>
            <c:symbol val="none"/>
          </c:marker>
          <c:val>
            <c:numLit>
              <c:formatCode>General</c:formatCode>
              <c:ptCount val="6"/>
              <c:pt idx="0">
                <c:v>0.2452</c:v>
              </c:pt>
              <c:pt idx="1">
                <c:v>0.17180000000000006</c:v>
              </c:pt>
              <c:pt idx="2">
                <c:v>0.12920000000000001</c:v>
              </c:pt>
              <c:pt idx="3">
                <c:v>0.10219999999999999</c:v>
              </c:pt>
              <c:pt idx="4">
                <c:v>0.10239999999999995</c:v>
              </c:pt>
              <c:pt idx="5">
                <c:v>0.11420000000000002</c:v>
              </c:pt>
            </c:numLit>
          </c:val>
          <c:smooth val="0"/>
        </c:ser>
        <c:ser>
          <c:idx val="5"/>
          <c:order val="5"/>
          <c:tx>
            <c:v>5000m @ 50kg/s</c:v>
          </c:tx>
          <c:marker>
            <c:symbol val="none"/>
          </c:marker>
          <c:val>
            <c:numLit>
              <c:formatCode>General</c:formatCode>
              <c:ptCount val="6"/>
              <c:pt idx="0">
                <c:v>0.21440000000000001</c:v>
              </c:pt>
              <c:pt idx="1">
                <c:v>0.1336</c:v>
              </c:pt>
              <c:pt idx="2">
                <c:v>8.860000000000004E-2</c:v>
              </c:pt>
              <c:pt idx="3">
                <c:v>6.7800000000000013E-2</c:v>
              </c:pt>
              <c:pt idx="4">
                <c:v>6.1800000000000077E-2</c:v>
              </c:pt>
              <c:pt idx="5">
                <c:v>6.4800000000000052E-2</c:v>
              </c:pt>
            </c:numLit>
          </c:val>
          <c:smooth val="0"/>
        </c:ser>
        <c:dLbls>
          <c:showLegendKey val="0"/>
          <c:showVal val="0"/>
          <c:showCatName val="0"/>
          <c:showSerName val="0"/>
          <c:showPercent val="0"/>
          <c:showBubbleSize val="0"/>
        </c:dLbls>
        <c:marker val="1"/>
        <c:smooth val="0"/>
        <c:axId val="111465984"/>
        <c:axId val="122214592"/>
      </c:lineChart>
      <c:catAx>
        <c:axId val="111465984"/>
        <c:scaling>
          <c:orientation val="minMax"/>
        </c:scaling>
        <c:delete val="0"/>
        <c:axPos val="b"/>
        <c:title>
          <c:tx>
            <c:rich>
              <a:bodyPr/>
              <a:lstStyle/>
              <a:p>
                <a:pPr>
                  <a:defRPr/>
                </a:pPr>
                <a:r>
                  <a:rPr lang="en-US"/>
                  <a:t>Temp C</a:t>
                </a:r>
              </a:p>
            </c:rich>
          </c:tx>
          <c:overlay val="0"/>
        </c:title>
        <c:numFmt formatCode="General" sourceLinked="1"/>
        <c:majorTickMark val="out"/>
        <c:minorTickMark val="none"/>
        <c:tickLblPos val="nextTo"/>
        <c:crossAx val="122214592"/>
        <c:crosses val="autoZero"/>
        <c:auto val="1"/>
        <c:lblAlgn val="ctr"/>
        <c:lblOffset val="100"/>
        <c:noMultiLvlLbl val="0"/>
      </c:catAx>
      <c:valAx>
        <c:axId val="122214592"/>
        <c:scaling>
          <c:orientation val="minMax"/>
        </c:scaling>
        <c:delete val="0"/>
        <c:axPos val="l"/>
        <c:majorGridlines/>
        <c:numFmt formatCode="General" sourceLinked="1"/>
        <c:majorTickMark val="out"/>
        <c:minorTickMark val="none"/>
        <c:tickLblPos val="nextTo"/>
        <c:crossAx val="111465984"/>
        <c:crosses val="autoZero"/>
        <c:crossBetween val="between"/>
      </c:valAx>
    </c:plotArea>
    <c:legend>
      <c:legendPos val="r"/>
      <c:overlay val="0"/>
    </c:legend>
    <c:plotVisOnly val="1"/>
    <c:dispBlanksAs val="gap"/>
    <c:showDLblsOverMax val="0"/>
  </c:chart>
  <c:printSettings>
    <c:headerFooter/>
    <c:pageMargins b="0.75000000000000577" l="0.70000000000000062" r="0.70000000000000062" t="0.75000000000000577"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nchor="t" anchorCtr="0"/>
          <a:lstStyle/>
          <a:p>
            <a:pPr>
              <a:defRPr/>
            </a:pPr>
            <a:r>
              <a:rPr lang="en-US"/>
              <a:t>GETEM 50MW Binary Nominal Plant Costs 2008$</a:t>
            </a:r>
          </a:p>
        </c:rich>
      </c:tx>
      <c:overlay val="0"/>
    </c:title>
    <c:autoTitleDeleted val="0"/>
    <c:plotArea>
      <c:layout/>
      <c:lineChart>
        <c:grouping val="standard"/>
        <c:varyColors val="0"/>
        <c:ser>
          <c:idx val="0"/>
          <c:order val="0"/>
          <c:tx>
            <c:v>2000M @ 70 kg/s</c:v>
          </c:tx>
          <c:marker>
            <c:symbol val="none"/>
          </c:marker>
          <c:cat>
            <c:numLit>
              <c:formatCode>General</c:formatCode>
              <c:ptCount val="6"/>
              <c:pt idx="0">
                <c:v>150</c:v>
              </c:pt>
              <c:pt idx="1">
                <c:v>175</c:v>
              </c:pt>
              <c:pt idx="2">
                <c:v>200</c:v>
              </c:pt>
              <c:pt idx="3">
                <c:v>225</c:v>
              </c:pt>
              <c:pt idx="4">
                <c:v>250</c:v>
              </c:pt>
              <c:pt idx="5">
                <c:v>275</c:v>
              </c:pt>
            </c:numLit>
          </c:cat>
          <c:val>
            <c:numLit>
              <c:formatCode>General</c:formatCode>
              <c:ptCount val="6"/>
              <c:pt idx="0">
                <c:v>5427</c:v>
              </c:pt>
              <c:pt idx="1">
                <c:v>3337</c:v>
              </c:pt>
              <c:pt idx="2">
                <c:v>2369</c:v>
              </c:pt>
              <c:pt idx="3">
                <c:v>1902</c:v>
              </c:pt>
              <c:pt idx="4">
                <c:v>1966</c:v>
              </c:pt>
              <c:pt idx="5">
                <c:v>2520</c:v>
              </c:pt>
            </c:numLit>
          </c:val>
          <c:smooth val="0"/>
        </c:ser>
        <c:ser>
          <c:idx val="1"/>
          <c:order val="1"/>
          <c:tx>
            <c:v>3000M @70kg/s</c:v>
          </c:tx>
          <c:marker>
            <c:symbol val="none"/>
          </c:marker>
          <c:cat>
            <c:numLit>
              <c:formatCode>General</c:formatCode>
              <c:ptCount val="6"/>
              <c:pt idx="0">
                <c:v>150</c:v>
              </c:pt>
              <c:pt idx="1">
                <c:v>175</c:v>
              </c:pt>
              <c:pt idx="2">
                <c:v>200</c:v>
              </c:pt>
              <c:pt idx="3">
                <c:v>225</c:v>
              </c:pt>
              <c:pt idx="4">
                <c:v>250</c:v>
              </c:pt>
              <c:pt idx="5">
                <c:v>275</c:v>
              </c:pt>
            </c:numLit>
          </c:cat>
          <c:val>
            <c:numLit>
              <c:formatCode>General</c:formatCode>
              <c:ptCount val="6"/>
              <c:pt idx="0">
                <c:v>5464</c:v>
              </c:pt>
              <c:pt idx="1">
                <c:v>3549</c:v>
              </c:pt>
              <c:pt idx="2">
                <c:v>2443</c:v>
              </c:pt>
              <c:pt idx="3">
                <c:v>1874</c:v>
              </c:pt>
              <c:pt idx="4">
                <c:v>1931</c:v>
              </c:pt>
              <c:pt idx="5">
                <c:v>2464</c:v>
              </c:pt>
            </c:numLit>
          </c:val>
          <c:smooth val="0"/>
        </c:ser>
        <c:ser>
          <c:idx val="2"/>
          <c:order val="2"/>
          <c:tx>
            <c:v>5000M @70kg/s</c:v>
          </c:tx>
          <c:marker>
            <c:symbol val="none"/>
          </c:marker>
          <c:cat>
            <c:numLit>
              <c:formatCode>General</c:formatCode>
              <c:ptCount val="6"/>
              <c:pt idx="0">
                <c:v>150</c:v>
              </c:pt>
              <c:pt idx="1">
                <c:v>175</c:v>
              </c:pt>
              <c:pt idx="2">
                <c:v>200</c:v>
              </c:pt>
              <c:pt idx="3">
                <c:v>225</c:v>
              </c:pt>
              <c:pt idx="4">
                <c:v>250</c:v>
              </c:pt>
              <c:pt idx="5">
                <c:v>275</c:v>
              </c:pt>
            </c:numLit>
          </c:cat>
          <c:val>
            <c:numLit>
              <c:formatCode>General</c:formatCode>
              <c:ptCount val="6"/>
              <c:pt idx="0">
                <c:v>5327</c:v>
              </c:pt>
              <c:pt idx="1">
                <c:v>3902</c:v>
              </c:pt>
              <c:pt idx="2">
                <c:v>2802</c:v>
              </c:pt>
              <c:pt idx="3">
                <c:v>1817</c:v>
              </c:pt>
              <c:pt idx="4">
                <c:v>1861</c:v>
              </c:pt>
              <c:pt idx="5">
                <c:v>2356</c:v>
              </c:pt>
            </c:numLit>
          </c:val>
          <c:smooth val="0"/>
        </c:ser>
        <c:ser>
          <c:idx val="3"/>
          <c:order val="3"/>
          <c:tx>
            <c:v>2000m @50 kg/s</c:v>
          </c:tx>
          <c:marker>
            <c:symbol val="none"/>
          </c:marker>
          <c:val>
            <c:numLit>
              <c:formatCode>General</c:formatCode>
              <c:ptCount val="6"/>
              <c:pt idx="0">
                <c:v>4835</c:v>
              </c:pt>
              <c:pt idx="1">
                <c:v>3167</c:v>
              </c:pt>
              <c:pt idx="2">
                <c:v>2299</c:v>
              </c:pt>
              <c:pt idx="3">
                <c:v>1836</c:v>
              </c:pt>
              <c:pt idx="4">
                <c:v>1907</c:v>
              </c:pt>
              <c:pt idx="5">
                <c:v>2450</c:v>
              </c:pt>
            </c:numLit>
          </c:val>
          <c:smooth val="0"/>
        </c:ser>
        <c:ser>
          <c:idx val="4"/>
          <c:order val="4"/>
          <c:tx>
            <c:v>3000m @50kg/s</c:v>
          </c:tx>
          <c:marker>
            <c:symbol val="none"/>
          </c:marker>
          <c:val>
            <c:numLit>
              <c:formatCode>General</c:formatCode>
              <c:ptCount val="6"/>
              <c:pt idx="0">
                <c:v>4942</c:v>
              </c:pt>
              <c:pt idx="1">
                <c:v>3439</c:v>
              </c:pt>
              <c:pt idx="2">
                <c:v>2405</c:v>
              </c:pt>
              <c:pt idx="3">
                <c:v>1809</c:v>
              </c:pt>
              <c:pt idx="4">
                <c:v>1873</c:v>
              </c:pt>
              <c:pt idx="5">
                <c:v>2396</c:v>
              </c:pt>
            </c:numLit>
          </c:val>
          <c:smooth val="0"/>
        </c:ser>
        <c:ser>
          <c:idx val="5"/>
          <c:order val="5"/>
          <c:tx>
            <c:v>5000m @ 50kg/s</c:v>
          </c:tx>
          <c:marker>
            <c:symbol val="none"/>
          </c:marker>
          <c:val>
            <c:numLit>
              <c:formatCode>General</c:formatCode>
              <c:ptCount val="6"/>
              <c:pt idx="0">
                <c:v>4822</c:v>
              </c:pt>
              <c:pt idx="1">
                <c:v>3655</c:v>
              </c:pt>
              <c:pt idx="2">
                <c:v>2875</c:v>
              </c:pt>
              <c:pt idx="3">
                <c:v>1754</c:v>
              </c:pt>
              <c:pt idx="4">
                <c:v>1805</c:v>
              </c:pt>
              <c:pt idx="5">
                <c:v>2292</c:v>
              </c:pt>
            </c:numLit>
          </c:val>
          <c:smooth val="0"/>
        </c:ser>
        <c:dLbls>
          <c:showLegendKey val="0"/>
          <c:showVal val="0"/>
          <c:showCatName val="0"/>
          <c:showSerName val="0"/>
          <c:showPercent val="0"/>
          <c:showBubbleSize val="0"/>
        </c:dLbls>
        <c:marker val="1"/>
        <c:smooth val="0"/>
        <c:axId val="111467008"/>
        <c:axId val="124731968"/>
      </c:lineChart>
      <c:catAx>
        <c:axId val="111467008"/>
        <c:scaling>
          <c:orientation val="minMax"/>
        </c:scaling>
        <c:delete val="0"/>
        <c:axPos val="b"/>
        <c:numFmt formatCode="General" sourceLinked="1"/>
        <c:majorTickMark val="out"/>
        <c:minorTickMark val="none"/>
        <c:tickLblPos val="nextTo"/>
        <c:crossAx val="124731968"/>
        <c:crosses val="autoZero"/>
        <c:auto val="1"/>
        <c:lblAlgn val="ctr"/>
        <c:lblOffset val="100"/>
        <c:noMultiLvlLbl val="0"/>
      </c:catAx>
      <c:valAx>
        <c:axId val="124731968"/>
        <c:scaling>
          <c:orientation val="minMax"/>
        </c:scaling>
        <c:delete val="0"/>
        <c:axPos val="l"/>
        <c:majorGridlines/>
        <c:numFmt formatCode="General" sourceLinked="1"/>
        <c:majorTickMark val="out"/>
        <c:minorTickMark val="none"/>
        <c:tickLblPos val="nextTo"/>
        <c:crossAx val="111467008"/>
        <c:crosses val="autoZero"/>
        <c:crossBetween val="between"/>
      </c:valAx>
    </c:plotArea>
    <c:legend>
      <c:legendPos val="r"/>
      <c:overlay val="0"/>
    </c:legend>
    <c:plotVisOnly val="1"/>
    <c:dispBlanksAs val="gap"/>
    <c:showDLblsOverMax val="0"/>
  </c:chart>
  <c:printSettings>
    <c:headerFooter/>
    <c:pageMargins b="0.75000000000000577" l="0.70000000000000062" r="0.70000000000000062" t="0.75000000000000577"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Economies of Scale Comparison</a:t>
            </a:r>
          </a:p>
        </c:rich>
      </c:tx>
      <c:overlay val="0"/>
    </c:title>
    <c:autoTitleDeleted val="0"/>
    <c:plotArea>
      <c:layout/>
      <c:lineChart>
        <c:grouping val="standard"/>
        <c:varyColors val="0"/>
        <c:ser>
          <c:idx val="1"/>
          <c:order val="0"/>
          <c:tx>
            <c:v>Sanyal 2005</c:v>
          </c:tx>
          <c:marker>
            <c:symbol val="none"/>
          </c:marker>
          <c:cat>
            <c:numLit>
              <c:formatCode>General</c:formatCode>
              <c:ptCount val="20"/>
              <c:pt idx="0">
                <c:v>5</c:v>
              </c:pt>
              <c:pt idx="1">
                <c:v>10</c:v>
              </c:pt>
              <c:pt idx="2">
                <c:v>15</c:v>
              </c:pt>
              <c:pt idx="3">
                <c:v>20</c:v>
              </c:pt>
              <c:pt idx="4">
                <c:v>25</c:v>
              </c:pt>
              <c:pt idx="5">
                <c:v>30</c:v>
              </c:pt>
              <c:pt idx="6">
                <c:v>35</c:v>
              </c:pt>
              <c:pt idx="7">
                <c:v>40</c:v>
              </c:pt>
              <c:pt idx="8">
                <c:v>45</c:v>
              </c:pt>
              <c:pt idx="9">
                <c:v>50</c:v>
              </c:pt>
              <c:pt idx="10">
                <c:v>55</c:v>
              </c:pt>
              <c:pt idx="11">
                <c:v>60</c:v>
              </c:pt>
              <c:pt idx="12">
                <c:v>65</c:v>
              </c:pt>
              <c:pt idx="13">
                <c:v>70</c:v>
              </c:pt>
              <c:pt idx="14">
                <c:v>75</c:v>
              </c:pt>
              <c:pt idx="15">
                <c:v>80</c:v>
              </c:pt>
              <c:pt idx="16">
                <c:v>85</c:v>
              </c:pt>
              <c:pt idx="17">
                <c:v>90</c:v>
              </c:pt>
              <c:pt idx="18">
                <c:v>95</c:v>
              </c:pt>
              <c:pt idx="19">
                <c:v>100</c:v>
              </c:pt>
            </c:numLit>
          </c:cat>
          <c:val>
            <c:numLit>
              <c:formatCode>General</c:formatCode>
              <c:ptCount val="20"/>
              <c:pt idx="0">
                <c:v>1</c:v>
              </c:pt>
              <c:pt idx="1">
                <c:v>0.98511193960306254</c:v>
              </c:pt>
              <c:pt idx="2">
                <c:v>0.97044553354850838</c:v>
              </c:pt>
              <c:pt idx="3">
                <c:v>0.95599748183310018</c:v>
              </c:pt>
              <c:pt idx="4">
                <c:v>0.94176453358424883</c:v>
              </c:pt>
              <c:pt idx="5">
                <c:v>0.92774348632855308</c:v>
              </c:pt>
              <c:pt idx="6">
                <c:v>0.91393118527122819</c:v>
              </c:pt>
              <c:pt idx="7">
                <c:v>0.9003245225862655</c:v>
              </c:pt>
              <c:pt idx="8">
                <c:v>0.88692043671715759</c:v>
              </c:pt>
              <c:pt idx="9">
                <c:v>0.87371591168803464</c:v>
              </c:pt>
              <c:pt idx="10">
                <c:v>0.86070797642505792</c:v>
              </c:pt>
              <c:pt idx="11">
                <c:v>0.84789370408791587</c:v>
              </c:pt>
              <c:pt idx="12">
                <c:v>0.83527021141127222</c:v>
              </c:pt>
              <c:pt idx="13">
                <c:v>0.82283465805601852</c:v>
              </c:pt>
              <c:pt idx="14">
                <c:v>0.81058424597018708</c:v>
              </c:pt>
              <c:pt idx="15">
                <c:v>0.79851621875937706</c:v>
              </c:pt>
              <c:pt idx="16">
                <c:v>0.78662786106655358</c:v>
              </c:pt>
              <c:pt idx="17">
                <c:v>0.77491649796108109</c:v>
              </c:pt>
              <c:pt idx="18">
                <c:v>0.76337949433685326</c:v>
              </c:pt>
              <c:pt idx="19">
                <c:v>0.75201425431938274</c:v>
              </c:pt>
            </c:numLit>
          </c:val>
          <c:smooth val="0"/>
        </c:ser>
        <c:ser>
          <c:idx val="0"/>
          <c:order val="1"/>
          <c:tx>
            <c:v>GETEM  200C</c:v>
          </c:tx>
          <c:marker>
            <c:symbol val="none"/>
          </c:marker>
          <c:trendline>
            <c:trendlineType val="power"/>
            <c:dispRSqr val="1"/>
            <c:dispEq val="1"/>
            <c:trendlineLbl>
              <c:layout>
                <c:manualLayout>
                  <c:x val="-7.9269267477928909E-2"/>
                  <c:y val="-9.0418030239922759E-2"/>
                </c:manualLayout>
              </c:layout>
              <c:numFmt formatCode="General" sourceLinked="0"/>
            </c:trendlineLbl>
          </c:trendline>
          <c:cat>
            <c:numLit>
              <c:formatCode>General</c:formatCode>
              <c:ptCount val="20"/>
              <c:pt idx="0">
                <c:v>5</c:v>
              </c:pt>
              <c:pt idx="1">
                <c:v>10</c:v>
              </c:pt>
              <c:pt idx="2">
                <c:v>15</c:v>
              </c:pt>
              <c:pt idx="3">
                <c:v>20</c:v>
              </c:pt>
              <c:pt idx="4">
                <c:v>25</c:v>
              </c:pt>
              <c:pt idx="5">
                <c:v>30</c:v>
              </c:pt>
              <c:pt idx="6">
                <c:v>35</c:v>
              </c:pt>
              <c:pt idx="7">
                <c:v>40</c:v>
              </c:pt>
              <c:pt idx="8">
                <c:v>45</c:v>
              </c:pt>
              <c:pt idx="9">
                <c:v>50</c:v>
              </c:pt>
              <c:pt idx="10">
                <c:v>55</c:v>
              </c:pt>
              <c:pt idx="11">
                <c:v>60</c:v>
              </c:pt>
              <c:pt idx="12">
                <c:v>65</c:v>
              </c:pt>
              <c:pt idx="13">
                <c:v>70</c:v>
              </c:pt>
              <c:pt idx="14">
                <c:v>75</c:v>
              </c:pt>
              <c:pt idx="15">
                <c:v>80</c:v>
              </c:pt>
              <c:pt idx="16">
                <c:v>85</c:v>
              </c:pt>
              <c:pt idx="17">
                <c:v>90</c:v>
              </c:pt>
              <c:pt idx="18">
                <c:v>95</c:v>
              </c:pt>
              <c:pt idx="19">
                <c:v>100</c:v>
              </c:pt>
            </c:numLit>
          </c:cat>
          <c:val>
            <c:numLit>
              <c:formatCode>General</c:formatCode>
              <c:ptCount val="20"/>
              <c:pt idx="0">
                <c:v>1</c:v>
              </c:pt>
              <c:pt idx="1">
                <c:v>0.83667621776504308</c:v>
              </c:pt>
              <c:pt idx="2">
                <c:v>0.75517351162050328</c:v>
              </c:pt>
              <c:pt idx="3">
                <c:v>0.7032792104425345</c:v>
              </c:pt>
              <c:pt idx="4">
                <c:v>0.66539318688315829</c:v>
              </c:pt>
              <c:pt idx="5">
                <c:v>0.63578478191658705</c:v>
              </c:pt>
              <c:pt idx="6">
                <c:v>0.61286214581343512</c:v>
              </c:pt>
              <c:pt idx="7">
                <c:v>0.59312320916905448</c:v>
              </c:pt>
              <c:pt idx="8">
                <c:v>0.58707418019738922</c:v>
              </c:pt>
              <c:pt idx="9">
                <c:v>0.58357211079274096</c:v>
              </c:pt>
              <c:pt idx="10">
                <c:v>0.58007004138809293</c:v>
              </c:pt>
              <c:pt idx="11">
                <c:v>0.57688634192932176</c:v>
              </c:pt>
              <c:pt idx="12">
                <c:v>0.57433938236230497</c:v>
              </c:pt>
              <c:pt idx="13">
                <c:v>0.57179242279528819</c:v>
              </c:pt>
              <c:pt idx="14">
                <c:v>0.56956383317414849</c:v>
              </c:pt>
              <c:pt idx="15">
                <c:v>0.56765361349888599</c:v>
              </c:pt>
              <c:pt idx="16">
                <c:v>0.56574339382362304</c:v>
              </c:pt>
              <c:pt idx="17">
                <c:v>0.56383317414836043</c:v>
              </c:pt>
              <c:pt idx="18">
                <c:v>0.56224132441897501</c:v>
              </c:pt>
              <c:pt idx="19">
                <c:v>0.5606494746895897</c:v>
              </c:pt>
            </c:numLit>
          </c:val>
          <c:smooth val="0"/>
        </c:ser>
        <c:ser>
          <c:idx val="2"/>
          <c:order val="2"/>
          <c:tx>
            <c:v>GETEM 250C</c:v>
          </c:tx>
          <c:marker>
            <c:symbol val="none"/>
          </c:marker>
          <c:trendline>
            <c:trendlineType val="power"/>
            <c:dispRSqr val="1"/>
            <c:dispEq val="1"/>
            <c:trendlineLbl>
              <c:layout>
                <c:manualLayout>
                  <c:x val="-0.24704127893104291"/>
                  <c:y val="5.6666931785042104E-2"/>
                </c:manualLayout>
              </c:layout>
              <c:tx>
                <c:rich>
                  <a:bodyPr/>
                  <a:lstStyle/>
                  <a:p>
                    <a:pPr>
                      <a:defRPr/>
                    </a:pPr>
                    <a:r>
                      <a:rPr lang="en-US" baseline="0"/>
                      <a:t>y = 0.9944x</a:t>
                    </a:r>
                    <a:r>
                      <a:rPr lang="en-US" baseline="30000"/>
                      <a:t>-0.26</a:t>
                    </a:r>
                    <a:r>
                      <a:rPr lang="en-US" baseline="0"/>
                      <a:t>
R² = 0.9999</a:t>
                    </a:r>
                  </a:p>
                  <a:p>
                    <a:pPr>
                      <a:defRPr/>
                    </a:pPr>
                    <a:r>
                      <a:rPr lang="en-US" baseline="0"/>
                      <a:t>This is the GETEM 250C nominal cost data</a:t>
                    </a:r>
                    <a:endParaRPr lang="en-US"/>
                  </a:p>
                </c:rich>
              </c:tx>
              <c:numFmt formatCode="#,##0.0000" sourceLinked="0"/>
            </c:trendlineLbl>
          </c:trendline>
          <c:cat>
            <c:numLit>
              <c:formatCode>General</c:formatCode>
              <c:ptCount val="20"/>
              <c:pt idx="0">
                <c:v>5</c:v>
              </c:pt>
              <c:pt idx="1">
                <c:v>10</c:v>
              </c:pt>
              <c:pt idx="2">
                <c:v>15</c:v>
              </c:pt>
              <c:pt idx="3">
                <c:v>20</c:v>
              </c:pt>
              <c:pt idx="4">
                <c:v>25</c:v>
              </c:pt>
              <c:pt idx="5">
                <c:v>30</c:v>
              </c:pt>
              <c:pt idx="6">
                <c:v>35</c:v>
              </c:pt>
              <c:pt idx="7">
                <c:v>40</c:v>
              </c:pt>
              <c:pt idx="8">
                <c:v>45</c:v>
              </c:pt>
              <c:pt idx="9">
                <c:v>50</c:v>
              </c:pt>
              <c:pt idx="10">
                <c:v>55</c:v>
              </c:pt>
              <c:pt idx="11">
                <c:v>60</c:v>
              </c:pt>
              <c:pt idx="12">
                <c:v>65</c:v>
              </c:pt>
              <c:pt idx="13">
                <c:v>70</c:v>
              </c:pt>
              <c:pt idx="14">
                <c:v>75</c:v>
              </c:pt>
              <c:pt idx="15">
                <c:v>80</c:v>
              </c:pt>
              <c:pt idx="16">
                <c:v>85</c:v>
              </c:pt>
              <c:pt idx="17">
                <c:v>90</c:v>
              </c:pt>
              <c:pt idx="18">
                <c:v>95</c:v>
              </c:pt>
              <c:pt idx="19">
                <c:v>100</c:v>
              </c:pt>
            </c:numLit>
          </c:cat>
          <c:val>
            <c:numLit>
              <c:formatCode>General</c:formatCode>
              <c:ptCount val="20"/>
              <c:pt idx="0">
                <c:v>1</c:v>
              </c:pt>
              <c:pt idx="1">
                <c:v>0.83032339353212947</c:v>
              </c:pt>
              <c:pt idx="2">
                <c:v>0.74590508189836202</c:v>
              </c:pt>
              <c:pt idx="3">
                <c:v>0.69172616547669041</c:v>
              </c:pt>
              <c:pt idx="4">
                <c:v>0.65266694666106673</c:v>
              </c:pt>
              <c:pt idx="5">
                <c:v>0.62242755144897111</c:v>
              </c:pt>
              <c:pt idx="6">
                <c:v>0.5980680386392272</c:v>
              </c:pt>
              <c:pt idx="7">
                <c:v>0.57748845023099549</c:v>
              </c:pt>
              <c:pt idx="8">
                <c:v>0.56026879462410761</c:v>
              </c:pt>
              <c:pt idx="9">
                <c:v>0.5451490970180598</c:v>
              </c:pt>
              <c:pt idx="10">
                <c:v>0.53212935741285172</c:v>
              </c:pt>
              <c:pt idx="11">
                <c:v>0.52036959260814797</c:v>
              </c:pt>
              <c:pt idx="12">
                <c:v>0.50986980260394799</c:v>
              </c:pt>
              <c:pt idx="13">
                <c:v>0.50020999580008396</c:v>
              </c:pt>
              <c:pt idx="14">
                <c:v>0.49139017219655612</c:v>
              </c:pt>
              <c:pt idx="15">
                <c:v>0.48341033179336418</c:v>
              </c:pt>
              <c:pt idx="16">
                <c:v>0.47627047459050825</c:v>
              </c:pt>
              <c:pt idx="17">
                <c:v>0.46955060898782036</c:v>
              </c:pt>
              <c:pt idx="18">
                <c:v>0.46325073498530028</c:v>
              </c:pt>
              <c:pt idx="19">
                <c:v>0.45695086098278043</c:v>
              </c:pt>
            </c:numLit>
          </c:val>
          <c:smooth val="0"/>
        </c:ser>
        <c:ser>
          <c:idx val="3"/>
          <c:order val="3"/>
          <c:tx>
            <c:v>1989 Report</c:v>
          </c:tx>
          <c:spPr>
            <a:ln>
              <a:solidFill>
                <a:schemeClr val="bg2">
                  <a:lumMod val="25000"/>
                </a:schemeClr>
              </a:solidFill>
            </a:ln>
          </c:spPr>
          <c:marker>
            <c:symbol val="none"/>
          </c:marker>
          <c:cat>
            <c:numLit>
              <c:formatCode>General</c:formatCode>
              <c:ptCount val="20"/>
              <c:pt idx="0">
                <c:v>5</c:v>
              </c:pt>
              <c:pt idx="1">
                <c:v>10</c:v>
              </c:pt>
              <c:pt idx="2">
                <c:v>15</c:v>
              </c:pt>
              <c:pt idx="3">
                <c:v>20</c:v>
              </c:pt>
              <c:pt idx="4">
                <c:v>25</c:v>
              </c:pt>
              <c:pt idx="5">
                <c:v>30</c:v>
              </c:pt>
              <c:pt idx="6">
                <c:v>35</c:v>
              </c:pt>
              <c:pt idx="7">
                <c:v>40</c:v>
              </c:pt>
              <c:pt idx="8">
                <c:v>45</c:v>
              </c:pt>
              <c:pt idx="9">
                <c:v>50</c:v>
              </c:pt>
              <c:pt idx="10">
                <c:v>55</c:v>
              </c:pt>
              <c:pt idx="11">
                <c:v>60</c:v>
              </c:pt>
              <c:pt idx="12">
                <c:v>65</c:v>
              </c:pt>
              <c:pt idx="13">
                <c:v>70</c:v>
              </c:pt>
              <c:pt idx="14">
                <c:v>75</c:v>
              </c:pt>
              <c:pt idx="15">
                <c:v>80</c:v>
              </c:pt>
              <c:pt idx="16">
                <c:v>85</c:v>
              </c:pt>
              <c:pt idx="17">
                <c:v>90</c:v>
              </c:pt>
              <c:pt idx="18">
                <c:v>95</c:v>
              </c:pt>
              <c:pt idx="19">
                <c:v>100</c:v>
              </c:pt>
            </c:numLit>
          </c:cat>
          <c:val>
            <c:numLit>
              <c:formatCode>General</c:formatCode>
              <c:ptCount val="20"/>
              <c:pt idx="0">
                <c:v>1</c:v>
              </c:pt>
              <c:pt idx="1">
                <c:v>0.8179020585577812</c:v>
              </c:pt>
              <c:pt idx="2">
                <c:v>0.72716812927141439</c:v>
              </c:pt>
              <c:pt idx="3">
                <c:v>0.66896377739305624</c:v>
              </c:pt>
              <c:pt idx="4">
                <c:v>0.6270449849407409</c:v>
              </c:pt>
              <c:pt idx="5">
                <c:v>0.59475230984870031</c:v>
              </c:pt>
              <c:pt idx="6">
                <c:v>0.56875020787300812</c:v>
              </c:pt>
              <c:pt idx="7">
                <c:v>0.54714685063036972</c:v>
              </c:pt>
              <c:pt idx="8">
                <c:v>0.52877348822808845</c:v>
              </c:pt>
              <c:pt idx="9">
                <c:v>0.51286138399136472</c:v>
              </c:pt>
              <c:pt idx="10">
                <c:v>0.49888003192891867</c:v>
              </c:pt>
              <c:pt idx="11">
                <c:v>0.48644913855724742</c:v>
              </c:pt>
              <c:pt idx="12">
                <c:v>0.47528753860457418</c:v>
              </c:pt>
              <c:pt idx="13">
                <c:v>0.46518196582449922</c:v>
              </c:pt>
              <c:pt idx="14">
                <c:v>0.45596712866838079</c:v>
              </c:pt>
              <c:pt idx="15">
                <c:v>0.44751253546398628</c:v>
              </c:pt>
              <c:pt idx="16">
                <c:v>0.43971351351613952</c:v>
              </c:pt>
              <c:pt idx="17">
                <c:v>0.43248492453253218</c:v>
              </c:pt>
              <c:pt idx="18">
                <c:v>0.42575666537324108</c:v>
              </c:pt>
              <c:pt idx="19">
                <c:v>0.41947038172133</c:v>
              </c:pt>
            </c:numLit>
          </c:val>
          <c:smooth val="0"/>
        </c:ser>
        <c:ser>
          <c:idx val="4"/>
          <c:order val="4"/>
          <c:tx>
            <c:v>1991 report</c:v>
          </c:tx>
          <c:marker>
            <c:symbol val="none"/>
          </c:marker>
          <c:cat>
            <c:numLit>
              <c:formatCode>General</c:formatCode>
              <c:ptCount val="20"/>
              <c:pt idx="0">
                <c:v>5</c:v>
              </c:pt>
              <c:pt idx="1">
                <c:v>10</c:v>
              </c:pt>
              <c:pt idx="2">
                <c:v>15</c:v>
              </c:pt>
              <c:pt idx="3">
                <c:v>20</c:v>
              </c:pt>
              <c:pt idx="4">
                <c:v>25</c:v>
              </c:pt>
              <c:pt idx="5">
                <c:v>30</c:v>
              </c:pt>
              <c:pt idx="6">
                <c:v>35</c:v>
              </c:pt>
              <c:pt idx="7">
                <c:v>40</c:v>
              </c:pt>
              <c:pt idx="8">
                <c:v>45</c:v>
              </c:pt>
              <c:pt idx="9">
                <c:v>50</c:v>
              </c:pt>
              <c:pt idx="10">
                <c:v>55</c:v>
              </c:pt>
              <c:pt idx="11">
                <c:v>60</c:v>
              </c:pt>
              <c:pt idx="12">
                <c:v>65</c:v>
              </c:pt>
              <c:pt idx="13">
                <c:v>70</c:v>
              </c:pt>
              <c:pt idx="14">
                <c:v>75</c:v>
              </c:pt>
              <c:pt idx="15">
                <c:v>80</c:v>
              </c:pt>
              <c:pt idx="16">
                <c:v>85</c:v>
              </c:pt>
              <c:pt idx="17">
                <c:v>90</c:v>
              </c:pt>
              <c:pt idx="18">
                <c:v>95</c:v>
              </c:pt>
              <c:pt idx="19">
                <c:v>100</c:v>
              </c:pt>
            </c:numLit>
          </c:cat>
          <c:val>
            <c:numLit>
              <c:formatCode>General</c:formatCode>
              <c:ptCount val="20"/>
              <c:pt idx="0">
                <c:v>1</c:v>
              </c:pt>
              <c:pt idx="1">
                <c:v>0.8116895809772785</c:v>
              </c:pt>
              <c:pt idx="2">
                <c:v>0.71843337987012523</c:v>
              </c:pt>
              <c:pt idx="3">
                <c:v>0.65883997586706988</c:v>
              </c:pt>
              <c:pt idx="4">
                <c:v>0.61604158374798179</c:v>
              </c:pt>
              <c:pt idx="5">
                <c:v>0.58314488906687212</c:v>
              </c:pt>
              <c:pt idx="6">
                <c:v>0.55670547179056584</c:v>
              </c:pt>
              <c:pt idx="7">
                <c:v>0.534773543942622</c:v>
              </c:pt>
              <c:pt idx="8">
                <c:v>0.51614652131161165</c:v>
              </c:pt>
              <c:pt idx="9">
                <c:v>0.50003453497697836</c:v>
              </c:pt>
              <c:pt idx="10">
                <c:v>0.48589317823441508</c:v>
              </c:pt>
              <c:pt idx="11">
                <c:v>0.47333263065573061</c:v>
              </c:pt>
              <c:pt idx="12">
                <c:v>0.46206497623140663</c:v>
              </c:pt>
              <c:pt idx="13">
                <c:v>0.45187203112544277</c:v>
              </c:pt>
              <c:pt idx="14">
                <c:v>0.44258483715260738</c:v>
              </c:pt>
              <c:pt idx="15">
                <c:v>0.43407011380052124</c:v>
              </c:pt>
              <c:pt idx="16">
                <c:v>0.42622103040174991</c:v>
              </c:pt>
              <c:pt idx="17">
                <c:v>0.41895075360630207</c:v>
              </c:pt>
              <c:pt idx="18">
                <c:v>0.41218783112741836</c:v>
              </c:pt>
              <c:pt idx="19">
                <c:v>0.40587282216963211</c:v>
              </c:pt>
            </c:numLit>
          </c:val>
          <c:smooth val="0"/>
        </c:ser>
        <c:dLbls>
          <c:showLegendKey val="0"/>
          <c:showVal val="0"/>
          <c:showCatName val="0"/>
          <c:showSerName val="0"/>
          <c:showPercent val="0"/>
          <c:showBubbleSize val="0"/>
        </c:dLbls>
        <c:marker val="1"/>
        <c:smooth val="0"/>
        <c:axId val="117362688"/>
        <c:axId val="124736000"/>
      </c:lineChart>
      <c:catAx>
        <c:axId val="117362688"/>
        <c:scaling>
          <c:orientation val="minMax"/>
        </c:scaling>
        <c:delete val="0"/>
        <c:axPos val="b"/>
        <c:title>
          <c:tx>
            <c:rich>
              <a:bodyPr/>
              <a:lstStyle/>
              <a:p>
                <a:pPr>
                  <a:defRPr/>
                </a:pPr>
                <a:r>
                  <a:rPr lang="en-US"/>
                  <a:t>Nominal Power Output</a:t>
                </a:r>
              </a:p>
            </c:rich>
          </c:tx>
          <c:overlay val="0"/>
        </c:title>
        <c:numFmt formatCode="General" sourceLinked="1"/>
        <c:majorTickMark val="out"/>
        <c:minorTickMark val="none"/>
        <c:tickLblPos val="nextTo"/>
        <c:crossAx val="124736000"/>
        <c:crosses val="autoZero"/>
        <c:auto val="1"/>
        <c:lblAlgn val="ctr"/>
        <c:lblOffset val="100"/>
        <c:noMultiLvlLbl val="0"/>
      </c:catAx>
      <c:valAx>
        <c:axId val="124736000"/>
        <c:scaling>
          <c:orientation val="minMax"/>
        </c:scaling>
        <c:delete val="0"/>
        <c:axPos val="l"/>
        <c:majorGridlines/>
        <c:numFmt formatCode="General" sourceLinked="1"/>
        <c:majorTickMark val="out"/>
        <c:minorTickMark val="none"/>
        <c:tickLblPos val="nextTo"/>
        <c:crossAx val="117362688"/>
        <c:crosses val="autoZero"/>
        <c:crossBetween val="between"/>
      </c:valAx>
      <c:spPr>
        <a:noFill/>
        <a:ln w="25400">
          <a:noFill/>
        </a:ln>
      </c:spPr>
    </c:plotArea>
    <c:legend>
      <c:legendPos val="r"/>
      <c:overlay val="0"/>
    </c:legend>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Economies of Scale - Binary and Single</a:t>
            </a:r>
            <a:r>
              <a:rPr lang="en-US" baseline="0"/>
              <a:t> Flash</a:t>
            </a:r>
            <a:endParaRPr lang="en-US"/>
          </a:p>
        </c:rich>
      </c:tx>
      <c:layout>
        <c:manualLayout>
          <c:xMode val="edge"/>
          <c:yMode val="edge"/>
          <c:x val="0.18320848739461651"/>
          <c:y val="0"/>
        </c:manualLayout>
      </c:layout>
      <c:overlay val="0"/>
    </c:title>
    <c:autoTitleDeleted val="0"/>
    <c:plotArea>
      <c:layout>
        <c:manualLayout>
          <c:layoutTarget val="inner"/>
          <c:xMode val="edge"/>
          <c:yMode val="edge"/>
          <c:x val="0.13316885389326341"/>
          <c:y val="7.4548702245552642E-2"/>
          <c:w val="0.69653937007874012"/>
          <c:h val="0.79822506561679785"/>
        </c:manualLayout>
      </c:layout>
      <c:lineChart>
        <c:grouping val="standard"/>
        <c:varyColors val="0"/>
        <c:ser>
          <c:idx val="0"/>
          <c:order val="0"/>
          <c:tx>
            <c:v>Flash Plant Costs at  250C</c:v>
          </c:tx>
          <c:marker>
            <c:symbol val="none"/>
          </c:marker>
          <c:trendline>
            <c:trendlineType val="power"/>
            <c:dispRSqr val="1"/>
            <c:dispEq val="1"/>
            <c:trendlineLbl>
              <c:layout>
                <c:manualLayout>
                  <c:x val="-0.50656305568517634"/>
                  <c:y val="-9.6876177631448467E-3"/>
                </c:manualLayout>
              </c:layout>
              <c:numFmt formatCode="General" sourceLinked="0"/>
            </c:trendlineLbl>
          </c:trendline>
          <c:cat>
            <c:numLit>
              <c:formatCode>General</c:formatCode>
              <c:ptCount val="20"/>
              <c:pt idx="0">
                <c:v>5</c:v>
              </c:pt>
              <c:pt idx="1">
                <c:v>10</c:v>
              </c:pt>
              <c:pt idx="2">
                <c:v>15</c:v>
              </c:pt>
              <c:pt idx="3">
                <c:v>20</c:v>
              </c:pt>
              <c:pt idx="4">
                <c:v>25</c:v>
              </c:pt>
              <c:pt idx="5">
                <c:v>30</c:v>
              </c:pt>
              <c:pt idx="6">
                <c:v>35</c:v>
              </c:pt>
              <c:pt idx="7">
                <c:v>40</c:v>
              </c:pt>
              <c:pt idx="8">
                <c:v>45</c:v>
              </c:pt>
              <c:pt idx="9">
                <c:v>50</c:v>
              </c:pt>
              <c:pt idx="10">
                <c:v>55</c:v>
              </c:pt>
              <c:pt idx="11">
                <c:v>60</c:v>
              </c:pt>
              <c:pt idx="12">
                <c:v>65</c:v>
              </c:pt>
              <c:pt idx="13">
                <c:v>70</c:v>
              </c:pt>
              <c:pt idx="14">
                <c:v>75</c:v>
              </c:pt>
              <c:pt idx="15">
                <c:v>80</c:v>
              </c:pt>
              <c:pt idx="16">
                <c:v>85</c:v>
              </c:pt>
              <c:pt idx="17">
                <c:v>90</c:v>
              </c:pt>
              <c:pt idx="18">
                <c:v>95</c:v>
              </c:pt>
              <c:pt idx="19">
                <c:v>100</c:v>
              </c:pt>
            </c:numLit>
          </c:cat>
          <c:val>
            <c:numLit>
              <c:formatCode>General</c:formatCode>
              <c:ptCount val="20"/>
              <c:pt idx="0">
                <c:v>1</c:v>
              </c:pt>
              <c:pt idx="1">
                <c:v>0.83032339353212947</c:v>
              </c:pt>
              <c:pt idx="2">
                <c:v>0.74590508189836202</c:v>
              </c:pt>
              <c:pt idx="3">
                <c:v>0.69172616547669041</c:v>
              </c:pt>
              <c:pt idx="4">
                <c:v>0.65266694666106673</c:v>
              </c:pt>
              <c:pt idx="5">
                <c:v>0.62242755144897111</c:v>
              </c:pt>
              <c:pt idx="6">
                <c:v>0.5980680386392272</c:v>
              </c:pt>
              <c:pt idx="7">
                <c:v>0.57748845023099549</c:v>
              </c:pt>
              <c:pt idx="8">
                <c:v>0.56026879462410761</c:v>
              </c:pt>
              <c:pt idx="9">
                <c:v>0.5451490970180598</c:v>
              </c:pt>
              <c:pt idx="10">
                <c:v>0.53212935741285172</c:v>
              </c:pt>
              <c:pt idx="11">
                <c:v>0.52036959260814797</c:v>
              </c:pt>
              <c:pt idx="12">
                <c:v>0.50986980260394799</c:v>
              </c:pt>
              <c:pt idx="13">
                <c:v>0.50020999580008396</c:v>
              </c:pt>
              <c:pt idx="14">
                <c:v>0.49139017219655612</c:v>
              </c:pt>
              <c:pt idx="15">
                <c:v>0.48341033179336418</c:v>
              </c:pt>
              <c:pt idx="16">
                <c:v>0.47627047459050825</c:v>
              </c:pt>
              <c:pt idx="17">
                <c:v>0.46955060898782036</c:v>
              </c:pt>
              <c:pt idx="18">
                <c:v>0.46325073498530028</c:v>
              </c:pt>
              <c:pt idx="19">
                <c:v>0.45695086098278043</c:v>
              </c:pt>
            </c:numLit>
          </c:val>
          <c:smooth val="0"/>
        </c:ser>
        <c:ser>
          <c:idx val="1"/>
          <c:order val="1"/>
          <c:tx>
            <c:v>Binary Plant Costs at 200C</c:v>
          </c:tx>
          <c:marker>
            <c:symbol val="none"/>
          </c:marker>
          <c:trendline>
            <c:trendlineType val="power"/>
            <c:dispRSqr val="1"/>
            <c:dispEq val="1"/>
            <c:trendlineLbl>
              <c:layout>
                <c:manualLayout>
                  <c:x val="-0.13198309292498669"/>
                  <c:y val="-8.968761776314485E-2"/>
                </c:manualLayout>
              </c:layout>
              <c:numFmt formatCode="General" sourceLinked="0"/>
            </c:trendlineLbl>
          </c:trendline>
          <c:cat>
            <c:numLit>
              <c:formatCode>General</c:formatCode>
              <c:ptCount val="20"/>
              <c:pt idx="0">
                <c:v>5</c:v>
              </c:pt>
              <c:pt idx="1">
                <c:v>10</c:v>
              </c:pt>
              <c:pt idx="2">
                <c:v>15</c:v>
              </c:pt>
              <c:pt idx="3">
                <c:v>20</c:v>
              </c:pt>
              <c:pt idx="4">
                <c:v>25</c:v>
              </c:pt>
              <c:pt idx="5">
                <c:v>30</c:v>
              </c:pt>
              <c:pt idx="6">
                <c:v>35</c:v>
              </c:pt>
              <c:pt idx="7">
                <c:v>40</c:v>
              </c:pt>
              <c:pt idx="8">
                <c:v>45</c:v>
              </c:pt>
              <c:pt idx="9">
                <c:v>50</c:v>
              </c:pt>
              <c:pt idx="10">
                <c:v>55</c:v>
              </c:pt>
              <c:pt idx="11">
                <c:v>60</c:v>
              </c:pt>
              <c:pt idx="12">
                <c:v>65</c:v>
              </c:pt>
              <c:pt idx="13">
                <c:v>70</c:v>
              </c:pt>
              <c:pt idx="14">
                <c:v>75</c:v>
              </c:pt>
              <c:pt idx="15">
                <c:v>80</c:v>
              </c:pt>
              <c:pt idx="16">
                <c:v>85</c:v>
              </c:pt>
              <c:pt idx="17">
                <c:v>90</c:v>
              </c:pt>
              <c:pt idx="18">
                <c:v>95</c:v>
              </c:pt>
              <c:pt idx="19">
                <c:v>100</c:v>
              </c:pt>
            </c:numLit>
          </c:cat>
          <c:val>
            <c:numRef>
              <c:f>'Binary Economies of Scale'!#REF!</c:f>
              <c:numCache>
                <c:formatCode>General</c:formatCode>
                <c:ptCount val="1"/>
                <c:pt idx="0">
                  <c:v>1</c:v>
                </c:pt>
              </c:numCache>
            </c:numRef>
          </c:val>
          <c:smooth val="0"/>
        </c:ser>
        <c:ser>
          <c:idx val="2"/>
          <c:order val="2"/>
          <c:tx>
            <c:v>Flash Plant Costs at 200C</c:v>
          </c:tx>
          <c:marker>
            <c:symbol val="none"/>
          </c:marker>
          <c:trendline>
            <c:trendlineType val="poly"/>
            <c:order val="4"/>
            <c:dispRSqr val="1"/>
            <c:dispEq val="1"/>
            <c:trendlineLbl>
              <c:layout>
                <c:manualLayout>
                  <c:x val="-0.13958476438290121"/>
                  <c:y val="-8.707114381483165E-2"/>
                </c:manualLayout>
              </c:layout>
              <c:numFmt formatCode="General" sourceLinked="0"/>
            </c:trendlineLbl>
          </c:trendline>
          <c:cat>
            <c:numLit>
              <c:formatCode>General</c:formatCode>
              <c:ptCount val="20"/>
              <c:pt idx="0">
                <c:v>5</c:v>
              </c:pt>
              <c:pt idx="1">
                <c:v>10</c:v>
              </c:pt>
              <c:pt idx="2">
                <c:v>15</c:v>
              </c:pt>
              <c:pt idx="3">
                <c:v>20</c:v>
              </c:pt>
              <c:pt idx="4">
                <c:v>25</c:v>
              </c:pt>
              <c:pt idx="5">
                <c:v>30</c:v>
              </c:pt>
              <c:pt idx="6">
                <c:v>35</c:v>
              </c:pt>
              <c:pt idx="7">
                <c:v>40</c:v>
              </c:pt>
              <c:pt idx="8">
                <c:v>45</c:v>
              </c:pt>
              <c:pt idx="9">
                <c:v>50</c:v>
              </c:pt>
              <c:pt idx="10">
                <c:v>55</c:v>
              </c:pt>
              <c:pt idx="11">
                <c:v>60</c:v>
              </c:pt>
              <c:pt idx="12">
                <c:v>65</c:v>
              </c:pt>
              <c:pt idx="13">
                <c:v>70</c:v>
              </c:pt>
              <c:pt idx="14">
                <c:v>75</c:v>
              </c:pt>
              <c:pt idx="15">
                <c:v>80</c:v>
              </c:pt>
              <c:pt idx="16">
                <c:v>85</c:v>
              </c:pt>
              <c:pt idx="17">
                <c:v>90</c:v>
              </c:pt>
              <c:pt idx="18">
                <c:v>95</c:v>
              </c:pt>
              <c:pt idx="19">
                <c:v>100</c:v>
              </c:pt>
            </c:numLit>
          </c:cat>
          <c:val>
            <c:numLit>
              <c:formatCode>General</c:formatCode>
              <c:ptCount val="20"/>
              <c:pt idx="0">
                <c:v>1</c:v>
              </c:pt>
              <c:pt idx="1">
                <c:v>0.83667621776504308</c:v>
              </c:pt>
              <c:pt idx="2">
                <c:v>0.75517351162050328</c:v>
              </c:pt>
              <c:pt idx="3">
                <c:v>0.7032792104425345</c:v>
              </c:pt>
              <c:pt idx="4">
                <c:v>0.66539318688315829</c:v>
              </c:pt>
              <c:pt idx="5">
                <c:v>0.63578478191658705</c:v>
              </c:pt>
              <c:pt idx="6">
                <c:v>0.61286214581343512</c:v>
              </c:pt>
              <c:pt idx="7">
                <c:v>0.59312320916905448</c:v>
              </c:pt>
              <c:pt idx="8">
                <c:v>0.58707418019738922</c:v>
              </c:pt>
              <c:pt idx="9">
                <c:v>0.58357211079274096</c:v>
              </c:pt>
              <c:pt idx="10">
                <c:v>0.58007004138809293</c:v>
              </c:pt>
              <c:pt idx="11">
                <c:v>0.57688634192932176</c:v>
              </c:pt>
              <c:pt idx="12">
                <c:v>0.57433938236230497</c:v>
              </c:pt>
              <c:pt idx="13">
                <c:v>0.57179242279528819</c:v>
              </c:pt>
              <c:pt idx="14">
                <c:v>0.56956383317414849</c:v>
              </c:pt>
              <c:pt idx="15">
                <c:v>0.56765361349888599</c:v>
              </c:pt>
              <c:pt idx="16">
                <c:v>0.56574339382362304</c:v>
              </c:pt>
              <c:pt idx="17">
                <c:v>0.56383317414836043</c:v>
              </c:pt>
              <c:pt idx="18">
                <c:v>0.56224132441897501</c:v>
              </c:pt>
              <c:pt idx="19">
                <c:v>0.5606494746895897</c:v>
              </c:pt>
            </c:numLit>
          </c:val>
          <c:smooth val="0"/>
        </c:ser>
        <c:dLbls>
          <c:showLegendKey val="0"/>
          <c:showVal val="0"/>
          <c:showCatName val="0"/>
          <c:showSerName val="0"/>
          <c:showPercent val="0"/>
          <c:showBubbleSize val="0"/>
        </c:dLbls>
        <c:marker val="1"/>
        <c:smooth val="0"/>
        <c:axId val="111517184"/>
        <c:axId val="153759680"/>
      </c:lineChart>
      <c:catAx>
        <c:axId val="111517184"/>
        <c:scaling>
          <c:orientation val="minMax"/>
        </c:scaling>
        <c:delete val="0"/>
        <c:axPos val="b"/>
        <c:title>
          <c:tx>
            <c:rich>
              <a:bodyPr/>
              <a:lstStyle/>
              <a:p>
                <a:pPr>
                  <a:defRPr/>
                </a:pPr>
                <a:r>
                  <a:rPr lang="en-US"/>
                  <a:t>Nominal Plant Power Output (MW)</a:t>
                </a:r>
              </a:p>
            </c:rich>
          </c:tx>
          <c:overlay val="0"/>
        </c:title>
        <c:numFmt formatCode="General" sourceLinked="1"/>
        <c:majorTickMark val="out"/>
        <c:minorTickMark val="none"/>
        <c:tickLblPos val="nextTo"/>
        <c:crossAx val="153759680"/>
        <c:crosses val="autoZero"/>
        <c:auto val="1"/>
        <c:lblAlgn val="ctr"/>
        <c:lblOffset val="100"/>
        <c:tickMarkSkip val="5"/>
        <c:noMultiLvlLbl val="0"/>
      </c:catAx>
      <c:valAx>
        <c:axId val="153759680"/>
        <c:scaling>
          <c:orientation val="minMax"/>
        </c:scaling>
        <c:delete val="0"/>
        <c:axPos val="l"/>
        <c:majorGridlines/>
        <c:title>
          <c:tx>
            <c:rich>
              <a:bodyPr rot="-5400000" vert="horz"/>
              <a:lstStyle/>
              <a:p>
                <a:pPr>
                  <a:defRPr/>
                </a:pPr>
                <a:r>
                  <a:rPr lang="en-US"/>
                  <a:t>% Discount in plant costs</a:t>
                </a:r>
              </a:p>
            </c:rich>
          </c:tx>
          <c:overlay val="0"/>
        </c:title>
        <c:numFmt formatCode="General" sourceLinked="1"/>
        <c:majorTickMark val="out"/>
        <c:minorTickMark val="none"/>
        <c:tickLblPos val="nextTo"/>
        <c:crossAx val="111517184"/>
        <c:crosses val="autoZero"/>
        <c:crossBetween val="between"/>
      </c:valAx>
    </c:plotArea>
    <c:legend>
      <c:legendPos val="r"/>
      <c:legendEntry>
        <c:idx val="3"/>
        <c:delete val="1"/>
      </c:legendEntry>
      <c:legendEntry>
        <c:idx val="4"/>
        <c:delete val="1"/>
      </c:legendEntry>
      <c:legendEntry>
        <c:idx val="5"/>
        <c:delete val="1"/>
      </c:legendEntry>
      <c:layout>
        <c:manualLayout>
          <c:xMode val="edge"/>
          <c:yMode val="edge"/>
          <c:x val="0.74828579315840749"/>
          <c:y val="0.65226177962012266"/>
          <c:w val="0.19434687322925967"/>
          <c:h val="0.18219560086475339"/>
        </c:manualLayout>
      </c:layout>
      <c:overlay val="0"/>
    </c:legend>
    <c:plotVisOnly val="1"/>
    <c:dispBlanksAs val="gap"/>
    <c:showDLblsOverMax val="0"/>
  </c:chart>
  <c:printSettings>
    <c:headerFooter/>
    <c:pageMargins b="0.75000000000000777" l="0.70000000000000062" r="0.70000000000000062" t="0.75000000000000777"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GETEM Flash Plant Cost Curves</a:t>
            </a:r>
          </a:p>
        </c:rich>
      </c:tx>
      <c:layout>
        <c:manualLayout>
          <c:xMode val="edge"/>
          <c:yMode val="edge"/>
          <c:x val="0.24434618575904044"/>
          <c:y val="4.6296259003430424E-3"/>
        </c:manualLayout>
      </c:layout>
      <c:overlay val="1"/>
    </c:title>
    <c:autoTitleDeleted val="0"/>
    <c:plotArea>
      <c:layout>
        <c:manualLayout>
          <c:layoutTarget val="inner"/>
          <c:xMode val="edge"/>
          <c:yMode val="edge"/>
          <c:x val="0.12654396325459319"/>
          <c:y val="7.4548702245552628E-2"/>
          <c:w val="0.67538648293963255"/>
          <c:h val="0.79822506561679785"/>
        </c:manualLayout>
      </c:layout>
      <c:lineChart>
        <c:grouping val="standard"/>
        <c:varyColors val="0"/>
        <c:ser>
          <c:idx val="0"/>
          <c:order val="0"/>
          <c:tx>
            <c:v>5MW-G</c:v>
          </c:tx>
          <c:marker>
            <c:symbol val="none"/>
          </c:marker>
          <c:cat>
            <c:numLit>
              <c:formatCode>General</c:formatCode>
              <c:ptCount val="18"/>
              <c:pt idx="0">
                <c:v>180</c:v>
              </c:pt>
              <c:pt idx="1">
                <c:v>190</c:v>
              </c:pt>
              <c:pt idx="2">
                <c:v>200</c:v>
              </c:pt>
              <c:pt idx="3">
                <c:v>210</c:v>
              </c:pt>
              <c:pt idx="4">
                <c:v>220</c:v>
              </c:pt>
              <c:pt idx="5">
                <c:v>230</c:v>
              </c:pt>
              <c:pt idx="6">
                <c:v>240</c:v>
              </c:pt>
              <c:pt idx="7">
                <c:v>250</c:v>
              </c:pt>
              <c:pt idx="8">
                <c:v>260</c:v>
              </c:pt>
              <c:pt idx="9">
                <c:v>270</c:v>
              </c:pt>
              <c:pt idx="10">
                <c:v>280</c:v>
              </c:pt>
              <c:pt idx="11">
                <c:v>290</c:v>
              </c:pt>
              <c:pt idx="12">
                <c:v>300</c:v>
              </c:pt>
              <c:pt idx="13">
                <c:v>310</c:v>
              </c:pt>
              <c:pt idx="14">
                <c:v>320</c:v>
              </c:pt>
              <c:pt idx="15">
                <c:v>330</c:v>
              </c:pt>
              <c:pt idx="16">
                <c:v>340</c:v>
              </c:pt>
              <c:pt idx="17">
                <c:v>350</c:v>
              </c:pt>
            </c:numLit>
          </c:cat>
          <c:val>
            <c:numLit>
              <c:formatCode>General</c:formatCode>
              <c:ptCount val="18"/>
              <c:pt idx="0">
                <c:v>3416.6349206349209</c:v>
              </c:pt>
              <c:pt idx="1">
                <c:v>3131.6825396825402</c:v>
              </c:pt>
              <c:pt idx="2">
                <c:v>2924.9523809523812</c:v>
              </c:pt>
              <c:pt idx="3">
                <c:v>2734.0529100529102</c:v>
              </c:pt>
              <c:pt idx="4">
                <c:v>2553.3968253968251</c:v>
              </c:pt>
              <c:pt idx="5">
                <c:v>2415.5767195767203</c:v>
              </c:pt>
              <c:pt idx="6">
                <c:v>2305.6931216931221</c:v>
              </c:pt>
              <c:pt idx="7">
                <c:v>2217.227513227514</c:v>
              </c:pt>
              <c:pt idx="8">
                <c:v>2142.7301587301595</c:v>
              </c:pt>
              <c:pt idx="9">
                <c:v>2081.2698412698405</c:v>
              </c:pt>
              <c:pt idx="10">
                <c:v>2030.05291005291</c:v>
              </c:pt>
              <c:pt idx="11">
                <c:v>1986.2857142857147</c:v>
              </c:pt>
              <c:pt idx="12">
                <c:v>1948.1058201058202</c:v>
              </c:pt>
              <c:pt idx="13">
                <c:v>1917.3756613756618</c:v>
              </c:pt>
              <c:pt idx="14">
                <c:v>1890.3703703703702</c:v>
              </c:pt>
              <c:pt idx="15">
                <c:v>1868.0211640211644</c:v>
              </c:pt>
              <c:pt idx="16">
                <c:v>1848.4656084656087</c:v>
              </c:pt>
              <c:pt idx="17">
                <c:v>1833.5661375661377</c:v>
              </c:pt>
            </c:numLit>
          </c:val>
          <c:smooth val="0"/>
        </c:ser>
        <c:ser>
          <c:idx val="1"/>
          <c:order val="1"/>
          <c:tx>
            <c:v>25MW-G</c:v>
          </c:tx>
          <c:marker>
            <c:symbol val="none"/>
          </c:marker>
          <c:cat>
            <c:numLit>
              <c:formatCode>General</c:formatCode>
              <c:ptCount val="18"/>
              <c:pt idx="0">
                <c:v>180</c:v>
              </c:pt>
              <c:pt idx="1">
                <c:v>190</c:v>
              </c:pt>
              <c:pt idx="2">
                <c:v>200</c:v>
              </c:pt>
              <c:pt idx="3">
                <c:v>210</c:v>
              </c:pt>
              <c:pt idx="4">
                <c:v>220</c:v>
              </c:pt>
              <c:pt idx="5">
                <c:v>230</c:v>
              </c:pt>
              <c:pt idx="6">
                <c:v>240</c:v>
              </c:pt>
              <c:pt idx="7">
                <c:v>250</c:v>
              </c:pt>
              <c:pt idx="8">
                <c:v>260</c:v>
              </c:pt>
              <c:pt idx="9">
                <c:v>270</c:v>
              </c:pt>
              <c:pt idx="10">
                <c:v>280</c:v>
              </c:pt>
              <c:pt idx="11">
                <c:v>290</c:v>
              </c:pt>
              <c:pt idx="12">
                <c:v>300</c:v>
              </c:pt>
              <c:pt idx="13">
                <c:v>310</c:v>
              </c:pt>
              <c:pt idx="14">
                <c:v>320</c:v>
              </c:pt>
              <c:pt idx="15">
                <c:v>330</c:v>
              </c:pt>
              <c:pt idx="16">
                <c:v>340</c:v>
              </c:pt>
              <c:pt idx="17">
                <c:v>350</c:v>
              </c:pt>
            </c:numLit>
          </c:cat>
          <c:val>
            <c:numLit>
              <c:formatCode>General</c:formatCode>
              <c:ptCount val="18"/>
              <c:pt idx="0">
                <c:v>2277.7566137566137</c:v>
              </c:pt>
              <c:pt idx="1">
                <c:v>2084.063492063492</c:v>
              </c:pt>
              <c:pt idx="2">
                <c:v>1946.2433862433859</c:v>
              </c:pt>
              <c:pt idx="3">
                <c:v>1813.0793650793651</c:v>
              </c:pt>
              <c:pt idx="4">
                <c:v>1682.7089947089951</c:v>
              </c:pt>
              <c:pt idx="5">
                <c:v>1584.931216931217</c:v>
              </c:pt>
              <c:pt idx="6">
                <c:v>1508.5714285714282</c:v>
              </c:pt>
              <c:pt idx="7">
                <c:v>1447.1111111111111</c:v>
              </c:pt>
              <c:pt idx="8">
                <c:v>1395.8941798941798</c:v>
              </c:pt>
              <c:pt idx="9">
                <c:v>1353.9894179894179</c:v>
              </c:pt>
              <c:pt idx="10">
                <c:v>1318.6031746031747</c:v>
              </c:pt>
              <c:pt idx="11">
                <c:v>1288.8042328042327</c:v>
              </c:pt>
              <c:pt idx="12">
                <c:v>1262.730158730159</c:v>
              </c:pt>
              <c:pt idx="13">
                <c:v>1241.3121693121693</c:v>
              </c:pt>
              <c:pt idx="14">
                <c:v>1222.6878306878305</c:v>
              </c:pt>
              <c:pt idx="15">
                <c:v>1207.7883597883601</c:v>
              </c:pt>
              <c:pt idx="16">
                <c:v>1194.7513227513225</c:v>
              </c:pt>
              <c:pt idx="17">
                <c:v>1184.5079365079364</c:v>
              </c:pt>
            </c:numLit>
          </c:val>
          <c:smooth val="0"/>
        </c:ser>
        <c:ser>
          <c:idx val="2"/>
          <c:order val="2"/>
          <c:tx>
            <c:v>50MW -G</c:v>
          </c:tx>
          <c:marker>
            <c:symbol val="none"/>
          </c:marker>
          <c:cat>
            <c:numLit>
              <c:formatCode>General</c:formatCode>
              <c:ptCount val="18"/>
              <c:pt idx="0">
                <c:v>180</c:v>
              </c:pt>
              <c:pt idx="1">
                <c:v>190</c:v>
              </c:pt>
              <c:pt idx="2">
                <c:v>200</c:v>
              </c:pt>
              <c:pt idx="3">
                <c:v>210</c:v>
              </c:pt>
              <c:pt idx="4">
                <c:v>220</c:v>
              </c:pt>
              <c:pt idx="5">
                <c:v>230</c:v>
              </c:pt>
              <c:pt idx="6">
                <c:v>240</c:v>
              </c:pt>
              <c:pt idx="7">
                <c:v>250</c:v>
              </c:pt>
              <c:pt idx="8">
                <c:v>260</c:v>
              </c:pt>
              <c:pt idx="9">
                <c:v>270</c:v>
              </c:pt>
              <c:pt idx="10">
                <c:v>280</c:v>
              </c:pt>
              <c:pt idx="11">
                <c:v>290</c:v>
              </c:pt>
              <c:pt idx="12">
                <c:v>300</c:v>
              </c:pt>
              <c:pt idx="13">
                <c:v>310</c:v>
              </c:pt>
              <c:pt idx="14">
                <c:v>320</c:v>
              </c:pt>
              <c:pt idx="15">
                <c:v>330</c:v>
              </c:pt>
              <c:pt idx="16">
                <c:v>340</c:v>
              </c:pt>
              <c:pt idx="17">
                <c:v>350</c:v>
              </c:pt>
            </c:numLit>
          </c:cat>
          <c:val>
            <c:numLit>
              <c:formatCode>General</c:formatCode>
              <c:ptCount val="18"/>
              <c:pt idx="0">
                <c:v>2170.7225396825402</c:v>
              </c:pt>
              <c:pt idx="1">
                <c:v>1899.9805291005291</c:v>
              </c:pt>
              <c:pt idx="2">
                <c:v>1706.8461375661375</c:v>
              </c:pt>
              <c:pt idx="3">
                <c:v>1527.1212698412701</c:v>
              </c:pt>
              <c:pt idx="4">
                <c:v>1413.8480423280419</c:v>
              </c:pt>
              <c:pt idx="5">
                <c:v>1329.1631746031746</c:v>
              </c:pt>
              <c:pt idx="6">
                <c:v>1261.9665608465609</c:v>
              </c:pt>
              <c:pt idx="7">
                <c:v>1209.110687830688</c:v>
              </c:pt>
              <c:pt idx="8">
                <c:v>1165.6228571428576</c:v>
              </c:pt>
              <c:pt idx="9">
                <c:v>1129.92</c:v>
              </c:pt>
              <c:pt idx="10">
                <c:v>1099.4692063492062</c:v>
              </c:pt>
              <c:pt idx="11">
                <c:v>1073.7117460317459</c:v>
              </c:pt>
              <c:pt idx="12">
                <c:v>1051.8281481481479</c:v>
              </c:pt>
              <c:pt idx="13">
                <c:v>1033.6507936507937</c:v>
              </c:pt>
              <c:pt idx="14">
                <c:v>1017.8573544973543</c:v>
              </c:pt>
              <c:pt idx="15">
                <c:v>1004.7830687830689</c:v>
              </c:pt>
              <c:pt idx="16">
                <c:v>993.60846560846562</c:v>
              </c:pt>
              <c:pt idx="17">
                <c:v>984.79915343915354</c:v>
              </c:pt>
            </c:numLit>
          </c:val>
          <c:smooth val="0"/>
        </c:ser>
        <c:ser>
          <c:idx val="3"/>
          <c:order val="3"/>
          <c:tx>
            <c:v>75MW-G</c:v>
          </c:tx>
          <c:marker>
            <c:symbol val="none"/>
          </c:marker>
          <c:cat>
            <c:numLit>
              <c:formatCode>General</c:formatCode>
              <c:ptCount val="18"/>
              <c:pt idx="0">
                <c:v>180</c:v>
              </c:pt>
              <c:pt idx="1">
                <c:v>190</c:v>
              </c:pt>
              <c:pt idx="2">
                <c:v>200</c:v>
              </c:pt>
              <c:pt idx="3">
                <c:v>210</c:v>
              </c:pt>
              <c:pt idx="4">
                <c:v>220</c:v>
              </c:pt>
              <c:pt idx="5">
                <c:v>230</c:v>
              </c:pt>
              <c:pt idx="6">
                <c:v>240</c:v>
              </c:pt>
              <c:pt idx="7">
                <c:v>250</c:v>
              </c:pt>
              <c:pt idx="8">
                <c:v>260</c:v>
              </c:pt>
              <c:pt idx="9">
                <c:v>270</c:v>
              </c:pt>
              <c:pt idx="10">
                <c:v>280</c:v>
              </c:pt>
              <c:pt idx="11">
                <c:v>290</c:v>
              </c:pt>
              <c:pt idx="12">
                <c:v>300</c:v>
              </c:pt>
              <c:pt idx="13">
                <c:v>310</c:v>
              </c:pt>
              <c:pt idx="14">
                <c:v>320</c:v>
              </c:pt>
              <c:pt idx="15">
                <c:v>330</c:v>
              </c:pt>
              <c:pt idx="16">
                <c:v>340</c:v>
              </c:pt>
              <c:pt idx="17">
                <c:v>350</c:v>
              </c:pt>
            </c:numLit>
          </c:cat>
          <c:val>
            <c:numLit>
              <c:formatCode>General</c:formatCode>
              <c:ptCount val="18"/>
              <c:pt idx="0">
                <c:v>2122.2433862433868</c:v>
              </c:pt>
              <c:pt idx="1">
                <c:v>1854.9841269841272</c:v>
              </c:pt>
              <c:pt idx="2">
                <c:v>1665.9470899470903</c:v>
              </c:pt>
              <c:pt idx="3">
                <c:v>1485.2910052910054</c:v>
              </c:pt>
              <c:pt idx="4">
                <c:v>1312.0846560846562</c:v>
              </c:pt>
              <c:pt idx="5">
                <c:v>1200.3386243386244</c:v>
              </c:pt>
              <c:pt idx="6">
                <c:v>1138.8783068783066</c:v>
              </c:pt>
              <c:pt idx="7">
                <c:v>1089.5238095238096</c:v>
              </c:pt>
              <c:pt idx="8">
                <c:v>1049.4814814814815</c:v>
              </c:pt>
              <c:pt idx="9">
                <c:v>1017.8201058201058</c:v>
              </c:pt>
              <c:pt idx="10">
                <c:v>989.88359788359799</c:v>
              </c:pt>
              <c:pt idx="11">
                <c:v>966.60317460317481</c:v>
              </c:pt>
              <c:pt idx="12">
                <c:v>946.11640211640213</c:v>
              </c:pt>
              <c:pt idx="13">
                <c:v>929.35449735449743</c:v>
              </c:pt>
              <c:pt idx="14">
                <c:v>915.38624338624334</c:v>
              </c:pt>
              <c:pt idx="15">
                <c:v>903.28042328042329</c:v>
              </c:pt>
              <c:pt idx="16">
                <c:v>893.03703703703718</c:v>
              </c:pt>
              <c:pt idx="17">
                <c:v>884.65608465608477</c:v>
              </c:pt>
            </c:numLit>
          </c:val>
          <c:smooth val="0"/>
        </c:ser>
        <c:ser>
          <c:idx val="4"/>
          <c:order val="4"/>
          <c:tx>
            <c:v>100MW-G</c:v>
          </c:tx>
          <c:marker>
            <c:symbol val="none"/>
          </c:marker>
          <c:cat>
            <c:numLit>
              <c:formatCode>General</c:formatCode>
              <c:ptCount val="18"/>
              <c:pt idx="0">
                <c:v>180</c:v>
              </c:pt>
              <c:pt idx="1">
                <c:v>190</c:v>
              </c:pt>
              <c:pt idx="2">
                <c:v>200</c:v>
              </c:pt>
              <c:pt idx="3">
                <c:v>210</c:v>
              </c:pt>
              <c:pt idx="4">
                <c:v>220</c:v>
              </c:pt>
              <c:pt idx="5">
                <c:v>230</c:v>
              </c:pt>
              <c:pt idx="6">
                <c:v>240</c:v>
              </c:pt>
              <c:pt idx="7">
                <c:v>250</c:v>
              </c:pt>
              <c:pt idx="8">
                <c:v>260</c:v>
              </c:pt>
              <c:pt idx="9">
                <c:v>270</c:v>
              </c:pt>
              <c:pt idx="10">
                <c:v>280</c:v>
              </c:pt>
              <c:pt idx="11">
                <c:v>290</c:v>
              </c:pt>
              <c:pt idx="12">
                <c:v>300</c:v>
              </c:pt>
              <c:pt idx="13">
                <c:v>310</c:v>
              </c:pt>
              <c:pt idx="14">
                <c:v>320</c:v>
              </c:pt>
              <c:pt idx="15">
                <c:v>330</c:v>
              </c:pt>
              <c:pt idx="16">
                <c:v>340</c:v>
              </c:pt>
              <c:pt idx="17">
                <c:v>350</c:v>
              </c:pt>
            </c:numLit>
          </c:cat>
          <c:val>
            <c:numLit>
              <c:formatCode>General</c:formatCode>
              <c:ptCount val="18"/>
              <c:pt idx="0">
                <c:v>2089.6507936507942</c:v>
              </c:pt>
              <c:pt idx="1">
                <c:v>1826.116402116402</c:v>
              </c:pt>
              <c:pt idx="2">
                <c:v>1639.8730158730157</c:v>
              </c:pt>
              <c:pt idx="3">
                <c:v>1462.0105820105821</c:v>
              </c:pt>
              <c:pt idx="4">
                <c:v>1290.6666666666667</c:v>
              </c:pt>
              <c:pt idx="5">
                <c:v>1161.2275132275133</c:v>
              </c:pt>
              <c:pt idx="6">
                <c:v>1059.7248677248681</c:v>
              </c:pt>
              <c:pt idx="7">
                <c:v>1013.1640211640213</c:v>
              </c:pt>
              <c:pt idx="8">
                <c:v>974.9841269841271</c:v>
              </c:pt>
              <c:pt idx="9">
                <c:v>945.18518518518522</c:v>
              </c:pt>
              <c:pt idx="10">
                <c:v>919.1111111111112</c:v>
              </c:pt>
              <c:pt idx="11">
                <c:v>896.7619047619047</c:v>
              </c:pt>
              <c:pt idx="12">
                <c:v>878.13756613756618</c:v>
              </c:pt>
              <c:pt idx="13">
                <c:v>862.3068783068785</c:v>
              </c:pt>
              <c:pt idx="14">
                <c:v>849.26984126984155</c:v>
              </c:pt>
              <c:pt idx="15">
                <c:v>838.09523809523807</c:v>
              </c:pt>
              <c:pt idx="16">
                <c:v>828.78306878306887</c:v>
              </c:pt>
              <c:pt idx="17">
                <c:v>820.40211640211646</c:v>
              </c:pt>
            </c:numLit>
          </c:val>
          <c:smooth val="0"/>
        </c:ser>
        <c:dLbls>
          <c:showLegendKey val="0"/>
          <c:showVal val="0"/>
          <c:showCatName val="0"/>
          <c:showSerName val="0"/>
          <c:showPercent val="0"/>
          <c:showBubbleSize val="0"/>
        </c:dLbls>
        <c:marker val="1"/>
        <c:smooth val="0"/>
        <c:axId val="117363712"/>
        <c:axId val="153800640"/>
      </c:lineChart>
      <c:catAx>
        <c:axId val="117363712"/>
        <c:scaling>
          <c:orientation val="minMax"/>
        </c:scaling>
        <c:delete val="0"/>
        <c:axPos val="b"/>
        <c:title>
          <c:tx>
            <c:rich>
              <a:bodyPr/>
              <a:lstStyle/>
              <a:p>
                <a:pPr>
                  <a:defRPr/>
                </a:pPr>
                <a:r>
                  <a:rPr lang="en-US"/>
                  <a:t>TEMP C</a:t>
                </a:r>
              </a:p>
            </c:rich>
          </c:tx>
          <c:overlay val="0"/>
        </c:title>
        <c:numFmt formatCode="General" sourceLinked="1"/>
        <c:majorTickMark val="out"/>
        <c:minorTickMark val="none"/>
        <c:tickLblPos val="nextTo"/>
        <c:crossAx val="153800640"/>
        <c:crosses val="autoZero"/>
        <c:auto val="1"/>
        <c:lblAlgn val="ctr"/>
        <c:lblOffset val="100"/>
        <c:tickLblSkip val="2"/>
        <c:tickMarkSkip val="1"/>
        <c:noMultiLvlLbl val="0"/>
      </c:catAx>
      <c:valAx>
        <c:axId val="153800640"/>
        <c:scaling>
          <c:orientation val="minMax"/>
        </c:scaling>
        <c:delete val="0"/>
        <c:axPos val="l"/>
        <c:majorGridlines/>
        <c:title>
          <c:tx>
            <c:rich>
              <a:bodyPr rot="-5400000" vert="horz"/>
              <a:lstStyle/>
              <a:p>
                <a:pPr>
                  <a:defRPr/>
                </a:pPr>
                <a:r>
                  <a:rPr lang="en-US"/>
                  <a:t>Costs $/kW 2010$</a:t>
                </a:r>
              </a:p>
            </c:rich>
          </c:tx>
          <c:overlay val="0"/>
        </c:title>
        <c:numFmt formatCode="General" sourceLinked="1"/>
        <c:majorTickMark val="out"/>
        <c:minorTickMark val="none"/>
        <c:tickLblPos val="nextTo"/>
        <c:crossAx val="117363712"/>
        <c:crosses val="autoZero"/>
        <c:crossBetween val="between"/>
      </c:valAx>
    </c:plotArea>
    <c:legend>
      <c:legendPos val="r"/>
      <c:overlay val="0"/>
    </c:legend>
    <c:plotVisOnly val="1"/>
    <c:dispBlanksAs val="gap"/>
    <c:showDLblsOverMax val="0"/>
  </c:chart>
  <c:printSettings>
    <c:headerFooter/>
    <c:pageMargins b="0.75000000000000577" l="0.70000000000000062" r="0.70000000000000062" t="0.750000000000005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Flash Economy of Scale function</a:t>
            </a:r>
          </a:p>
          <a:p>
            <a:pPr>
              <a:defRPr/>
            </a:pPr>
            <a:r>
              <a:rPr lang="en-US"/>
              <a:t>250 C at</a:t>
            </a:r>
            <a:r>
              <a:rPr lang="en-US" baseline="0"/>
              <a:t> 2000m at 70 kg/s</a:t>
            </a:r>
            <a:endParaRPr lang="en-US"/>
          </a:p>
        </c:rich>
      </c:tx>
      <c:overlay val="0"/>
    </c:title>
    <c:autoTitleDeleted val="0"/>
    <c:plotArea>
      <c:layout/>
      <c:lineChart>
        <c:grouping val="standard"/>
        <c:varyColors val="0"/>
        <c:ser>
          <c:idx val="0"/>
          <c:order val="0"/>
          <c:tx>
            <c:v>Flash Economy of Scale function</c:v>
          </c:tx>
          <c:marker>
            <c:symbol val="none"/>
          </c:marker>
          <c:trendline>
            <c:trendlineType val="power"/>
            <c:dispRSqr val="1"/>
            <c:dispEq val="1"/>
            <c:trendlineLbl>
              <c:layout>
                <c:manualLayout>
                  <c:x val="-5.9641513560804667E-2"/>
                  <c:y val="-0.17794036162146656"/>
                </c:manualLayout>
              </c:layout>
              <c:numFmt formatCode="General" sourceLinked="0"/>
            </c:trendlineLbl>
          </c:trendline>
          <c:cat>
            <c:numRef>
              <c:f>'Flash Economies of Scale'!$AO$4:$AO$23</c:f>
              <c:numCache>
                <c:formatCode>General</c:formatCode>
                <c:ptCount val="20"/>
                <c:pt idx="0">
                  <c:v>5</c:v>
                </c:pt>
                <c:pt idx="1">
                  <c:v>10</c:v>
                </c:pt>
                <c:pt idx="2">
                  <c:v>15</c:v>
                </c:pt>
                <c:pt idx="3">
                  <c:v>20</c:v>
                </c:pt>
                <c:pt idx="4">
                  <c:v>25</c:v>
                </c:pt>
                <c:pt idx="5">
                  <c:v>30</c:v>
                </c:pt>
                <c:pt idx="6">
                  <c:v>35</c:v>
                </c:pt>
                <c:pt idx="7">
                  <c:v>40</c:v>
                </c:pt>
                <c:pt idx="8">
                  <c:v>45</c:v>
                </c:pt>
                <c:pt idx="9">
                  <c:v>50</c:v>
                </c:pt>
                <c:pt idx="10">
                  <c:v>55</c:v>
                </c:pt>
                <c:pt idx="11">
                  <c:v>60</c:v>
                </c:pt>
                <c:pt idx="12">
                  <c:v>65</c:v>
                </c:pt>
                <c:pt idx="13">
                  <c:v>70</c:v>
                </c:pt>
                <c:pt idx="14">
                  <c:v>75</c:v>
                </c:pt>
                <c:pt idx="15">
                  <c:v>80</c:v>
                </c:pt>
                <c:pt idx="16">
                  <c:v>85</c:v>
                </c:pt>
                <c:pt idx="17">
                  <c:v>90</c:v>
                </c:pt>
                <c:pt idx="18">
                  <c:v>95</c:v>
                </c:pt>
                <c:pt idx="19">
                  <c:v>100</c:v>
                </c:pt>
              </c:numCache>
            </c:numRef>
          </c:cat>
          <c:val>
            <c:numRef>
              <c:f>'Flash Economies of Scale'!$AS$4:$AS$23</c:f>
              <c:numCache>
                <c:formatCode>0%</c:formatCode>
                <c:ptCount val="20"/>
                <c:pt idx="0">
                  <c:v>1</c:v>
                </c:pt>
                <c:pt idx="1">
                  <c:v>0.83032339353212936</c:v>
                </c:pt>
                <c:pt idx="2">
                  <c:v>0.74590508189836202</c:v>
                </c:pt>
                <c:pt idx="3">
                  <c:v>0.69172616547669041</c:v>
                </c:pt>
                <c:pt idx="4">
                  <c:v>0.65266694666106673</c:v>
                </c:pt>
                <c:pt idx="5">
                  <c:v>0.62242755144897099</c:v>
                </c:pt>
                <c:pt idx="6">
                  <c:v>0.5980680386392272</c:v>
                </c:pt>
                <c:pt idx="7">
                  <c:v>0.57748845023099538</c:v>
                </c:pt>
                <c:pt idx="8">
                  <c:v>0.5602687946241075</c:v>
                </c:pt>
                <c:pt idx="9">
                  <c:v>0.54514909701805969</c:v>
                </c:pt>
                <c:pt idx="10">
                  <c:v>0.53212935741285172</c:v>
                </c:pt>
                <c:pt idx="11">
                  <c:v>0.52036959260814786</c:v>
                </c:pt>
                <c:pt idx="12">
                  <c:v>0.50986980260394787</c:v>
                </c:pt>
                <c:pt idx="13">
                  <c:v>0.50020999580008396</c:v>
                </c:pt>
                <c:pt idx="14">
                  <c:v>0.49139017219655606</c:v>
                </c:pt>
                <c:pt idx="15">
                  <c:v>0.48341033179336412</c:v>
                </c:pt>
                <c:pt idx="16">
                  <c:v>0.4762704745905082</c:v>
                </c:pt>
                <c:pt idx="17">
                  <c:v>0.46955060898782025</c:v>
                </c:pt>
                <c:pt idx="18">
                  <c:v>0.46325073498530028</c:v>
                </c:pt>
                <c:pt idx="19">
                  <c:v>0.45695086098278037</c:v>
                </c:pt>
              </c:numCache>
            </c:numRef>
          </c:val>
          <c:smooth val="1"/>
        </c:ser>
        <c:dLbls>
          <c:showLegendKey val="0"/>
          <c:showVal val="0"/>
          <c:showCatName val="0"/>
          <c:showSerName val="0"/>
          <c:showPercent val="0"/>
          <c:showBubbleSize val="0"/>
        </c:dLbls>
        <c:marker val="1"/>
        <c:smooth val="0"/>
        <c:axId val="45083648"/>
        <c:axId val="34900800"/>
      </c:lineChart>
      <c:catAx>
        <c:axId val="45083648"/>
        <c:scaling>
          <c:orientation val="minMax"/>
        </c:scaling>
        <c:delete val="0"/>
        <c:axPos val="b"/>
        <c:title>
          <c:tx>
            <c:rich>
              <a:bodyPr/>
              <a:lstStyle/>
              <a:p>
                <a:pPr>
                  <a:defRPr/>
                </a:pPr>
                <a:r>
                  <a:rPr lang="en-US"/>
                  <a:t>Nominal Power (MW)</a:t>
                </a:r>
              </a:p>
            </c:rich>
          </c:tx>
          <c:overlay val="0"/>
        </c:title>
        <c:numFmt formatCode="General" sourceLinked="1"/>
        <c:majorTickMark val="out"/>
        <c:minorTickMark val="none"/>
        <c:tickLblPos val="nextTo"/>
        <c:crossAx val="34900800"/>
        <c:crosses val="autoZero"/>
        <c:auto val="1"/>
        <c:lblAlgn val="ctr"/>
        <c:lblOffset val="100"/>
        <c:noMultiLvlLbl val="0"/>
      </c:catAx>
      <c:valAx>
        <c:axId val="34900800"/>
        <c:scaling>
          <c:orientation val="minMax"/>
        </c:scaling>
        <c:delete val="0"/>
        <c:axPos val="l"/>
        <c:majorGridlines/>
        <c:title>
          <c:tx>
            <c:rich>
              <a:bodyPr rot="-5400000" vert="horz"/>
              <a:lstStyle/>
              <a:p>
                <a:pPr>
                  <a:defRPr/>
                </a:pPr>
                <a:r>
                  <a:rPr lang="en-US"/>
                  <a:t>%  of full cost </a:t>
                </a:r>
              </a:p>
            </c:rich>
          </c:tx>
          <c:overlay val="0"/>
        </c:title>
        <c:numFmt formatCode="0%" sourceLinked="1"/>
        <c:majorTickMark val="out"/>
        <c:minorTickMark val="none"/>
        <c:tickLblPos val="nextTo"/>
        <c:crossAx val="45083648"/>
        <c:crosses val="autoZero"/>
        <c:crossBetween val="between"/>
      </c:valAx>
    </c:plotArea>
    <c:legend>
      <c:legendPos val="r"/>
      <c:overlay val="0"/>
    </c:legend>
    <c:plotVisOnly val="1"/>
    <c:dispBlanksAs val="gap"/>
    <c:showDLblsOverMax val="0"/>
  </c:chart>
  <c:printSettings>
    <c:headerFooter/>
    <c:pageMargins b="0.75000000000000477" l="0.70000000000000062" r="0.70000000000000062" t="0.75000000000000477"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Drilling Cost Estimates</a:t>
            </a:r>
          </a:p>
        </c:rich>
      </c:tx>
      <c:overlay val="0"/>
    </c:title>
    <c:autoTitleDeleted val="0"/>
    <c:plotArea>
      <c:layout/>
      <c:scatterChart>
        <c:scatterStyle val="smoothMarker"/>
        <c:varyColors val="0"/>
        <c:ser>
          <c:idx val="0"/>
          <c:order val="0"/>
          <c:tx>
            <c:v>Low Cost</c:v>
          </c:tx>
          <c:marker>
            <c:symbol val="none"/>
          </c:marker>
          <c:xVal>
            <c:numRef>
              <c:f>'Drill Cost Curves'!$C$12:$C$21</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'Drill Cost Curves'!$E$12:$E$21</c:f>
              <c:numCache>
                <c:formatCode>_(* #,##0_);_(* \(#,##0\);_(* "-"??_);_(@_)</c:formatCode>
                <c:ptCount val="10"/>
                <c:pt idx="0">
                  <c:v>856.44551957616716</c:v>
                </c:pt>
                <c:pt idx="1">
                  <c:v>1264.6533241415359</c:v>
                </c:pt>
                <c:pt idx="2">
                  <c:v>1867.4252987553873</c:v>
                </c:pt>
                <c:pt idx="3">
                  <c:v>2757.496603900408</c:v>
                </c:pt>
                <c:pt idx="4">
                  <c:v>4071.8027787189681</c:v>
                </c:pt>
                <c:pt idx="5">
                  <c:v>6012.5469766062888</c:v>
                </c:pt>
                <c:pt idx="6">
                  <c:v>8878.3084816477294</c:v>
                </c:pt>
                <c:pt idx="7">
                  <c:v>13109.97848365911</c:v>
                </c:pt>
                <c:pt idx="8">
                  <c:v>19358.590231154823</c:v>
                </c:pt>
                <c:pt idx="9">
                  <c:v>28585.479084109505</c:v>
                </c:pt>
              </c:numCache>
            </c:numRef>
          </c:yVal>
          <c:smooth val="1"/>
        </c:ser>
        <c:ser>
          <c:idx val="1"/>
          <c:order val="1"/>
          <c:tx>
            <c:v>Medium Cost</c:v>
          </c:tx>
          <c:marker>
            <c:symbol val="none"/>
          </c:marker>
          <c:xVal>
            <c:numRef>
              <c:f>'Drill Cost Curves'!$C$12:$C$21</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'Drill Cost Curves'!$F$12:$F$21</c:f>
              <c:numCache>
                <c:formatCode>_(* #,##0_);_(* \(#,##0\);_(* "-"??_);_(@_)</c:formatCode>
                <c:ptCount val="10"/>
                <c:pt idx="0">
                  <c:v>945.64929247061013</c:v>
                </c:pt>
                <c:pt idx="1">
                  <c:v>1541.8148006037334</c:v>
                </c:pt>
                <c:pt idx="2">
                  <c:v>2513.8208195028201</c:v>
                </c:pt>
                <c:pt idx="3">
                  <c:v>4098.6084126909145</c:v>
                </c:pt>
                <c:pt idx="4">
                  <c:v>6682.4933544400938</c:v>
                </c:pt>
                <c:pt idx="5">
                  <c:v>10895.336400975566</c:v>
                </c:pt>
                <c:pt idx="6">
                  <c:v>17764.081308296249</c:v>
                </c:pt>
                <c:pt idx="7">
                  <c:v>28963.087794104722</c:v>
                </c:pt>
                <c:pt idx="8">
                  <c:v>47222.281862516058</c:v>
                </c:pt>
                <c:pt idx="9">
                  <c:v>76992.616262303462</c:v>
                </c:pt>
              </c:numCache>
            </c:numRef>
          </c:yVal>
          <c:smooth val="1"/>
        </c:ser>
        <c:ser>
          <c:idx val="2"/>
          <c:order val="2"/>
          <c:tx>
            <c:v>High Cost</c:v>
          </c:tx>
          <c:marker>
            <c:symbol val="none"/>
          </c:marker>
          <c:xVal>
            <c:numRef>
              <c:f>'Drill Cost Curves'!$C$12:$C$21</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'Drill Cost Curves'!$G$12:$G$21</c:f>
              <c:numCache>
                <c:formatCode>_(* #,##0_);_(* \(#,##0\);_(* "-"??_);_(@_)</c:formatCode>
                <c:ptCount val="10"/>
                <c:pt idx="0">
                  <c:v>1079.3229469273342</c:v>
                </c:pt>
                <c:pt idx="1">
                  <c:v>2008.5138340756982</c:v>
                </c:pt>
                <c:pt idx="2">
                  <c:v>3737.6466729981057</c:v>
                </c:pt>
                <c:pt idx="3">
                  <c:v>6955.3927959887269</c:v>
                </c:pt>
                <c:pt idx="4">
                  <c:v>12943.301809661567</c:v>
                </c:pt>
                <c:pt idx="5">
                  <c:v>24086.211469265192</c:v>
                </c:pt>
                <c:pt idx="6">
                  <c:v>44822.070247107338</c:v>
                </c:pt>
                <c:pt idx="7">
                  <c:v>83409.463700848079</c:v>
                </c:pt>
                <c:pt idx="8">
                  <c:v>155216.80717797912</c:v>
                </c:pt>
                <c:pt idx="9">
                  <c:v>288843.20988963515</c:v>
                </c:pt>
              </c:numCache>
            </c:numRef>
          </c:yVal>
          <c:smooth val="1"/>
        </c:ser>
        <c:dLbls>
          <c:showLegendKey val="0"/>
          <c:showVal val="0"/>
          <c:showCatName val="0"/>
          <c:showSerName val="0"/>
          <c:showPercent val="0"/>
          <c:showBubbleSize val="0"/>
        </c:dLbls>
        <c:axId val="291270592"/>
        <c:axId val="154395200"/>
      </c:scatterChart>
      <c:valAx>
        <c:axId val="291270592"/>
        <c:scaling>
          <c:orientation val="minMax"/>
          <c:max val="10"/>
          <c:min val="1"/>
        </c:scaling>
        <c:delete val="0"/>
        <c:axPos val="b"/>
        <c:title>
          <c:tx>
            <c:rich>
              <a:bodyPr/>
              <a:lstStyle/>
              <a:p>
                <a:pPr>
                  <a:defRPr/>
                </a:pPr>
                <a:r>
                  <a:rPr lang="en-US"/>
                  <a:t>Depth in km</a:t>
                </a:r>
              </a:p>
            </c:rich>
          </c:tx>
          <c:overlay val="0"/>
        </c:title>
        <c:numFmt formatCode="General" sourceLinked="1"/>
        <c:majorTickMark val="out"/>
        <c:minorTickMark val="none"/>
        <c:tickLblPos val="nextTo"/>
        <c:crossAx val="154395200"/>
        <c:crosses val="autoZero"/>
        <c:crossBetween val="midCat"/>
        <c:majorUnit val="1"/>
      </c:valAx>
      <c:valAx>
        <c:axId val="154395200"/>
        <c:scaling>
          <c:orientation val="minMax"/>
          <c:max val="250000"/>
        </c:scaling>
        <c:delete val="0"/>
        <c:axPos val="l"/>
        <c:majorGridlines/>
        <c:title>
          <c:tx>
            <c:rich>
              <a:bodyPr rot="-5400000" vert="horz"/>
              <a:lstStyle/>
              <a:p>
                <a:pPr>
                  <a:defRPr/>
                </a:pPr>
                <a:r>
                  <a:rPr lang="en-US"/>
                  <a:t>Cost in US</a:t>
                </a:r>
                <a:r>
                  <a:rPr lang="en-US" baseline="0"/>
                  <a:t>  2004 (</a:t>
                </a:r>
                <a:r>
                  <a:rPr lang="en-US"/>
                  <a:t>$000 )</a:t>
                </a:r>
              </a:p>
              <a:p>
                <a:pPr>
                  <a:defRPr/>
                </a:pPr>
                <a:endParaRPr lang="en-US"/>
              </a:p>
            </c:rich>
          </c:tx>
          <c:overlay val="0"/>
        </c:title>
        <c:numFmt formatCode="_(* #,##0_);_(* \(#,##0\);_(* &quot;-&quot;??_);_(@_)" sourceLinked="1"/>
        <c:majorTickMark val="out"/>
        <c:minorTickMark val="none"/>
        <c:tickLblPos val="nextTo"/>
        <c:crossAx val="291270592"/>
        <c:crosses val="autoZero"/>
        <c:crossBetween val="midCat"/>
      </c:valAx>
    </c:plotArea>
    <c:legend>
      <c:legendPos val="r"/>
      <c:overlay val="0"/>
    </c:legend>
    <c:plotVisOnly val="1"/>
    <c:dispBlanksAs val="zero"/>
    <c:showDLblsOverMax val="0"/>
  </c:chart>
  <c:printSettings>
    <c:headerFooter/>
    <c:pageMargins b="0.75000000000001199" l="0.70000000000000062" r="0.70000000000000062" t="0.75000000000001199"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v>Well Cost Lite</c:v>
          </c:tx>
          <c:marker>
            <c:symbol val="none"/>
          </c:marker>
          <c:xVal>
            <c:numRef>
              <c:f>'Drill Cost Curves'!$I$56:$I$65</c:f>
              <c:numCache>
                <c:formatCode>General</c:formatCode>
                <c:ptCount val="10"/>
                <c:pt idx="0">
                  <c:v>1.5</c:v>
                </c:pt>
                <c:pt idx="1">
                  <c:v>2.5</c:v>
                </c:pt>
                <c:pt idx="2">
                  <c:v>3</c:v>
                </c:pt>
                <c:pt idx="3">
                  <c:v>4</c:v>
                </c:pt>
                <c:pt idx="4">
                  <c:v>5</c:v>
                </c:pt>
                <c:pt idx="5">
                  <c:v>5</c:v>
                </c:pt>
                <c:pt idx="6">
                  <c:v>6</c:v>
                </c:pt>
                <c:pt idx="7">
                  <c:v>6</c:v>
                </c:pt>
                <c:pt idx="8">
                  <c:v>7.5</c:v>
                </c:pt>
                <c:pt idx="9">
                  <c:v>10</c:v>
                </c:pt>
              </c:numCache>
            </c:numRef>
          </c:xVal>
          <c:yVal>
            <c:numRef>
              <c:f>'Drill Cost Curves'!$K$56:$K$65</c:f>
              <c:numCache>
                <c:formatCode>General</c:formatCode>
                <c:ptCount val="10"/>
                <c:pt idx="0">
                  <c:v>2.2999999999999998</c:v>
                </c:pt>
                <c:pt idx="1">
                  <c:v>3.4</c:v>
                </c:pt>
                <c:pt idx="2">
                  <c:v>4</c:v>
                </c:pt>
                <c:pt idx="3">
                  <c:v>5.2</c:v>
                </c:pt>
                <c:pt idx="4">
                  <c:v>7</c:v>
                </c:pt>
                <c:pt idx="5">
                  <c:v>8.3000000000000007</c:v>
                </c:pt>
                <c:pt idx="6">
                  <c:v>9.6999999999999993</c:v>
                </c:pt>
                <c:pt idx="7">
                  <c:v>12.3</c:v>
                </c:pt>
                <c:pt idx="8">
                  <c:v>14.4</c:v>
                </c:pt>
                <c:pt idx="9">
                  <c:v>20</c:v>
                </c:pt>
              </c:numCache>
            </c:numRef>
          </c:yVal>
          <c:smooth val="1"/>
        </c:ser>
        <c:ser>
          <c:idx val="1"/>
          <c:order val="1"/>
          <c:tx>
            <c:v>Appendix 6.1</c:v>
          </c:tx>
          <c:marker>
            <c:symbol val="none"/>
          </c:marker>
          <c:xVal>
            <c:numRef>
              <c:f>'Drill Cost Curves'!$C$70:$C$78</c:f>
              <c:numCache>
                <c:formatCode>General</c:formatCode>
                <c:ptCount val="9"/>
                <c:pt idx="0">
                  <c:v>0.54900000000000004</c:v>
                </c:pt>
                <c:pt idx="1">
                  <c:v>0.96499999999999997</c:v>
                </c:pt>
                <c:pt idx="2">
                  <c:v>1.331</c:v>
                </c:pt>
                <c:pt idx="3">
                  <c:v>1.913</c:v>
                </c:pt>
                <c:pt idx="4">
                  <c:v>2.6360000000000001</c:v>
                </c:pt>
                <c:pt idx="5">
                  <c:v>3.375</c:v>
                </c:pt>
                <c:pt idx="6">
                  <c:v>4.1029999999999998</c:v>
                </c:pt>
                <c:pt idx="7">
                  <c:v>4.8419999999999996</c:v>
                </c:pt>
                <c:pt idx="8">
                  <c:v>5.6289999999999996</c:v>
                </c:pt>
              </c:numCache>
            </c:numRef>
          </c:xVal>
          <c:yVal>
            <c:numRef>
              <c:f>'Drill Cost Curves'!$D$70:$D$78</c:f>
              <c:numCache>
                <c:formatCode>General</c:formatCode>
                <c:ptCount val="9"/>
                <c:pt idx="0">
                  <c:v>0.30399999999999999</c:v>
                </c:pt>
                <c:pt idx="1">
                  <c:v>0.36399999999999999</c:v>
                </c:pt>
                <c:pt idx="2">
                  <c:v>0.41599999999999998</c:v>
                </c:pt>
                <c:pt idx="3">
                  <c:v>8.6800000000000002E-2</c:v>
                </c:pt>
                <c:pt idx="4">
                  <c:v>1.9750000000000001</c:v>
                </c:pt>
                <c:pt idx="5">
                  <c:v>3.4119999999999999</c:v>
                </c:pt>
                <c:pt idx="6">
                  <c:v>5.5270000000000001</c:v>
                </c:pt>
                <c:pt idx="7">
                  <c:v>7.57</c:v>
                </c:pt>
                <c:pt idx="8">
                  <c:v>9.4139999999999997</c:v>
                </c:pt>
              </c:numCache>
            </c:numRef>
          </c:yVal>
          <c:smooth val="1"/>
        </c:ser>
        <c:dLbls>
          <c:showLegendKey val="0"/>
          <c:showVal val="0"/>
          <c:showCatName val="0"/>
          <c:showSerName val="0"/>
          <c:showPercent val="0"/>
          <c:showBubbleSize val="0"/>
        </c:dLbls>
        <c:axId val="154402112"/>
        <c:axId val="168943616"/>
      </c:scatterChart>
      <c:valAx>
        <c:axId val="154402112"/>
        <c:scaling>
          <c:orientation val="minMax"/>
          <c:max val="10"/>
        </c:scaling>
        <c:delete val="0"/>
        <c:axPos val="b"/>
        <c:title>
          <c:tx>
            <c:rich>
              <a:bodyPr/>
              <a:lstStyle/>
              <a:p>
                <a:pPr>
                  <a:defRPr/>
                </a:pPr>
                <a:r>
                  <a:rPr lang="en-US"/>
                  <a:t>Depth km</a:t>
                </a:r>
              </a:p>
            </c:rich>
          </c:tx>
          <c:overlay val="0"/>
        </c:title>
        <c:numFmt formatCode="General" sourceLinked="1"/>
        <c:majorTickMark val="out"/>
        <c:minorTickMark val="none"/>
        <c:tickLblPos val="nextTo"/>
        <c:crossAx val="168943616"/>
        <c:crosses val="autoZero"/>
        <c:crossBetween val="midCat"/>
      </c:valAx>
      <c:valAx>
        <c:axId val="168943616"/>
        <c:scaling>
          <c:orientation val="minMax"/>
        </c:scaling>
        <c:delete val="0"/>
        <c:axPos val="l"/>
        <c:majorGridlines/>
        <c:title>
          <c:tx>
            <c:rich>
              <a:bodyPr rot="-5400000" vert="horz"/>
              <a:lstStyle/>
              <a:p>
                <a:pPr>
                  <a:defRPr/>
                </a:pPr>
                <a:r>
                  <a:rPr lang="en-US"/>
                  <a:t>Cost Year 2004 $Millions</a:t>
                </a:r>
              </a:p>
            </c:rich>
          </c:tx>
          <c:overlay val="0"/>
        </c:title>
        <c:numFmt formatCode="General" sourceLinked="1"/>
        <c:majorTickMark val="out"/>
        <c:minorTickMark val="none"/>
        <c:tickLblPos val="nextTo"/>
        <c:crossAx val="154402112"/>
        <c:crosses val="autoZero"/>
        <c:crossBetween val="midCat"/>
      </c:valAx>
    </c:plotArea>
    <c:legend>
      <c:legendPos val="r"/>
      <c:overlay val="0"/>
    </c:legend>
    <c:plotVisOnly val="1"/>
    <c:dispBlanksAs val="gap"/>
    <c:showDLblsOverMax val="0"/>
  </c:chart>
  <c:printSettings>
    <c:headerFooter/>
    <c:pageMargins b="0.75000000000001155" l="0.70000000000000062" r="0.70000000000000062" t="0.7500000000000115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smoothMarker"/>
        <c:varyColors val="0"/>
        <c:ser>
          <c:idx val="0"/>
          <c:order val="0"/>
          <c:tx>
            <c:v>Appendix 6.1 Well Cost </c:v>
          </c:tx>
          <c:marker>
            <c:symbol val="none"/>
          </c:marker>
          <c:xVal>
            <c:numRef>
              <c:f>'Drill Cost Curves'!$C$70:$C$78</c:f>
              <c:numCache>
                <c:formatCode>General</c:formatCode>
                <c:ptCount val="9"/>
                <c:pt idx="0">
                  <c:v>0.54900000000000004</c:v>
                </c:pt>
                <c:pt idx="1">
                  <c:v>0.96499999999999997</c:v>
                </c:pt>
                <c:pt idx="2">
                  <c:v>1.331</c:v>
                </c:pt>
                <c:pt idx="3">
                  <c:v>1.913</c:v>
                </c:pt>
                <c:pt idx="4">
                  <c:v>2.6360000000000001</c:v>
                </c:pt>
                <c:pt idx="5">
                  <c:v>3.375</c:v>
                </c:pt>
                <c:pt idx="6">
                  <c:v>4.1029999999999998</c:v>
                </c:pt>
                <c:pt idx="7">
                  <c:v>4.8419999999999996</c:v>
                </c:pt>
                <c:pt idx="8">
                  <c:v>5.6289999999999996</c:v>
                </c:pt>
              </c:numCache>
            </c:numRef>
          </c:xVal>
          <c:yVal>
            <c:numRef>
              <c:f>'Drill Cost Curves'!$D$70:$D$78</c:f>
              <c:numCache>
                <c:formatCode>General</c:formatCode>
                <c:ptCount val="9"/>
                <c:pt idx="0">
                  <c:v>0.30399999999999999</c:v>
                </c:pt>
                <c:pt idx="1">
                  <c:v>0.36399999999999999</c:v>
                </c:pt>
                <c:pt idx="2">
                  <c:v>0.41599999999999998</c:v>
                </c:pt>
                <c:pt idx="3">
                  <c:v>8.6800000000000002E-2</c:v>
                </c:pt>
                <c:pt idx="4">
                  <c:v>1.9750000000000001</c:v>
                </c:pt>
                <c:pt idx="5">
                  <c:v>3.4119999999999999</c:v>
                </c:pt>
                <c:pt idx="6">
                  <c:v>5.5270000000000001</c:v>
                </c:pt>
                <c:pt idx="7">
                  <c:v>7.57</c:v>
                </c:pt>
                <c:pt idx="8">
                  <c:v>9.4139999999999997</c:v>
                </c:pt>
              </c:numCache>
            </c:numRef>
          </c:yVal>
          <c:smooth val="1"/>
        </c:ser>
        <c:dLbls>
          <c:showLegendKey val="0"/>
          <c:showVal val="0"/>
          <c:showCatName val="0"/>
          <c:showSerName val="0"/>
          <c:showPercent val="0"/>
          <c:showBubbleSize val="0"/>
        </c:dLbls>
        <c:axId val="168947072"/>
        <c:axId val="168947648"/>
      </c:scatterChart>
      <c:valAx>
        <c:axId val="168947072"/>
        <c:scaling>
          <c:orientation val="minMax"/>
        </c:scaling>
        <c:delete val="0"/>
        <c:axPos val="b"/>
        <c:title>
          <c:tx>
            <c:rich>
              <a:bodyPr/>
              <a:lstStyle/>
              <a:p>
                <a:pPr>
                  <a:defRPr/>
                </a:pPr>
                <a:r>
                  <a:rPr lang="en-US"/>
                  <a:t>Depth km</a:t>
                </a:r>
              </a:p>
            </c:rich>
          </c:tx>
          <c:overlay val="0"/>
        </c:title>
        <c:numFmt formatCode="General" sourceLinked="1"/>
        <c:majorTickMark val="out"/>
        <c:minorTickMark val="none"/>
        <c:tickLblPos val="nextTo"/>
        <c:crossAx val="168947648"/>
        <c:crosses val="autoZero"/>
        <c:crossBetween val="midCat"/>
        <c:majorUnit val="1"/>
      </c:valAx>
      <c:valAx>
        <c:axId val="168947648"/>
        <c:scaling>
          <c:orientation val="minMax"/>
        </c:scaling>
        <c:delete val="0"/>
        <c:axPos val="l"/>
        <c:majorGridlines/>
        <c:title>
          <c:tx>
            <c:rich>
              <a:bodyPr rot="-5400000" vert="horz"/>
              <a:lstStyle/>
              <a:p>
                <a:pPr>
                  <a:defRPr/>
                </a:pPr>
                <a:r>
                  <a:rPr lang="en-US"/>
                  <a:t>Cost 2004 $Millions</a:t>
                </a:r>
              </a:p>
            </c:rich>
          </c:tx>
          <c:overlay val="0"/>
        </c:title>
        <c:numFmt formatCode="General" sourceLinked="1"/>
        <c:majorTickMark val="out"/>
        <c:minorTickMark val="none"/>
        <c:tickLblPos val="nextTo"/>
        <c:crossAx val="168947072"/>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Drilling Cost Estimates</a:t>
            </a:r>
          </a:p>
        </c:rich>
      </c:tx>
      <c:overlay val="0"/>
    </c:title>
    <c:autoTitleDeleted val="0"/>
    <c:plotArea>
      <c:layout/>
      <c:scatterChart>
        <c:scatterStyle val="smoothMarker"/>
        <c:varyColors val="0"/>
        <c:ser>
          <c:idx val="0"/>
          <c:order val="0"/>
          <c:tx>
            <c:v>Low Cost</c:v>
          </c:tx>
          <c:marker>
            <c:symbol val="none"/>
          </c:marker>
          <c:xVal>
            <c:numLit>
              <c:formatCode>General</c:formatCode>
              <c:ptCount val="10"/>
              <c:pt idx="0">
                <c:v>1</c:v>
              </c:pt>
              <c:pt idx="1">
                <c:v>2</c:v>
              </c:pt>
              <c:pt idx="2">
                <c:v>3</c:v>
              </c:pt>
              <c:pt idx="3">
                <c:v>4</c:v>
              </c:pt>
              <c:pt idx="4">
                <c:v>5</c:v>
              </c:pt>
              <c:pt idx="5">
                <c:v>6</c:v>
              </c:pt>
              <c:pt idx="6">
                <c:v>7</c:v>
              </c:pt>
              <c:pt idx="7">
                <c:v>8</c:v>
              </c:pt>
              <c:pt idx="8">
                <c:v>9</c:v>
              </c:pt>
              <c:pt idx="9">
                <c:v>10</c:v>
              </c:pt>
            </c:numLit>
          </c:xVal>
          <c:yVal>
            <c:numLit>
              <c:formatCode>General</c:formatCode>
              <c:ptCount val="10"/>
              <c:pt idx="0">
                <c:v>856.44551957616738</c:v>
              </c:pt>
              <c:pt idx="1">
                <c:v>1264.6533241415357</c:v>
              </c:pt>
              <c:pt idx="2">
                <c:v>1867.4252987553873</c:v>
              </c:pt>
              <c:pt idx="3">
                <c:v>2757.4966039004084</c:v>
              </c:pt>
              <c:pt idx="4">
                <c:v>4071.8027787189681</c:v>
              </c:pt>
              <c:pt idx="5">
                <c:v>6012.5469766062897</c:v>
              </c:pt>
              <c:pt idx="6">
                <c:v>8878.3084816477276</c:v>
              </c:pt>
              <c:pt idx="7">
                <c:v>13109.978483659108</c:v>
              </c:pt>
              <c:pt idx="8">
                <c:v>19358.590231154823</c:v>
              </c:pt>
              <c:pt idx="9">
                <c:v>28585.479084109505</c:v>
              </c:pt>
            </c:numLit>
          </c:yVal>
          <c:smooth val="1"/>
        </c:ser>
        <c:ser>
          <c:idx val="1"/>
          <c:order val="1"/>
          <c:tx>
            <c:v>Medium Cost</c:v>
          </c:tx>
          <c:marker>
            <c:symbol val="none"/>
          </c:marker>
          <c:xVal>
            <c:numLit>
              <c:formatCode>General</c:formatCode>
              <c:ptCount val="10"/>
              <c:pt idx="0">
                <c:v>1</c:v>
              </c:pt>
              <c:pt idx="1">
                <c:v>2</c:v>
              </c:pt>
              <c:pt idx="2">
                <c:v>3</c:v>
              </c:pt>
              <c:pt idx="3">
                <c:v>4</c:v>
              </c:pt>
              <c:pt idx="4">
                <c:v>5</c:v>
              </c:pt>
              <c:pt idx="5">
                <c:v>6</c:v>
              </c:pt>
              <c:pt idx="6">
                <c:v>7</c:v>
              </c:pt>
              <c:pt idx="7">
                <c:v>8</c:v>
              </c:pt>
              <c:pt idx="8">
                <c:v>9</c:v>
              </c:pt>
              <c:pt idx="9">
                <c:v>10</c:v>
              </c:pt>
            </c:numLit>
          </c:xVal>
          <c:yVal>
            <c:numLit>
              <c:formatCode>General</c:formatCode>
              <c:ptCount val="10"/>
              <c:pt idx="0">
                <c:v>945.64929247061013</c:v>
              </c:pt>
              <c:pt idx="1">
                <c:v>1541.8148006037334</c:v>
              </c:pt>
              <c:pt idx="2">
                <c:v>2513.8208195028201</c:v>
              </c:pt>
              <c:pt idx="3">
                <c:v>4098.6084126909145</c:v>
              </c:pt>
              <c:pt idx="4">
                <c:v>6682.4933544400928</c:v>
              </c:pt>
              <c:pt idx="5">
                <c:v>10895.336400975566</c:v>
              </c:pt>
              <c:pt idx="6">
                <c:v>17764.081308296249</c:v>
              </c:pt>
              <c:pt idx="7">
                <c:v>28963.087794104729</c:v>
              </c:pt>
              <c:pt idx="8">
                <c:v>47222.281862516051</c:v>
              </c:pt>
              <c:pt idx="9">
                <c:v>76992.616262303447</c:v>
              </c:pt>
            </c:numLit>
          </c:yVal>
          <c:smooth val="1"/>
        </c:ser>
        <c:ser>
          <c:idx val="2"/>
          <c:order val="2"/>
          <c:tx>
            <c:v>High Cost</c:v>
          </c:tx>
          <c:marker>
            <c:symbol val="none"/>
          </c:marker>
          <c:xVal>
            <c:numLit>
              <c:formatCode>General</c:formatCode>
              <c:ptCount val="10"/>
              <c:pt idx="0">
                <c:v>1</c:v>
              </c:pt>
              <c:pt idx="1">
                <c:v>2</c:v>
              </c:pt>
              <c:pt idx="2">
                <c:v>3</c:v>
              </c:pt>
              <c:pt idx="3">
                <c:v>4</c:v>
              </c:pt>
              <c:pt idx="4">
                <c:v>5</c:v>
              </c:pt>
              <c:pt idx="5">
                <c:v>6</c:v>
              </c:pt>
              <c:pt idx="6">
                <c:v>7</c:v>
              </c:pt>
              <c:pt idx="7">
                <c:v>8</c:v>
              </c:pt>
              <c:pt idx="8">
                <c:v>9</c:v>
              </c:pt>
              <c:pt idx="9">
                <c:v>10</c:v>
              </c:pt>
            </c:numLit>
          </c:xVal>
          <c:yVal>
            <c:numLit>
              <c:formatCode>General</c:formatCode>
              <c:ptCount val="10"/>
              <c:pt idx="0">
                <c:v>1079.322946927334</c:v>
              </c:pt>
              <c:pt idx="1">
                <c:v>2008.513834075698</c:v>
              </c:pt>
              <c:pt idx="2">
                <c:v>3737.6466729981057</c:v>
              </c:pt>
              <c:pt idx="3">
                <c:v>6955.3927959887269</c:v>
              </c:pt>
              <c:pt idx="4">
                <c:v>12943.301809661565</c:v>
              </c:pt>
              <c:pt idx="5">
                <c:v>24086.211469265192</c:v>
              </c:pt>
              <c:pt idx="6">
                <c:v>44822.070247107338</c:v>
              </c:pt>
              <c:pt idx="7">
                <c:v>83409.463700848093</c:v>
              </c:pt>
              <c:pt idx="8">
                <c:v>155216.80717797912</c:v>
              </c:pt>
              <c:pt idx="9">
                <c:v>288843.20988963521</c:v>
              </c:pt>
            </c:numLit>
          </c:yVal>
          <c:smooth val="1"/>
        </c:ser>
        <c:dLbls>
          <c:showLegendKey val="0"/>
          <c:showVal val="0"/>
          <c:showCatName val="0"/>
          <c:showSerName val="0"/>
          <c:showPercent val="0"/>
          <c:showBubbleSize val="0"/>
        </c:dLbls>
        <c:axId val="168970496"/>
        <c:axId val="168971072"/>
      </c:scatterChart>
      <c:valAx>
        <c:axId val="168970496"/>
        <c:scaling>
          <c:orientation val="minMax"/>
          <c:max val="10"/>
          <c:min val="1"/>
        </c:scaling>
        <c:delete val="0"/>
        <c:axPos val="b"/>
        <c:title>
          <c:tx>
            <c:rich>
              <a:bodyPr/>
              <a:lstStyle/>
              <a:p>
                <a:pPr>
                  <a:defRPr/>
                </a:pPr>
                <a:r>
                  <a:rPr lang="en-US"/>
                  <a:t>Depth in km</a:t>
                </a:r>
              </a:p>
            </c:rich>
          </c:tx>
          <c:overlay val="0"/>
        </c:title>
        <c:numFmt formatCode="General" sourceLinked="1"/>
        <c:majorTickMark val="out"/>
        <c:minorTickMark val="none"/>
        <c:tickLblPos val="nextTo"/>
        <c:crossAx val="168971072"/>
        <c:crosses val="autoZero"/>
        <c:crossBetween val="midCat"/>
        <c:majorUnit val="1"/>
      </c:valAx>
      <c:valAx>
        <c:axId val="168971072"/>
        <c:scaling>
          <c:orientation val="minMax"/>
          <c:max val="250000"/>
        </c:scaling>
        <c:delete val="0"/>
        <c:axPos val="l"/>
        <c:majorGridlines/>
        <c:title>
          <c:tx>
            <c:rich>
              <a:bodyPr rot="-5400000" vert="horz"/>
              <a:lstStyle/>
              <a:p>
                <a:pPr>
                  <a:defRPr/>
                </a:pPr>
                <a:r>
                  <a:rPr lang="en-US"/>
                  <a:t>Cost in US</a:t>
                </a:r>
                <a:r>
                  <a:rPr lang="en-US" baseline="0"/>
                  <a:t>  2004 (</a:t>
                </a:r>
                <a:r>
                  <a:rPr lang="en-US"/>
                  <a:t>$000 )</a:t>
                </a:r>
              </a:p>
              <a:p>
                <a:pPr>
                  <a:defRPr/>
                </a:pPr>
                <a:endParaRPr lang="en-US"/>
              </a:p>
            </c:rich>
          </c:tx>
          <c:overlay val="0"/>
        </c:title>
        <c:numFmt formatCode="General" sourceLinked="1"/>
        <c:majorTickMark val="out"/>
        <c:minorTickMark val="none"/>
        <c:tickLblPos val="nextTo"/>
        <c:crossAx val="168970496"/>
        <c:crosses val="autoZero"/>
        <c:crossBetween val="midCat"/>
      </c:valAx>
    </c:plotArea>
    <c:legend>
      <c:legendPos val="r"/>
      <c:overlay val="0"/>
    </c:legend>
    <c:plotVisOnly val="1"/>
    <c:dispBlanksAs val="zero"/>
    <c:showDLblsOverMax val="0"/>
  </c:chart>
  <c:printSettings>
    <c:headerFooter/>
    <c:pageMargins b="0.75000000000001033" l="0.70000000000000062" r="0.70000000000000062" t="0.75000000000001033"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v>Well Cost Lite</c:v>
          </c:tx>
          <c:marker>
            <c:symbol val="none"/>
          </c:marker>
          <c:xVal>
            <c:numLit>
              <c:formatCode>General</c:formatCode>
              <c:ptCount val="10"/>
              <c:pt idx="0">
                <c:v>1.5</c:v>
              </c:pt>
              <c:pt idx="1">
                <c:v>2.5</c:v>
              </c:pt>
              <c:pt idx="2">
                <c:v>3</c:v>
              </c:pt>
              <c:pt idx="3">
                <c:v>4</c:v>
              </c:pt>
              <c:pt idx="4">
                <c:v>5</c:v>
              </c:pt>
              <c:pt idx="5">
                <c:v>5</c:v>
              </c:pt>
              <c:pt idx="6">
                <c:v>6</c:v>
              </c:pt>
              <c:pt idx="7">
                <c:v>6</c:v>
              </c:pt>
              <c:pt idx="8">
                <c:v>7.5</c:v>
              </c:pt>
              <c:pt idx="9">
                <c:v>10</c:v>
              </c:pt>
            </c:numLit>
          </c:xVal>
          <c:yVal>
            <c:numLit>
              <c:formatCode>General</c:formatCode>
              <c:ptCount val="10"/>
              <c:pt idx="0">
                <c:v>2.2999999999999998</c:v>
              </c:pt>
              <c:pt idx="1">
                <c:v>3.4</c:v>
              </c:pt>
              <c:pt idx="2">
                <c:v>4</c:v>
              </c:pt>
              <c:pt idx="3">
                <c:v>5.2</c:v>
              </c:pt>
              <c:pt idx="4">
                <c:v>7</c:v>
              </c:pt>
              <c:pt idx="5">
                <c:v>8.3000000000000007</c:v>
              </c:pt>
              <c:pt idx="6">
                <c:v>9.7000000000000011</c:v>
              </c:pt>
              <c:pt idx="7">
                <c:v>12.3</c:v>
              </c:pt>
              <c:pt idx="8">
                <c:v>14.4</c:v>
              </c:pt>
              <c:pt idx="9">
                <c:v>20</c:v>
              </c:pt>
            </c:numLit>
          </c:yVal>
          <c:smooth val="1"/>
        </c:ser>
        <c:ser>
          <c:idx val="1"/>
          <c:order val="1"/>
          <c:tx>
            <c:v>Appendix 6.1</c:v>
          </c:tx>
          <c:marker>
            <c:symbol val="none"/>
          </c:marker>
          <c:xVal>
            <c:numLit>
              <c:formatCode>General</c:formatCode>
              <c:ptCount val="9"/>
              <c:pt idx="0">
                <c:v>0.54900000000000004</c:v>
              </c:pt>
              <c:pt idx="1">
                <c:v>0.96500000000000008</c:v>
              </c:pt>
              <c:pt idx="2">
                <c:v>1.331</c:v>
              </c:pt>
              <c:pt idx="3">
                <c:v>1.913</c:v>
              </c:pt>
              <c:pt idx="4">
                <c:v>2.6359999999999997</c:v>
              </c:pt>
              <c:pt idx="5">
                <c:v>3.3749999999999996</c:v>
              </c:pt>
              <c:pt idx="6">
                <c:v>4.1029999999999989</c:v>
              </c:pt>
              <c:pt idx="7">
                <c:v>4.8419999999999996</c:v>
              </c:pt>
              <c:pt idx="8">
                <c:v>5.6289999999999987</c:v>
              </c:pt>
            </c:numLit>
          </c:xVal>
          <c:yVal>
            <c:numLit>
              <c:formatCode>General</c:formatCode>
              <c:ptCount val="9"/>
              <c:pt idx="0">
                <c:v>0.3040000000000001</c:v>
              </c:pt>
              <c:pt idx="1">
                <c:v>0.3640000000000001</c:v>
              </c:pt>
              <c:pt idx="2">
                <c:v>0.41600000000000004</c:v>
              </c:pt>
              <c:pt idx="3">
                <c:v>8.6800000000000002E-2</c:v>
              </c:pt>
              <c:pt idx="4">
                <c:v>1.9750000000000001</c:v>
              </c:pt>
              <c:pt idx="5">
                <c:v>3.4119999999999995</c:v>
              </c:pt>
              <c:pt idx="6">
                <c:v>5.5269999999999992</c:v>
              </c:pt>
              <c:pt idx="7">
                <c:v>7.57</c:v>
              </c:pt>
              <c:pt idx="8">
                <c:v>9.4140000000000015</c:v>
              </c:pt>
            </c:numLit>
          </c:yVal>
          <c:smooth val="1"/>
        </c:ser>
        <c:dLbls>
          <c:showLegendKey val="0"/>
          <c:showVal val="0"/>
          <c:showCatName val="0"/>
          <c:showSerName val="0"/>
          <c:showPercent val="0"/>
          <c:showBubbleSize val="0"/>
        </c:dLbls>
        <c:axId val="168974528"/>
        <c:axId val="168975104"/>
      </c:scatterChart>
      <c:valAx>
        <c:axId val="168974528"/>
        <c:scaling>
          <c:orientation val="minMax"/>
          <c:max val="10"/>
        </c:scaling>
        <c:delete val="0"/>
        <c:axPos val="b"/>
        <c:title>
          <c:tx>
            <c:rich>
              <a:bodyPr/>
              <a:lstStyle/>
              <a:p>
                <a:pPr>
                  <a:defRPr/>
                </a:pPr>
                <a:r>
                  <a:rPr lang="en-US"/>
                  <a:t>Depth km</a:t>
                </a:r>
              </a:p>
            </c:rich>
          </c:tx>
          <c:overlay val="0"/>
        </c:title>
        <c:numFmt formatCode="General" sourceLinked="1"/>
        <c:majorTickMark val="out"/>
        <c:minorTickMark val="none"/>
        <c:tickLblPos val="nextTo"/>
        <c:crossAx val="168975104"/>
        <c:crosses val="autoZero"/>
        <c:crossBetween val="midCat"/>
      </c:valAx>
      <c:valAx>
        <c:axId val="168975104"/>
        <c:scaling>
          <c:orientation val="minMax"/>
        </c:scaling>
        <c:delete val="0"/>
        <c:axPos val="l"/>
        <c:majorGridlines/>
        <c:title>
          <c:tx>
            <c:rich>
              <a:bodyPr rot="-5400000" vert="horz"/>
              <a:lstStyle/>
              <a:p>
                <a:pPr>
                  <a:defRPr/>
                </a:pPr>
                <a:r>
                  <a:rPr lang="en-US"/>
                  <a:t>Cost Year 2004 $Millions</a:t>
                </a:r>
              </a:p>
            </c:rich>
          </c:tx>
          <c:overlay val="0"/>
        </c:title>
        <c:numFmt formatCode="General" sourceLinked="1"/>
        <c:majorTickMark val="out"/>
        <c:minorTickMark val="none"/>
        <c:tickLblPos val="nextTo"/>
        <c:crossAx val="168974528"/>
        <c:crosses val="autoZero"/>
        <c:crossBetween val="midCat"/>
      </c:valAx>
    </c:plotArea>
    <c:legend>
      <c:legendPos val="r"/>
      <c:overlay val="0"/>
    </c:legend>
    <c:plotVisOnly val="1"/>
    <c:dispBlanksAs val="gap"/>
    <c:showDLblsOverMax val="0"/>
  </c:chart>
  <c:printSettings>
    <c:headerFooter/>
    <c:pageMargins b="0.75000000000000988" l="0.70000000000000062" r="0.70000000000000062" t="0.75000000000000988"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smoothMarker"/>
        <c:varyColors val="0"/>
        <c:ser>
          <c:idx val="0"/>
          <c:order val="0"/>
          <c:tx>
            <c:v>Appendix 6.1 Well Cost </c:v>
          </c:tx>
          <c:marker>
            <c:symbol val="none"/>
          </c:marker>
          <c:xVal>
            <c:numLit>
              <c:formatCode>General</c:formatCode>
              <c:ptCount val="9"/>
              <c:pt idx="0">
                <c:v>0.54900000000000004</c:v>
              </c:pt>
              <c:pt idx="1">
                <c:v>0.96500000000000008</c:v>
              </c:pt>
              <c:pt idx="2">
                <c:v>1.331</c:v>
              </c:pt>
              <c:pt idx="3">
                <c:v>1.913</c:v>
              </c:pt>
              <c:pt idx="4">
                <c:v>2.6359999999999997</c:v>
              </c:pt>
              <c:pt idx="5">
                <c:v>3.3749999999999996</c:v>
              </c:pt>
              <c:pt idx="6">
                <c:v>4.1029999999999989</c:v>
              </c:pt>
              <c:pt idx="7">
                <c:v>4.8419999999999996</c:v>
              </c:pt>
              <c:pt idx="8">
                <c:v>5.6289999999999987</c:v>
              </c:pt>
            </c:numLit>
          </c:xVal>
          <c:yVal>
            <c:numLit>
              <c:formatCode>General</c:formatCode>
              <c:ptCount val="9"/>
              <c:pt idx="0">
                <c:v>0.3040000000000001</c:v>
              </c:pt>
              <c:pt idx="1">
                <c:v>0.3640000000000001</c:v>
              </c:pt>
              <c:pt idx="2">
                <c:v>0.41600000000000004</c:v>
              </c:pt>
              <c:pt idx="3">
                <c:v>8.6800000000000002E-2</c:v>
              </c:pt>
              <c:pt idx="4">
                <c:v>1.9750000000000001</c:v>
              </c:pt>
              <c:pt idx="5">
                <c:v>3.4119999999999995</c:v>
              </c:pt>
              <c:pt idx="6">
                <c:v>5.5269999999999992</c:v>
              </c:pt>
              <c:pt idx="7">
                <c:v>7.57</c:v>
              </c:pt>
              <c:pt idx="8">
                <c:v>9.4140000000000015</c:v>
              </c:pt>
            </c:numLit>
          </c:yVal>
          <c:smooth val="1"/>
        </c:ser>
        <c:dLbls>
          <c:showLegendKey val="0"/>
          <c:showVal val="0"/>
          <c:showCatName val="0"/>
          <c:showSerName val="0"/>
          <c:showPercent val="0"/>
          <c:showBubbleSize val="0"/>
        </c:dLbls>
        <c:axId val="288540352"/>
        <c:axId val="288540928"/>
      </c:scatterChart>
      <c:valAx>
        <c:axId val="288540352"/>
        <c:scaling>
          <c:orientation val="minMax"/>
        </c:scaling>
        <c:delete val="0"/>
        <c:axPos val="b"/>
        <c:title>
          <c:tx>
            <c:rich>
              <a:bodyPr/>
              <a:lstStyle/>
              <a:p>
                <a:pPr>
                  <a:defRPr/>
                </a:pPr>
                <a:r>
                  <a:rPr lang="en-US"/>
                  <a:t>Depth km</a:t>
                </a:r>
              </a:p>
            </c:rich>
          </c:tx>
          <c:overlay val="0"/>
        </c:title>
        <c:numFmt formatCode="General" sourceLinked="1"/>
        <c:majorTickMark val="out"/>
        <c:minorTickMark val="none"/>
        <c:tickLblPos val="nextTo"/>
        <c:crossAx val="288540928"/>
        <c:crosses val="autoZero"/>
        <c:crossBetween val="midCat"/>
        <c:majorUnit val="1"/>
      </c:valAx>
      <c:valAx>
        <c:axId val="288540928"/>
        <c:scaling>
          <c:orientation val="minMax"/>
        </c:scaling>
        <c:delete val="0"/>
        <c:axPos val="l"/>
        <c:majorGridlines/>
        <c:title>
          <c:tx>
            <c:rich>
              <a:bodyPr rot="-5400000" vert="horz"/>
              <a:lstStyle/>
              <a:p>
                <a:pPr>
                  <a:defRPr/>
                </a:pPr>
                <a:r>
                  <a:rPr lang="en-US"/>
                  <a:t>Cost 2004 $Millions</a:t>
                </a:r>
              </a:p>
            </c:rich>
          </c:tx>
          <c:overlay val="0"/>
        </c:title>
        <c:numFmt formatCode="General" sourceLinked="1"/>
        <c:majorTickMark val="out"/>
        <c:minorTickMark val="none"/>
        <c:tickLblPos val="nextTo"/>
        <c:crossAx val="288540352"/>
        <c:crosses val="autoZero"/>
        <c:crossBetween val="midCat"/>
      </c:valAx>
    </c:plotArea>
    <c:legend>
      <c:legendPos val="r"/>
      <c:overlay val="0"/>
    </c:legend>
    <c:plotVisOnly val="1"/>
    <c:dispBlanksAs val="gap"/>
    <c:showDLblsOverMax val="0"/>
  </c:chart>
  <c:printSettings>
    <c:headerFooter/>
    <c:pageMargins b="0.75000000000000977" l="0.70000000000000062" r="0.70000000000000062" t="0.75000000000000977"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Drilling costs to 20,000 feet</a:t>
            </a:r>
          </a:p>
        </c:rich>
      </c:tx>
      <c:overlay val="0"/>
    </c:title>
    <c:autoTitleDeleted val="0"/>
    <c:plotArea>
      <c:layout>
        <c:manualLayout>
          <c:layoutTarget val="inner"/>
          <c:xMode val="edge"/>
          <c:yMode val="edge"/>
          <c:x val="0.16417879555817855"/>
          <c:y val="0.10598488284712261"/>
          <c:w val="0.57700891022095968"/>
          <c:h val="0.75879115136253383"/>
        </c:manualLayout>
      </c:layout>
      <c:scatterChart>
        <c:scatterStyle val="smoothMarker"/>
        <c:varyColors val="0"/>
        <c:ser>
          <c:idx val="5"/>
          <c:order val="5"/>
          <c:tx>
            <c:v>Low Cost</c:v>
          </c:tx>
          <c:marker>
            <c:symbol val="none"/>
          </c:marker>
          <c:xVal>
            <c:numLit>
              <c:formatCode>General</c:formatCode>
              <c:ptCount val="100"/>
              <c:pt idx="0">
                <c:v>250</c:v>
              </c:pt>
              <c:pt idx="1">
                <c:v>500</c:v>
              </c:pt>
              <c:pt idx="2">
                <c:v>750</c:v>
              </c:pt>
              <c:pt idx="3">
                <c:v>1000</c:v>
              </c:pt>
              <c:pt idx="4">
                <c:v>1250</c:v>
              </c:pt>
              <c:pt idx="5">
                <c:v>1500</c:v>
              </c:pt>
              <c:pt idx="6">
                <c:v>1750</c:v>
              </c:pt>
              <c:pt idx="7">
                <c:v>2000</c:v>
              </c:pt>
              <c:pt idx="8">
                <c:v>2250</c:v>
              </c:pt>
              <c:pt idx="9">
                <c:v>2500</c:v>
              </c:pt>
              <c:pt idx="10">
                <c:v>2750</c:v>
              </c:pt>
              <c:pt idx="11">
                <c:v>3000</c:v>
              </c:pt>
              <c:pt idx="12">
                <c:v>3250</c:v>
              </c:pt>
              <c:pt idx="13">
                <c:v>3500</c:v>
              </c:pt>
              <c:pt idx="14">
                <c:v>3750</c:v>
              </c:pt>
              <c:pt idx="15">
                <c:v>4000</c:v>
              </c:pt>
              <c:pt idx="16">
                <c:v>4250</c:v>
              </c:pt>
              <c:pt idx="17">
                <c:v>4500</c:v>
              </c:pt>
              <c:pt idx="18">
                <c:v>4750</c:v>
              </c:pt>
              <c:pt idx="19">
                <c:v>5000</c:v>
              </c:pt>
              <c:pt idx="20">
                <c:v>5250</c:v>
              </c:pt>
              <c:pt idx="21">
                <c:v>5500</c:v>
              </c:pt>
              <c:pt idx="22">
                <c:v>5750</c:v>
              </c:pt>
              <c:pt idx="23">
                <c:v>6000</c:v>
              </c:pt>
              <c:pt idx="24">
                <c:v>6250</c:v>
              </c:pt>
              <c:pt idx="25">
                <c:v>6500</c:v>
              </c:pt>
              <c:pt idx="26">
                <c:v>6750</c:v>
              </c:pt>
              <c:pt idx="27">
                <c:v>7000</c:v>
              </c:pt>
              <c:pt idx="28">
                <c:v>7250</c:v>
              </c:pt>
              <c:pt idx="29">
                <c:v>7500</c:v>
              </c:pt>
              <c:pt idx="30">
                <c:v>7750</c:v>
              </c:pt>
              <c:pt idx="31">
                <c:v>8000</c:v>
              </c:pt>
              <c:pt idx="32">
                <c:v>8250</c:v>
              </c:pt>
              <c:pt idx="33">
                <c:v>8500</c:v>
              </c:pt>
              <c:pt idx="34">
                <c:v>8750</c:v>
              </c:pt>
              <c:pt idx="35">
                <c:v>9000</c:v>
              </c:pt>
              <c:pt idx="36">
                <c:v>9250</c:v>
              </c:pt>
              <c:pt idx="37">
                <c:v>9500</c:v>
              </c:pt>
              <c:pt idx="38">
                <c:v>9750</c:v>
              </c:pt>
              <c:pt idx="39">
                <c:v>10000</c:v>
              </c:pt>
              <c:pt idx="40">
                <c:v>10250</c:v>
              </c:pt>
              <c:pt idx="41">
                <c:v>10500</c:v>
              </c:pt>
              <c:pt idx="42">
                <c:v>10750</c:v>
              </c:pt>
              <c:pt idx="43">
                <c:v>11000</c:v>
              </c:pt>
              <c:pt idx="44">
                <c:v>11250</c:v>
              </c:pt>
              <c:pt idx="45">
                <c:v>11500</c:v>
              </c:pt>
              <c:pt idx="46">
                <c:v>11750</c:v>
              </c:pt>
              <c:pt idx="47">
                <c:v>12000</c:v>
              </c:pt>
              <c:pt idx="48">
                <c:v>12250</c:v>
              </c:pt>
              <c:pt idx="49">
                <c:v>12500</c:v>
              </c:pt>
              <c:pt idx="50">
                <c:v>12750</c:v>
              </c:pt>
              <c:pt idx="51">
                <c:v>13000</c:v>
              </c:pt>
              <c:pt idx="52">
                <c:v>13250</c:v>
              </c:pt>
              <c:pt idx="53">
                <c:v>13500</c:v>
              </c:pt>
              <c:pt idx="54">
                <c:v>13750</c:v>
              </c:pt>
              <c:pt idx="55">
                <c:v>14000</c:v>
              </c:pt>
              <c:pt idx="56">
                <c:v>14250</c:v>
              </c:pt>
              <c:pt idx="57">
                <c:v>14500</c:v>
              </c:pt>
              <c:pt idx="58">
                <c:v>14750</c:v>
              </c:pt>
              <c:pt idx="59">
                <c:v>15000</c:v>
              </c:pt>
              <c:pt idx="60">
                <c:v>15250</c:v>
              </c:pt>
              <c:pt idx="61">
                <c:v>15500</c:v>
              </c:pt>
              <c:pt idx="62">
                <c:v>15750</c:v>
              </c:pt>
              <c:pt idx="63">
                <c:v>16000</c:v>
              </c:pt>
              <c:pt idx="64">
                <c:v>16250</c:v>
              </c:pt>
              <c:pt idx="65">
                <c:v>16500</c:v>
              </c:pt>
              <c:pt idx="66">
                <c:v>16750</c:v>
              </c:pt>
              <c:pt idx="67">
                <c:v>17000</c:v>
              </c:pt>
              <c:pt idx="68">
                <c:v>17250</c:v>
              </c:pt>
              <c:pt idx="69">
                <c:v>17500</c:v>
              </c:pt>
              <c:pt idx="70">
                <c:v>17750</c:v>
              </c:pt>
              <c:pt idx="71">
                <c:v>18000</c:v>
              </c:pt>
              <c:pt idx="72">
                <c:v>18250</c:v>
              </c:pt>
              <c:pt idx="73">
                <c:v>18500</c:v>
              </c:pt>
              <c:pt idx="74">
                <c:v>18750</c:v>
              </c:pt>
              <c:pt idx="75">
                <c:v>19000</c:v>
              </c:pt>
              <c:pt idx="76">
                <c:v>19250</c:v>
              </c:pt>
              <c:pt idx="77">
                <c:v>19500</c:v>
              </c:pt>
              <c:pt idx="78">
                <c:v>19750</c:v>
              </c:pt>
              <c:pt idx="79">
                <c:v>20000</c:v>
              </c:pt>
              <c:pt idx="80">
                <c:v>20250</c:v>
              </c:pt>
              <c:pt idx="81">
                <c:v>20500</c:v>
              </c:pt>
              <c:pt idx="82">
                <c:v>20750</c:v>
              </c:pt>
              <c:pt idx="83">
                <c:v>21000</c:v>
              </c:pt>
              <c:pt idx="84">
                <c:v>21250</c:v>
              </c:pt>
              <c:pt idx="85">
                <c:v>21500</c:v>
              </c:pt>
              <c:pt idx="86">
                <c:v>21750</c:v>
              </c:pt>
              <c:pt idx="87">
                <c:v>22000</c:v>
              </c:pt>
              <c:pt idx="88">
                <c:v>22250</c:v>
              </c:pt>
              <c:pt idx="89">
                <c:v>22500</c:v>
              </c:pt>
              <c:pt idx="90">
                <c:v>22750</c:v>
              </c:pt>
              <c:pt idx="91">
                <c:v>23000</c:v>
              </c:pt>
              <c:pt idx="92">
                <c:v>23250</c:v>
              </c:pt>
              <c:pt idx="93">
                <c:v>23500</c:v>
              </c:pt>
              <c:pt idx="94">
                <c:v>23750</c:v>
              </c:pt>
              <c:pt idx="95">
                <c:v>24000</c:v>
              </c:pt>
              <c:pt idx="96">
                <c:v>24250</c:v>
              </c:pt>
              <c:pt idx="97">
                <c:v>24500</c:v>
              </c:pt>
              <c:pt idx="98">
                <c:v>24750</c:v>
              </c:pt>
              <c:pt idx="99">
                <c:v>25000</c:v>
              </c:pt>
            </c:numLit>
          </c:xVal>
          <c:yVal>
            <c:numLit>
              <c:formatCode>General</c:formatCode>
              <c:ptCount val="100"/>
              <c:pt idx="0">
                <c:v>1187.7989027026563</c:v>
              </c:pt>
              <c:pt idx="1">
                <c:v>1223.6056279588165</c:v>
              </c:pt>
              <c:pt idx="2">
                <c:v>1260.4917628445473</c:v>
              </c:pt>
              <c:pt idx="3">
                <c:v>1298.4898466423456</c:v>
              </c:pt>
              <c:pt idx="4">
                <c:v>1337.6333995458249</c:v>
              </c:pt>
              <c:pt idx="5">
                <c:v>1377.956952229719</c:v>
              </c:pt>
              <c:pt idx="6">
                <c:v>1419.4960763112781</c:v>
              </c:pt>
              <c:pt idx="7">
                <c:v>1462.2874157299505</c:v>
              </c:pt>
              <c:pt idx="8">
                <c:v>1506.3687190730052</c:v>
              </c:pt>
              <c:pt idx="9">
                <c:v>1551.7788728756343</c:v>
              </c:pt>
              <c:pt idx="10">
                <c:v>1598.557935924897</c:v>
              </c:pt>
              <c:pt idx="11">
                <c:v>1646.7471745977723</c:v>
              </c:pt>
              <c:pt idx="12">
                <c:v>1696.3890992644949</c:v>
              </c:pt>
              <c:pt idx="13">
                <c:v>1747.5275017892832</c:v>
              </c:pt>
              <c:pt idx="14">
                <c:v>1800.2074941615415</c:v>
              </c:pt>
              <c:pt idx="15">
                <c:v>1854.4755482916269</c:v>
              </c:pt>
              <c:pt idx="16">
                <c:v>1910.379537006263</c:v>
              </c:pt>
              <c:pt idx="17">
                <c:v>1967.9687762797885</c:v>
              </c:pt>
              <c:pt idx="18">
                <c:v>2027.2940687384837</c:v>
              </c:pt>
              <c:pt idx="19">
                <c:v>2088.4077484763538</c:v>
              </c:pt>
              <c:pt idx="20">
                <c:v>2151.3637272218984</c:v>
              </c:pt>
              <c:pt idx="21">
                <c:v>2216.2175418966099</c:v>
              </c:pt>
              <c:pt idx="22">
                <c:v>2283.0264036071353</c:v>
              </c:pt>
              <c:pt idx="23">
                <c:v>2351.8492481143294</c:v>
              </c:pt>
              <c:pt idx="24">
                <c:v>2422.7467878237244</c:v>
              </c:pt>
              <c:pt idx="25">
                <c:v>2495.7815653432708</c:v>
              </c:pt>
              <c:pt idx="26">
                <c:v>2571.0180086556015</c:v>
              </c:pt>
              <c:pt idx="27">
                <c:v>2648.5224879534894</c:v>
              </c:pt>
              <c:pt idx="28">
                <c:v>2728.3633741886351</c:v>
              </c:pt>
              <c:pt idx="29">
                <c:v>2810.6110993854313</c:v>
              </c:pt>
              <c:pt idx="30">
                <c:v>2895.3382187729144</c:v>
              </c:pt>
              <c:pt idx="31">
                <c:v>2982.619474789713</c:v>
              </c:pt>
              <c:pt idx="32">
                <c:v>3072.5318630184502</c:v>
              </c:pt>
              <c:pt idx="33">
                <c:v>3165.1547001077697</c:v>
              </c:pt>
              <c:pt idx="34">
                <c:v>3260.569693741902</c:v>
              </c:pt>
              <c:pt idx="35">
                <c:v>3358.8610147194959</c:v>
              </c:pt>
              <c:pt idx="36">
                <c:v>3460.1153712052901</c:v>
              </c:pt>
              <c:pt idx="37">
                <c:v>3564.4220852201456</c:v>
              </c:pt>
              <c:pt idx="38">
                <c:v>3671.8731714369005</c:v>
              </c:pt>
              <c:pt idx="39">
                <c:v>3782.5634183515504</c:v>
              </c:pt>
              <c:pt idx="40">
                <c:v>3896.5904719013906</c:v>
              </c:pt>
              <c:pt idx="41">
                <c:v>4014.0549216038448</c:v>
              </c:pt>
              <c:pt idx="42">
                <c:v>4135.0603892919953</c:v>
              </c:pt>
              <c:pt idx="43">
                <c:v>4259.7136205250927</c:v>
              </c:pt>
              <c:pt idx="44">
                <c:v>4388.1245787546513</c:v>
              </c:pt>
              <c:pt idx="45">
                <c:v>4520.4065423292595</c:v>
              </c:pt>
              <c:pt idx="46">
                <c:v>4656.6762044236139</c:v>
              </c:pt>
              <c:pt idx="47">
                <c:v>4797.0537759799636</c:v>
              </c:pt>
              <c:pt idx="48">
                <c:v>4941.6630917527873</c:v>
              </c:pt>
              <c:pt idx="49">
                <c:v>5090.6317195502124</c:v>
              </c:pt>
              <c:pt idx="50">
                <c:v>5244.0910727685732</c:v>
              </c:pt>
              <c:pt idx="51">
                <c:v>5402.1765263193884</c:v>
              </c:pt>
              <c:pt idx="52">
                <c:v>5565.0275360509759</c:v>
              </c:pt>
              <c:pt idx="53">
                <c:v>5732.787761770116</c:v>
              </c:pt>
              <c:pt idx="54">
                <c:v>5905.6051939722474</c:v>
              </c:pt>
              <c:pt idx="55">
                <c:v>6083.6322843919934</c:v>
              </c:pt>
              <c:pt idx="56">
                <c:v>6267.0260804891959</c:v>
              </c:pt>
              <c:pt idx="57">
                <c:v>6455.9483639891005</c:v>
              </c:pt>
              <c:pt idx="58">
                <c:v>6650.5657935988893</c:v>
              </c:pt>
              <c:pt idx="59">
                <c:v>6851.0500520264504</c:v>
              </c:pt>
              <c:pt idx="60">
                <c:v>7057.5779974311345</c:v>
              </c:pt>
              <c:pt idx="61">
                <c:v>7270.3318194400099</c:v>
              </c:pt>
              <c:pt idx="62">
                <c:v>7489.4991998673513</c:v>
              </c:pt>
              <c:pt idx="63">
                <c:v>7715.2734782790376</c:v>
              </c:pt>
              <c:pt idx="64">
                <c:v>7947.8538225480006</c:v>
              </c:pt>
              <c:pt idx="65">
                <c:v>8187.4454045511229</c:v>
              </c:pt>
              <c:pt idx="66">
                <c:v>8434.2595811626034</c:v>
              </c:pt>
              <c:pt idx="67">
                <c:v>8688.5140807034477</c:v>
              </c:pt>
              <c:pt idx="68">
                <c:v>8950.4331950115647</c:v>
              </c:pt>
              <c:pt idx="69">
                <c:v>9220.2479773018858</c:v>
              </c:pt>
              <c:pt idx="70">
                <c:v>9498.1964459910869</c:v>
              </c:pt>
              <c:pt idx="71">
                <c:v>9784.5237946666894</c:v>
              </c:pt>
              <c:pt idx="72">
                <c:v>10079.482608385768</c:v>
              </c:pt>
              <c:pt idx="73">
                <c:v>10383.333086494067</c:v>
              </c:pt>
              <c:pt idx="74">
                <c:v>10696.343272162148</c:v>
              </c:pt>
              <c:pt idx="75">
                <c:v>11018.789288840924</c:v>
              </c:pt>
              <c:pt idx="76">
                <c:v>11350.955583845333</c:v>
              </c:pt>
              <c:pt idx="77">
                <c:v>11693.135179280924</c:v>
              </c:pt>
              <c:pt idx="78">
                <c:v>12045.629930534677</c:v>
              </c:pt>
              <c:pt idx="79">
                <c:v>12408.75079255825</c:v>
              </c:pt>
              <c:pt idx="80">
                <c:v>12782.818094178347</c:v>
              </c:pt>
              <c:pt idx="81">
                <c:v>13168.161820676389</c:v>
              </c:pt>
              <c:pt idx="82">
                <c:v>13565.121904886584</c:v>
              </c:pt>
              <c:pt idx="83">
                <c:v>13974.048527069355</c:v>
              </c:pt>
              <c:pt idx="84">
                <c:v>14395.302423824542</c:v>
              </c:pt>
              <c:pt idx="85">
                <c:v>14829.255206316931</c:v>
              </c:pt>
              <c:pt idx="86">
                <c:v>15276.289688094863</c:v>
              </c:pt>
              <c:pt idx="87">
                <c:v>15736.800222791037</c:v>
              </c:pt>
              <c:pt idx="88">
                <c:v>16211.193052003498</c:v>
              </c:pt>
              <c:pt idx="89">
                <c:v>16699.886663663605</c:v>
              </c:pt>
              <c:pt idx="90">
                <c:v>17203.312161207195</c:v>
              </c:pt>
              <c:pt idx="91">
                <c:v>17721.913643874603</c:v>
              </c:pt>
              <c:pt idx="92">
                <c:v>18256.148598474887</c:v>
              </c:pt>
              <c:pt idx="93">
                <c:v>18806.488302960093</c:v>
              </c:pt>
              <c:pt idx="94">
                <c:v>19373.418242165346</c:v>
              </c:pt>
              <c:pt idx="95">
                <c:v>19957.438536081674</c:v>
              </c:pt>
              <c:pt idx="96">
                <c:v>20559.064381039276</c:v>
              </c:pt>
              <c:pt idx="97">
                <c:v>21178.826504190416</c:v>
              </c:pt>
              <c:pt idx="98">
                <c:v>21817.271631693009</c:v>
              </c:pt>
              <c:pt idx="99">
                <c:v>22474.962971007721</c:v>
              </c:pt>
            </c:numLit>
          </c:yVal>
          <c:smooth val="1"/>
        </c:ser>
        <c:ser>
          <c:idx val="6"/>
          <c:order val="6"/>
          <c:tx>
            <c:v>Medium Cost</c:v>
          </c:tx>
          <c:marker>
            <c:symbol val="none"/>
          </c:marker>
          <c:xVal>
            <c:numLit>
              <c:formatCode>General</c:formatCode>
              <c:ptCount val="100"/>
              <c:pt idx="0">
                <c:v>250</c:v>
              </c:pt>
              <c:pt idx="1">
                <c:v>500</c:v>
              </c:pt>
              <c:pt idx="2">
                <c:v>750</c:v>
              </c:pt>
              <c:pt idx="3">
                <c:v>1000</c:v>
              </c:pt>
              <c:pt idx="4">
                <c:v>1250</c:v>
              </c:pt>
              <c:pt idx="5">
                <c:v>1500</c:v>
              </c:pt>
              <c:pt idx="6">
                <c:v>1750</c:v>
              </c:pt>
              <c:pt idx="7">
                <c:v>2000</c:v>
              </c:pt>
              <c:pt idx="8">
                <c:v>2250</c:v>
              </c:pt>
              <c:pt idx="9">
                <c:v>2500</c:v>
              </c:pt>
              <c:pt idx="10">
                <c:v>2750</c:v>
              </c:pt>
              <c:pt idx="11">
                <c:v>3000</c:v>
              </c:pt>
              <c:pt idx="12">
                <c:v>3250</c:v>
              </c:pt>
              <c:pt idx="13">
                <c:v>3500</c:v>
              </c:pt>
              <c:pt idx="14">
                <c:v>3750</c:v>
              </c:pt>
              <c:pt idx="15">
                <c:v>4000</c:v>
              </c:pt>
              <c:pt idx="16">
                <c:v>4250</c:v>
              </c:pt>
              <c:pt idx="17">
                <c:v>4500</c:v>
              </c:pt>
              <c:pt idx="18">
                <c:v>4750</c:v>
              </c:pt>
              <c:pt idx="19">
                <c:v>5000</c:v>
              </c:pt>
              <c:pt idx="20">
                <c:v>5250</c:v>
              </c:pt>
              <c:pt idx="21">
                <c:v>5500</c:v>
              </c:pt>
              <c:pt idx="22">
                <c:v>5750</c:v>
              </c:pt>
              <c:pt idx="23">
                <c:v>6000</c:v>
              </c:pt>
              <c:pt idx="24">
                <c:v>6250</c:v>
              </c:pt>
              <c:pt idx="25">
                <c:v>6500</c:v>
              </c:pt>
              <c:pt idx="26">
                <c:v>6750</c:v>
              </c:pt>
              <c:pt idx="27">
                <c:v>7000</c:v>
              </c:pt>
              <c:pt idx="28">
                <c:v>7250</c:v>
              </c:pt>
              <c:pt idx="29">
                <c:v>7500</c:v>
              </c:pt>
              <c:pt idx="30">
                <c:v>7750</c:v>
              </c:pt>
              <c:pt idx="31">
                <c:v>8000</c:v>
              </c:pt>
              <c:pt idx="32">
                <c:v>8250</c:v>
              </c:pt>
              <c:pt idx="33">
                <c:v>8500</c:v>
              </c:pt>
              <c:pt idx="34">
                <c:v>8750</c:v>
              </c:pt>
              <c:pt idx="35">
                <c:v>9000</c:v>
              </c:pt>
              <c:pt idx="36">
                <c:v>9250</c:v>
              </c:pt>
              <c:pt idx="37">
                <c:v>9500</c:v>
              </c:pt>
              <c:pt idx="38">
                <c:v>9750</c:v>
              </c:pt>
              <c:pt idx="39">
                <c:v>10000</c:v>
              </c:pt>
              <c:pt idx="40">
                <c:v>10250</c:v>
              </c:pt>
              <c:pt idx="41">
                <c:v>10500</c:v>
              </c:pt>
              <c:pt idx="42">
                <c:v>10750</c:v>
              </c:pt>
              <c:pt idx="43">
                <c:v>11000</c:v>
              </c:pt>
              <c:pt idx="44">
                <c:v>11250</c:v>
              </c:pt>
              <c:pt idx="45">
                <c:v>11500</c:v>
              </c:pt>
              <c:pt idx="46">
                <c:v>11750</c:v>
              </c:pt>
              <c:pt idx="47">
                <c:v>12000</c:v>
              </c:pt>
              <c:pt idx="48">
                <c:v>12250</c:v>
              </c:pt>
              <c:pt idx="49">
                <c:v>12500</c:v>
              </c:pt>
              <c:pt idx="50">
                <c:v>12750</c:v>
              </c:pt>
              <c:pt idx="51">
                <c:v>13000</c:v>
              </c:pt>
              <c:pt idx="52">
                <c:v>13250</c:v>
              </c:pt>
              <c:pt idx="53">
                <c:v>13500</c:v>
              </c:pt>
              <c:pt idx="54">
                <c:v>13750</c:v>
              </c:pt>
              <c:pt idx="55">
                <c:v>14000</c:v>
              </c:pt>
              <c:pt idx="56">
                <c:v>14250</c:v>
              </c:pt>
              <c:pt idx="57">
                <c:v>14500</c:v>
              </c:pt>
              <c:pt idx="58">
                <c:v>14750</c:v>
              </c:pt>
              <c:pt idx="59">
                <c:v>15000</c:v>
              </c:pt>
              <c:pt idx="60">
                <c:v>15250</c:v>
              </c:pt>
              <c:pt idx="61">
                <c:v>15500</c:v>
              </c:pt>
              <c:pt idx="62">
                <c:v>15750</c:v>
              </c:pt>
              <c:pt idx="63">
                <c:v>16000</c:v>
              </c:pt>
              <c:pt idx="64">
                <c:v>16250</c:v>
              </c:pt>
              <c:pt idx="65">
                <c:v>16500</c:v>
              </c:pt>
              <c:pt idx="66">
                <c:v>16750</c:v>
              </c:pt>
              <c:pt idx="67">
                <c:v>17000</c:v>
              </c:pt>
              <c:pt idx="68">
                <c:v>17250</c:v>
              </c:pt>
              <c:pt idx="69">
                <c:v>17500</c:v>
              </c:pt>
              <c:pt idx="70">
                <c:v>17750</c:v>
              </c:pt>
              <c:pt idx="71">
                <c:v>18000</c:v>
              </c:pt>
              <c:pt idx="72">
                <c:v>18250</c:v>
              </c:pt>
              <c:pt idx="73">
                <c:v>18500</c:v>
              </c:pt>
              <c:pt idx="74">
                <c:v>18750</c:v>
              </c:pt>
              <c:pt idx="75">
                <c:v>19000</c:v>
              </c:pt>
              <c:pt idx="76">
                <c:v>19250</c:v>
              </c:pt>
              <c:pt idx="77">
                <c:v>19500</c:v>
              </c:pt>
              <c:pt idx="78">
                <c:v>19750</c:v>
              </c:pt>
              <c:pt idx="79">
                <c:v>20000</c:v>
              </c:pt>
              <c:pt idx="80">
                <c:v>20250</c:v>
              </c:pt>
              <c:pt idx="81">
                <c:v>20500</c:v>
              </c:pt>
              <c:pt idx="82">
                <c:v>20750</c:v>
              </c:pt>
              <c:pt idx="83">
                <c:v>21000</c:v>
              </c:pt>
              <c:pt idx="84">
                <c:v>21250</c:v>
              </c:pt>
              <c:pt idx="85">
                <c:v>21500</c:v>
              </c:pt>
              <c:pt idx="86">
                <c:v>21750</c:v>
              </c:pt>
              <c:pt idx="87">
                <c:v>22000</c:v>
              </c:pt>
              <c:pt idx="88">
                <c:v>22250</c:v>
              </c:pt>
              <c:pt idx="89">
                <c:v>22500</c:v>
              </c:pt>
              <c:pt idx="90">
                <c:v>22750</c:v>
              </c:pt>
              <c:pt idx="91">
                <c:v>23000</c:v>
              </c:pt>
              <c:pt idx="92">
                <c:v>23250</c:v>
              </c:pt>
              <c:pt idx="93">
                <c:v>23500</c:v>
              </c:pt>
              <c:pt idx="94">
                <c:v>23750</c:v>
              </c:pt>
              <c:pt idx="95">
                <c:v>24000</c:v>
              </c:pt>
              <c:pt idx="96">
                <c:v>24250</c:v>
              </c:pt>
              <c:pt idx="97">
                <c:v>24500</c:v>
              </c:pt>
              <c:pt idx="98">
                <c:v>24750</c:v>
              </c:pt>
              <c:pt idx="99">
                <c:v>25000</c:v>
              </c:pt>
            </c:numLit>
          </c:xVal>
          <c:yVal>
            <c:numLit>
              <c:formatCode>General</c:formatCode>
              <c:ptCount val="100"/>
              <c:pt idx="0">
                <c:v>1196.8007235312052</c:v>
              </c:pt>
              <c:pt idx="1">
                <c:v>1242.2222748949005</c:v>
              </c:pt>
              <c:pt idx="2">
                <c:v>1289.36768662041</c:v>
              </c:pt>
              <c:pt idx="3">
                <c:v>1338.3023834776438</c:v>
              </c:pt>
              <c:pt idx="4">
                <c:v>1389.0942732685603</c:v>
              </c:pt>
              <c:pt idx="5">
                <c:v>1441.8138410643749</c:v>
              </c:pt>
              <c:pt idx="6">
                <c:v>1496.5342470193139</c:v>
              </c:pt>
              <c:pt idx="7">
                <c:v>1553.3314278966407</c:v>
              </c:pt>
              <c:pt idx="8">
                <c:v>1612.2842024478423</c:v>
              </c:pt>
              <c:pt idx="9">
                <c:v>1673.4743807912214</c:v>
              </c:pt>
              <c:pt idx="10">
                <c:v>1736.9868779416759</c:v>
              </c:pt>
              <c:pt idx="11">
                <c:v>1802.9098316492116</c:v>
              </c:pt>
              <c:pt idx="12">
                <c:v>1871.3347247097236</c:v>
              </c:pt>
              <c:pt idx="13">
                <c:v>1942.3565119177708</c:v>
              </c:pt>
              <c:pt idx="14">
                <c:v>2016.0737518375215</c:v>
              </c:pt>
              <c:pt idx="15">
                <c:v>2092.5887435747395</c:v>
              </c:pt>
              <c:pt idx="16">
                <c:v>2172.0076687395963</c:v>
              </c:pt>
              <c:pt idx="17">
                <c:v>2254.440738797332</c:v>
              </c:pt>
              <c:pt idx="18">
                <c:v>2340.0023480112327</c:v>
              </c:pt>
              <c:pt idx="19">
                <c:v>2428.811232190179</c:v>
              </c:pt>
              <c:pt idx="20">
                <c:v>2520.9906334610446</c:v>
              </c:pt>
              <c:pt idx="21">
                <c:v>2616.6684712946367</c:v>
              </c:pt>
              <c:pt idx="22">
                <c:v>2715.9775200224763</c:v>
              </c:pt>
              <c:pt idx="23">
                <c:v>2819.0555930907758</c:v>
              </c:pt>
              <c:pt idx="24">
                <c:v>2926.0457343073367</c:v>
              </c:pt>
              <c:pt idx="25">
                <c:v>3037.0964163467161</c:v>
              </c:pt>
              <c:pt idx="26">
                <c:v>3152.3617467891663</c:v>
              </c:pt>
              <c:pt idx="27">
                <c:v>3272.0016819792618</c:v>
              </c:pt>
              <c:pt idx="28">
                <c:v>3396.1822490009899</c:v>
              </c:pt>
              <c:pt idx="29">
                <c:v>3525.0757760773449</c:v>
              </c:pt>
              <c:pt idx="30">
                <c:v>3658.8611317141563</c:v>
              </c:pt>
              <c:pt idx="31">
                <c:v>3797.723972920026</c:v>
              </c:pt>
              <c:pt idx="32">
                <c:v>3941.8570028468148</c:v>
              </c:pt>
              <c:pt idx="33">
                <c:v>4091.4602382082289</c:v>
              </c:pt>
              <c:pt idx="34">
                <c:v>4246.7412868476085</c:v>
              </c:pt>
              <c:pt idx="35">
                <c:v>4407.9156358400905</c:v>
              </c:pt>
              <c:pt idx="36">
                <c:v>4575.2069505289783</c:v>
              </c:pt>
              <c:pt idx="37">
                <c:v>4748.8473849112615</c:v>
              </c:pt>
              <c:pt idx="38">
                <c:v>4929.0779038030514</c:v>
              </c:pt>
              <c:pt idx="39">
                <c:v>5116.1486172319856</c:v>
              </c:pt>
              <c:pt idx="40">
                <c:v>5310.3191275206555</c:v>
              </c:pt>
              <c:pt idx="41">
                <c:v>5511.8588895427038</c:v>
              </c:pt>
              <c:pt idx="42">
                <c:v>5721.047584651541</c:v>
              </c:pt>
              <c:pt idx="43">
                <c:v>5938.1755088005784</c:v>
              </c:pt>
              <c:pt idx="44">
                <c:v>6163.5439753935807</c:v>
              </c:pt>
              <c:pt idx="45">
                <c:v>6397.4657334241992</c:v>
              </c:pt>
              <c:pt idx="46">
                <c:v>6640.2654014849222</c:v>
              </c:pt>
              <c:pt idx="47">
                <c:v>6892.2799182477474</c:v>
              </c:pt>
              <c:pt idx="48">
                <c:v>7153.8590100417177</c:v>
              </c:pt>
              <c:pt idx="49">
                <c:v>7425.3656761761613</c:v>
              </c:pt>
              <c:pt idx="50">
                <c:v>7707.1766926831733</c:v>
              </c:pt>
              <c:pt idx="51">
                <c:v>7999.6831351783676</c:v>
              </c:pt>
              <c:pt idx="52">
                <c:v>8303.290921565469</c:v>
              </c:pt>
              <c:pt idx="53">
                <c:v>8618.4213753379263</c:v>
              </c:pt>
              <c:pt idx="54">
                <c:v>8945.5118102591732</c:v>
              </c:pt>
              <c:pt idx="55">
                <c:v>9285.0161372329821</c:v>
              </c:pt>
              <c:pt idx="56">
                <c:v>9637.405494206052</c:v>
              </c:pt>
              <c:pt idx="57">
                <c:v>10003.168899976949</c:v>
              </c:pt>
              <c:pt idx="58">
                <c:v>10382.81393281869</c:v>
              </c:pt>
              <c:pt idx="59">
                <c:v>10776.867434856804</c:v>
              </c:pt>
              <c:pt idx="60">
                <c:v>11185.876243180204</c:v>
              </c:pt>
              <c:pt idx="61">
                <c:v>11610.407948699607</c:v>
              </c:pt>
              <c:pt idx="62">
                <c:v>12051.051683806409</c:v>
              </c:pt>
              <c:pt idx="63">
                <c:v>12508.418939925294</c:v>
              </c:pt>
              <c:pt idx="64">
                <c:v>12983.14441609487</c:v>
              </c:pt>
              <c:pt idx="65">
                <c:v>13475.886899754096</c:v>
              </c:pt>
              <c:pt idx="66">
                <c:v>13987.330180956771</c:v>
              </c:pt>
              <c:pt idx="67">
                <c:v>14518.184001282636</c:v>
              </c:pt>
              <c:pt idx="68">
                <c:v>15069.185038762074</c:v>
              </c:pt>
              <c:pt idx="69">
                <c:v>15641.097930181148</c:v>
              </c:pt>
              <c:pt idx="70">
                <c:v>16234.716332185555</c:v>
              </c:pt>
              <c:pt idx="71">
                <c:v>16850.864022656246</c:v>
              </c:pt>
              <c:pt idx="72">
                <c:v>17490.396043884808</c:v>
              </c:pt>
              <c:pt idx="73">
                <c:v>18154.199889135391</c:v>
              </c:pt>
              <c:pt idx="74">
                <c:v>18843.196734239365</c:v>
              </c:pt>
              <c:pt idx="75">
                <c:v>19558.342715932256</c:v>
              </c:pt>
              <c:pt idx="76">
                <c:v>20300.630258706544</c:v>
              </c:pt>
              <c:pt idx="77">
                <c:v>21071.089452022028</c:v>
              </c:pt>
              <c:pt idx="78">
                <c:v>21870.789479784489</c:v>
              </c:pt>
              <c:pt idx="79">
                <c:v>22700.84010407684</c:v>
              </c:pt>
              <c:pt idx="80">
                <c:v>23562.393205201344</c:v>
              </c:pt>
              <c:pt idx="81">
                <c:v>24456.644380170444</c:v>
              </c:pt>
              <c:pt idx="82">
                <c:v>25384.834601864088</c:v>
              </c:pt>
              <c:pt idx="83">
                <c:v>26348.251941156352</c:v>
              </c:pt>
              <c:pt idx="84">
                <c:v>27348.233354400887</c:v>
              </c:pt>
              <c:pt idx="85">
                <c:v>28386.166538755995</c:v>
              </c:pt>
              <c:pt idx="86">
                <c:v>29463.491857923818</c:v>
              </c:pt>
              <c:pt idx="87">
                <c:v>30581.704340976015</c:v>
              </c:pt>
              <c:pt idx="88">
                <c:v>31742.355757040095</c:v>
              </c:pt>
              <c:pt idx="89">
                <c:v>32947.056768724848</c:v>
              </c:pt>
              <c:pt idx="90">
                <c:v>34197.479167273988</c:v>
              </c:pt>
              <c:pt idx="91">
                <c:v>35495.358192549116</c:v>
              </c:pt>
              <c:pt idx="92">
                <c:v>36842.494941061945</c:v>
              </c:pt>
              <c:pt idx="93">
                <c:v>38240.758865397307</c:v>
              </c:pt>
              <c:pt idx="94">
                <c:v>39692.09036849533</c:v>
              </c:pt>
              <c:pt idx="95">
                <c:v>41198.503496393183</c:v>
              </c:pt>
              <c:pt idx="96">
                <c:v>42762.088733162993</c:v>
              </c:pt>
              <c:pt idx="97">
                <c:v>44385.015901924533</c:v>
              </c:pt>
              <c:pt idx="98">
                <c:v>46069.537175958634</c:v>
              </c:pt>
              <c:pt idx="99">
                <c:v>47817.990204099631</c:v>
              </c:pt>
            </c:numLit>
          </c:yVal>
          <c:smooth val="1"/>
        </c:ser>
        <c:ser>
          <c:idx val="7"/>
          <c:order val="7"/>
          <c:tx>
            <c:v>High Cost</c:v>
          </c:tx>
          <c:marker>
            <c:symbol val="none"/>
          </c:marker>
          <c:xVal>
            <c:numLit>
              <c:formatCode>General</c:formatCode>
              <c:ptCount val="100"/>
              <c:pt idx="0">
                <c:v>250</c:v>
              </c:pt>
              <c:pt idx="1">
                <c:v>500</c:v>
              </c:pt>
              <c:pt idx="2">
                <c:v>750</c:v>
              </c:pt>
              <c:pt idx="3">
                <c:v>1000</c:v>
              </c:pt>
              <c:pt idx="4">
                <c:v>1250</c:v>
              </c:pt>
              <c:pt idx="5">
                <c:v>1500</c:v>
              </c:pt>
              <c:pt idx="6">
                <c:v>1750</c:v>
              </c:pt>
              <c:pt idx="7">
                <c:v>2000</c:v>
              </c:pt>
              <c:pt idx="8">
                <c:v>2250</c:v>
              </c:pt>
              <c:pt idx="9">
                <c:v>2500</c:v>
              </c:pt>
              <c:pt idx="10">
                <c:v>2750</c:v>
              </c:pt>
              <c:pt idx="11">
                <c:v>3000</c:v>
              </c:pt>
              <c:pt idx="12">
                <c:v>3250</c:v>
              </c:pt>
              <c:pt idx="13">
                <c:v>3500</c:v>
              </c:pt>
              <c:pt idx="14">
                <c:v>3750</c:v>
              </c:pt>
              <c:pt idx="15">
                <c:v>4000</c:v>
              </c:pt>
              <c:pt idx="16">
                <c:v>4250</c:v>
              </c:pt>
              <c:pt idx="17">
                <c:v>4500</c:v>
              </c:pt>
              <c:pt idx="18">
                <c:v>4750</c:v>
              </c:pt>
              <c:pt idx="19">
                <c:v>5000</c:v>
              </c:pt>
              <c:pt idx="20">
                <c:v>5250</c:v>
              </c:pt>
              <c:pt idx="21">
                <c:v>5500</c:v>
              </c:pt>
              <c:pt idx="22">
                <c:v>5750</c:v>
              </c:pt>
              <c:pt idx="23">
                <c:v>6000</c:v>
              </c:pt>
              <c:pt idx="24">
                <c:v>6250</c:v>
              </c:pt>
              <c:pt idx="25">
                <c:v>6500</c:v>
              </c:pt>
              <c:pt idx="26">
                <c:v>6750</c:v>
              </c:pt>
              <c:pt idx="27">
                <c:v>7000</c:v>
              </c:pt>
              <c:pt idx="28">
                <c:v>7250</c:v>
              </c:pt>
              <c:pt idx="29">
                <c:v>7500</c:v>
              </c:pt>
              <c:pt idx="30">
                <c:v>7750</c:v>
              </c:pt>
              <c:pt idx="31">
                <c:v>8000</c:v>
              </c:pt>
              <c:pt idx="32">
                <c:v>8250</c:v>
              </c:pt>
              <c:pt idx="33">
                <c:v>8500</c:v>
              </c:pt>
              <c:pt idx="34">
                <c:v>8750</c:v>
              </c:pt>
              <c:pt idx="35">
                <c:v>9000</c:v>
              </c:pt>
              <c:pt idx="36">
                <c:v>9250</c:v>
              </c:pt>
              <c:pt idx="37">
                <c:v>9500</c:v>
              </c:pt>
              <c:pt idx="38">
                <c:v>9750</c:v>
              </c:pt>
              <c:pt idx="39">
                <c:v>10000</c:v>
              </c:pt>
              <c:pt idx="40">
                <c:v>10250</c:v>
              </c:pt>
              <c:pt idx="41">
                <c:v>10500</c:v>
              </c:pt>
              <c:pt idx="42">
                <c:v>10750</c:v>
              </c:pt>
              <c:pt idx="43">
                <c:v>11000</c:v>
              </c:pt>
              <c:pt idx="44">
                <c:v>11250</c:v>
              </c:pt>
              <c:pt idx="45">
                <c:v>11500</c:v>
              </c:pt>
              <c:pt idx="46">
                <c:v>11750</c:v>
              </c:pt>
              <c:pt idx="47">
                <c:v>12000</c:v>
              </c:pt>
              <c:pt idx="48">
                <c:v>12250</c:v>
              </c:pt>
              <c:pt idx="49">
                <c:v>12500</c:v>
              </c:pt>
              <c:pt idx="50">
                <c:v>12750</c:v>
              </c:pt>
              <c:pt idx="51">
                <c:v>13000</c:v>
              </c:pt>
              <c:pt idx="52">
                <c:v>13250</c:v>
              </c:pt>
              <c:pt idx="53">
                <c:v>13500</c:v>
              </c:pt>
              <c:pt idx="54">
                <c:v>13750</c:v>
              </c:pt>
              <c:pt idx="55">
                <c:v>14000</c:v>
              </c:pt>
              <c:pt idx="56">
                <c:v>14250</c:v>
              </c:pt>
              <c:pt idx="57">
                <c:v>14500</c:v>
              </c:pt>
              <c:pt idx="58">
                <c:v>14750</c:v>
              </c:pt>
              <c:pt idx="59">
                <c:v>15000</c:v>
              </c:pt>
              <c:pt idx="60">
                <c:v>15250</c:v>
              </c:pt>
              <c:pt idx="61">
                <c:v>15500</c:v>
              </c:pt>
              <c:pt idx="62">
                <c:v>15750</c:v>
              </c:pt>
              <c:pt idx="63">
                <c:v>16000</c:v>
              </c:pt>
              <c:pt idx="64">
                <c:v>16250</c:v>
              </c:pt>
              <c:pt idx="65">
                <c:v>16500</c:v>
              </c:pt>
              <c:pt idx="66">
                <c:v>16750</c:v>
              </c:pt>
              <c:pt idx="67">
                <c:v>17000</c:v>
              </c:pt>
              <c:pt idx="68">
                <c:v>17250</c:v>
              </c:pt>
              <c:pt idx="69">
                <c:v>17500</c:v>
              </c:pt>
              <c:pt idx="70">
                <c:v>17750</c:v>
              </c:pt>
              <c:pt idx="71">
                <c:v>18000</c:v>
              </c:pt>
              <c:pt idx="72">
                <c:v>18250</c:v>
              </c:pt>
              <c:pt idx="73">
                <c:v>18500</c:v>
              </c:pt>
              <c:pt idx="74">
                <c:v>18750</c:v>
              </c:pt>
              <c:pt idx="75">
                <c:v>19000</c:v>
              </c:pt>
              <c:pt idx="76">
                <c:v>19250</c:v>
              </c:pt>
              <c:pt idx="77">
                <c:v>19500</c:v>
              </c:pt>
              <c:pt idx="78">
                <c:v>19750</c:v>
              </c:pt>
              <c:pt idx="79">
                <c:v>20000</c:v>
              </c:pt>
              <c:pt idx="80">
                <c:v>20250</c:v>
              </c:pt>
              <c:pt idx="81">
                <c:v>20500</c:v>
              </c:pt>
              <c:pt idx="82">
                <c:v>20750</c:v>
              </c:pt>
              <c:pt idx="83">
                <c:v>21000</c:v>
              </c:pt>
              <c:pt idx="84">
                <c:v>21250</c:v>
              </c:pt>
              <c:pt idx="85">
                <c:v>21500</c:v>
              </c:pt>
              <c:pt idx="86">
                <c:v>21750</c:v>
              </c:pt>
              <c:pt idx="87">
                <c:v>22000</c:v>
              </c:pt>
              <c:pt idx="88">
                <c:v>22250</c:v>
              </c:pt>
              <c:pt idx="89">
                <c:v>22500</c:v>
              </c:pt>
              <c:pt idx="90">
                <c:v>22750</c:v>
              </c:pt>
              <c:pt idx="91">
                <c:v>23000</c:v>
              </c:pt>
              <c:pt idx="92">
                <c:v>23250</c:v>
              </c:pt>
              <c:pt idx="93">
                <c:v>23500</c:v>
              </c:pt>
              <c:pt idx="94">
                <c:v>23750</c:v>
              </c:pt>
              <c:pt idx="95">
                <c:v>24000</c:v>
              </c:pt>
              <c:pt idx="96">
                <c:v>24250</c:v>
              </c:pt>
              <c:pt idx="97">
                <c:v>24500</c:v>
              </c:pt>
              <c:pt idx="98">
                <c:v>24750</c:v>
              </c:pt>
              <c:pt idx="99">
                <c:v>25000</c:v>
              </c:pt>
            </c:numLit>
          </c:xVal>
          <c:yVal>
            <c:numLit>
              <c:formatCode>General</c:formatCode>
              <c:ptCount val="100"/>
              <c:pt idx="0">
                <c:v>1208.8287707691475</c:v>
              </c:pt>
              <c:pt idx="1">
                <c:v>1267.3168294588629</c:v>
              </c:pt>
              <c:pt idx="2">
                <c:v>1328.6347786111583</c:v>
              </c:pt>
              <c:pt idx="3">
                <c:v>1392.919539850885</c:v>
              </c:pt>
              <c:pt idx="4">
                <c:v>1460.3146596286961</c:v>
              </c:pt>
              <c:pt idx="5">
                <c:v>1530.970629757096</c:v>
              </c:pt>
              <c:pt idx="6">
                <c:v>1605.0452234553329</c:v>
              </c:pt>
              <c:pt idx="7">
                <c:v>1682.7038476535081</c:v>
              </c:pt>
              <c:pt idx="8">
                <c:v>1764.1199123425945</c:v>
              </c:pt>
              <c:pt idx="9">
                <c:v>1849.4752177951107</c:v>
              </c:pt>
              <c:pt idx="10">
                <c:v>1938.9603605211125</c:v>
              </c:pt>
              <c:pt idx="11">
                <c:v>2032.7751588659883</c:v>
              </c:pt>
              <c:pt idx="12">
                <c:v>2131.129099200401</c:v>
              </c:pt>
              <c:pt idx="13">
                <c:v>2234.2418036987269</c:v>
              </c:pt>
              <c:pt idx="14">
                <c:v>2342.3435207505163</c:v>
              </c:pt>
              <c:pt idx="15">
                <c:v>2455.6756391000504</c:v>
              </c:pt>
              <c:pt idx="16">
                <c:v>2574.4912268620815</c:v>
              </c:pt>
              <c:pt idx="17">
                <c:v>2699.0555966173274</c:v>
              </c:pt>
              <c:pt idx="18">
                <c:v>2829.6468978496064</c:v>
              </c:pt>
              <c:pt idx="19">
                <c:v>2966.556738047484</c:v>
              </c:pt>
              <c:pt idx="20">
                <c:v>3110.0908338573431</c:v>
              </c:pt>
              <c:pt idx="21">
                <c:v>3260.569693741902</c:v>
              </c:pt>
              <c:pt idx="22">
                <c:v>3418.3293336685279</c:v>
              </c:pt>
              <c:pt idx="23">
                <c:v>3583.7220274254519</c:v>
              </c:pt>
              <c:pt idx="24">
                <c:v>3757.1170932413675</c:v>
              </c:pt>
              <c:pt idx="25">
                <c:v>3938.9017184648519</c:v>
              </c:pt>
              <c:pt idx="26">
                <c:v>4129.4818241451712</c:v>
              </c:pt>
              <c:pt idx="27">
                <c:v>4329.2829714450008</c:v>
              </c:pt>
              <c:pt idx="28">
                <c:v>4538.7513119090918</c:v>
              </c:pt>
              <c:pt idx="29">
                <c:v>4758.3545837108195</c:v>
              </c:pt>
              <c:pt idx="30">
                <c:v>4988.5831561011628</c:v>
              </c:pt>
              <c:pt idx="31">
                <c:v>5229.9511243924244</c:v>
              </c:pt>
              <c:pt idx="32">
                <c:v>5482.9974579216796</c:v>
              </c:pt>
              <c:pt idx="33">
                <c:v>5748.2872035573992</c:v>
              </c:pt>
              <c:pt idx="34">
                <c:v>6026.4127474366096</c:v>
              </c:pt>
              <c:pt idx="35">
                <c:v>6317.9951377500493</c:v>
              </c:pt>
              <c:pt idx="36">
                <c:v>6623.6854715290365</c:v>
              </c:pt>
              <c:pt idx="37">
                <c:v>6944.1663485307554</c:v>
              </c:pt>
              <c:pt idx="38">
                <c:v>7280.1533954684237</c:v>
              </c:pt>
              <c:pt idx="39">
                <c:v>7632.3968639899122</c:v>
              </c:pt>
              <c:pt idx="40">
                <c:v>8001.6833059730943</c:v>
              </c:pt>
              <c:pt idx="41">
                <c:v>8388.8373298788083</c:v>
              </c:pt>
              <c:pt idx="42">
                <c:v>8794.7234420833083</c:v>
              </c:pt>
              <c:pt idx="43">
                <c:v>9220.2479773018858</c:v>
              </c:pt>
              <c:pt idx="44">
                <c:v>9666.3611224142714</c:v>
              </c:pt>
              <c:pt idx="45">
                <c:v>10134.05903821092</c:v>
              </c:pt>
              <c:pt idx="46">
                <c:v>10624.386083798021</c:v>
              </c:pt>
              <c:pt idx="47">
                <c:v>11138.437148628316</c:v>
              </c:pt>
              <c:pt idx="48">
                <c:v>11677.36009736503</c:v>
              </c:pt>
              <c:pt idx="49">
                <c:v>12242.358333038279</c:v>
              </c:pt>
              <c:pt idx="50">
                <c:v>12834.693484217452</c:v>
              </c:pt>
              <c:pt idx="51">
                <c:v>13455.688222199895</c:v>
              </c:pt>
              <c:pt idx="52">
                <c:v>14106.729214506684</c:v>
              </c:pt>
              <c:pt idx="53">
                <c:v>14789.270221280553</c:v>
              </c:pt>
              <c:pt idx="54">
                <c:v>15504.835341500146</c:v>
              </c:pt>
              <c:pt idx="55">
                <c:v>16255.022416259324</c:v>
              </c:pt>
              <c:pt idx="56">
                <c:v>17041.506596711035</c:v>
              </c:pt>
              <c:pt idx="57">
                <c:v>17866.044084642781</c:v>
              </c:pt>
              <c:pt idx="58">
                <c:v>18730.476054036393</c:v>
              </c:pt>
              <c:pt idx="59">
                <c:v>19636.732762368832</c:v>
              </c:pt>
              <c:pt idx="60">
                <c:v>20586.837860834454</c:v>
              </c:pt>
              <c:pt idx="61">
                <c:v>21582.912913113367</c:v>
              </c:pt>
              <c:pt idx="62">
                <c:v>22627.182132776299</c:v>
              </c:pt>
              <c:pt idx="63">
                <c:v>23721.977349904246</c:v>
              </c:pt>
              <c:pt idx="64">
                <c:v>24869.743218013504</c:v>
              </c:pt>
              <c:pt idx="65">
                <c:v>26073.042672912998</c:v>
              </c:pt>
              <c:pt idx="66">
                <c:v>27334.562655683178</c:v>
              </c:pt>
              <c:pt idx="67">
                <c:v>28657.120112556135</c:v>
              </c:pt>
              <c:pt idx="68">
                <c:v>30043.668285094227</c:v>
              </c:pt>
              <c:pt idx="69">
                <c:v>31497.303304713161</c:v>
              </c:pt>
              <c:pt idx="70">
                <c:v>33021.27110627506</c:v>
              </c:pt>
              <c:pt idx="71">
                <c:v>34618.974676189238</c:v>
              </c:pt>
              <c:pt idx="72">
                <c:v>36293.981651205591</c:v>
              </c:pt>
              <c:pt idx="73">
                <c:v>38050.032284868539</c:v>
              </c:pt>
              <c:pt idx="74">
                <c:v>39891.047799420659</c:v>
              </c:pt>
              <c:pt idx="75">
                <c:v>41821.139141805099</c:v>
              </c:pt>
              <c:pt idx="76">
                <c:v>43844.616163319355</c:v>
              </c:pt>
              <c:pt idx="77">
                <c:v>45965.997243417754</c:v>
              </c:pt>
              <c:pt idx="78">
                <c:v>48190.019379153113</c:v>
              </c:pt>
              <c:pt idx="79">
                <c:v>50521.648762786223</c:v>
              </c:pt>
              <c:pt idx="80">
                <c:v>52966.091871183533</c:v>
              </c:pt>
              <c:pt idx="81">
                <c:v>55528.807091764829</c:v>
              </c:pt>
              <c:pt idx="82">
                <c:v>58215.516910961604</c:v>
              </c:pt>
              <c:pt idx="83">
                <c:v>61032.220692402894</c:v>
              </c:pt>
              <c:pt idx="84">
                <c:v>63985.208073361457</c:v>
              </c:pt>
              <c:pt idx="85">
                <c:v>67081.073009374901</c:v>
              </c:pt>
              <c:pt idx="86">
                <c:v>70326.728498402561</c:v>
              </c:pt>
              <c:pt idx="87">
                <c:v>73729.422017397068</c:v>
              </c:pt>
              <c:pt idx="88">
                <c:v>77296.751705760253</c:v>
              </c:pt>
              <c:pt idx="89">
                <c:v>81036.683331820328</c:v>
              </c:pt>
              <c:pt idx="90">
                <c:v>84957.568080216646</c:v>
              </c:pt>
              <c:pt idx="91">
                <c:v>89068.161199910202</c:v>
              </c:pt>
              <c:pt idx="92">
                <c:v>93377.641554460977</c:v>
              </c:pt>
              <c:pt idx="93">
                <c:v>97895.632118227542</c:v>
              </c:pt>
              <c:pt idx="94">
                <c:v>102632.22146425594</c:v>
              </c:pt>
              <c:pt idx="95">
                <c:v>107597.98629184013</c:v>
              </c:pt>
              <c:pt idx="96">
                <c:v>112804.01504405803</c:v>
              </c:pt>
              <c:pt idx="97">
                <c:v>118261.93266801935</c:v>
              </c:pt>
              <c:pt idx="98">
                <c:v>123983.92657311582</c:v>
              </c:pt>
              <c:pt idx="99">
                <c:v>129982.77384523676</c:v>
              </c:pt>
            </c:numLit>
          </c:yVal>
          <c:smooth val="1"/>
        </c:ser>
        <c:ser>
          <c:idx val="8"/>
          <c:order val="8"/>
          <c:tx>
            <c:v>ARRA Data</c:v>
          </c:tx>
          <c:spPr>
            <a:ln>
              <a:solidFill>
                <a:schemeClr val="tx1"/>
              </a:solidFill>
            </a:ln>
          </c:spPr>
          <c:marker>
            <c:symbol val="none"/>
          </c:marker>
          <c:xVal>
            <c:numLit>
              <c:formatCode>General</c:formatCode>
              <c:ptCount val="1"/>
              <c:pt idx="0">
                <c:v>8000</c:v>
              </c:pt>
            </c:numLit>
          </c:xVal>
          <c:yVal>
            <c:numLit>
              <c:formatCode>General</c:formatCode>
              <c:ptCount val="1"/>
              <c:pt idx="0">
                <c:v>3903</c:v>
              </c:pt>
            </c:numLit>
          </c:yVal>
          <c:smooth val="1"/>
        </c:ser>
        <c:ser>
          <c:idx val="9"/>
          <c:order val="9"/>
          <c:tx>
            <c:v>MIT Well Cost Lite</c:v>
          </c:tx>
          <c:spPr>
            <a:ln>
              <a:noFill/>
            </a:ln>
          </c:spPr>
          <c:marker>
            <c:symbol val="none"/>
          </c:marker>
          <c:xVal>
            <c:numLit>
              <c:formatCode>General</c:formatCode>
              <c:ptCount val="10"/>
              <c:pt idx="0">
                <c:v>4921.2449999999999</c:v>
              </c:pt>
              <c:pt idx="1">
                <c:v>8202.0749999999989</c:v>
              </c:pt>
              <c:pt idx="2">
                <c:v>9842.49</c:v>
              </c:pt>
              <c:pt idx="3">
                <c:v>13123.32</c:v>
              </c:pt>
              <c:pt idx="4">
                <c:v>16404.149999999998</c:v>
              </c:pt>
              <c:pt idx="5">
                <c:v>16404.149999999998</c:v>
              </c:pt>
              <c:pt idx="6">
                <c:v>19684.980000000003</c:v>
              </c:pt>
              <c:pt idx="7">
                <c:v>19684.980000000003</c:v>
              </c:pt>
              <c:pt idx="8">
                <c:v>24606.224999999999</c:v>
              </c:pt>
              <c:pt idx="9">
                <c:v>32808.300000000003</c:v>
              </c:pt>
            </c:numLit>
          </c:xVal>
          <c:yVal>
            <c:numLit>
              <c:formatCode>General</c:formatCode>
              <c:ptCount val="10"/>
              <c:pt idx="0">
                <c:v>4572.4000000000005</c:v>
              </c:pt>
              <c:pt idx="1">
                <c:v>6759.2</c:v>
              </c:pt>
              <c:pt idx="2">
                <c:v>7952</c:v>
              </c:pt>
              <c:pt idx="3">
                <c:v>10337.6</c:v>
              </c:pt>
              <c:pt idx="4">
                <c:v>13916</c:v>
              </c:pt>
              <c:pt idx="5">
                <c:v>16500.400000000001</c:v>
              </c:pt>
              <c:pt idx="6">
                <c:v>19283.599999999995</c:v>
              </c:pt>
              <c:pt idx="7">
                <c:v>24452.400000000001</c:v>
              </c:pt>
              <c:pt idx="8">
                <c:v>28627.200000000001</c:v>
              </c:pt>
              <c:pt idx="9">
                <c:v>39760</c:v>
              </c:pt>
            </c:numLit>
          </c:yVal>
          <c:smooth val="1"/>
        </c:ser>
        <c:ser>
          <c:idx val="0"/>
          <c:order val="0"/>
          <c:tx>
            <c:v>Low Cost</c:v>
          </c:tx>
          <c:marker>
            <c:symbol val="none"/>
          </c:marker>
          <c:xVal>
            <c:numLit>
              <c:formatCode>General</c:formatCode>
              <c:ptCount val="100"/>
              <c:pt idx="0">
                <c:v>250</c:v>
              </c:pt>
              <c:pt idx="1">
                <c:v>500</c:v>
              </c:pt>
              <c:pt idx="2">
                <c:v>750</c:v>
              </c:pt>
              <c:pt idx="3">
                <c:v>1000</c:v>
              </c:pt>
              <c:pt idx="4">
                <c:v>1250</c:v>
              </c:pt>
              <c:pt idx="5">
                <c:v>1500</c:v>
              </c:pt>
              <c:pt idx="6">
                <c:v>1750</c:v>
              </c:pt>
              <c:pt idx="7">
                <c:v>2000</c:v>
              </c:pt>
              <c:pt idx="8">
                <c:v>2250</c:v>
              </c:pt>
              <c:pt idx="9">
                <c:v>2500</c:v>
              </c:pt>
              <c:pt idx="10">
                <c:v>2750</c:v>
              </c:pt>
              <c:pt idx="11">
                <c:v>3000</c:v>
              </c:pt>
              <c:pt idx="12">
                <c:v>3250</c:v>
              </c:pt>
              <c:pt idx="13">
                <c:v>3500</c:v>
              </c:pt>
              <c:pt idx="14">
                <c:v>3750</c:v>
              </c:pt>
              <c:pt idx="15">
                <c:v>4000</c:v>
              </c:pt>
              <c:pt idx="16">
                <c:v>4250</c:v>
              </c:pt>
              <c:pt idx="17">
                <c:v>4500</c:v>
              </c:pt>
              <c:pt idx="18">
                <c:v>4750</c:v>
              </c:pt>
              <c:pt idx="19">
                <c:v>5000</c:v>
              </c:pt>
              <c:pt idx="20">
                <c:v>5250</c:v>
              </c:pt>
              <c:pt idx="21">
                <c:v>5500</c:v>
              </c:pt>
              <c:pt idx="22">
                <c:v>5750</c:v>
              </c:pt>
              <c:pt idx="23">
                <c:v>6000</c:v>
              </c:pt>
              <c:pt idx="24">
                <c:v>6250</c:v>
              </c:pt>
              <c:pt idx="25">
                <c:v>6500</c:v>
              </c:pt>
              <c:pt idx="26">
                <c:v>6750</c:v>
              </c:pt>
              <c:pt idx="27">
                <c:v>7000</c:v>
              </c:pt>
              <c:pt idx="28">
                <c:v>7250</c:v>
              </c:pt>
              <c:pt idx="29">
                <c:v>7500</c:v>
              </c:pt>
              <c:pt idx="30">
                <c:v>7750</c:v>
              </c:pt>
              <c:pt idx="31">
                <c:v>8000</c:v>
              </c:pt>
              <c:pt idx="32">
                <c:v>8250</c:v>
              </c:pt>
              <c:pt idx="33">
                <c:v>8500</c:v>
              </c:pt>
              <c:pt idx="34">
                <c:v>8750</c:v>
              </c:pt>
              <c:pt idx="35">
                <c:v>9000</c:v>
              </c:pt>
              <c:pt idx="36">
                <c:v>9250</c:v>
              </c:pt>
              <c:pt idx="37">
                <c:v>9500</c:v>
              </c:pt>
              <c:pt idx="38">
                <c:v>9750</c:v>
              </c:pt>
              <c:pt idx="39">
                <c:v>10000</c:v>
              </c:pt>
              <c:pt idx="40">
                <c:v>10250</c:v>
              </c:pt>
              <c:pt idx="41">
                <c:v>10500</c:v>
              </c:pt>
              <c:pt idx="42">
                <c:v>10750</c:v>
              </c:pt>
              <c:pt idx="43">
                <c:v>11000</c:v>
              </c:pt>
              <c:pt idx="44">
                <c:v>11250</c:v>
              </c:pt>
              <c:pt idx="45">
                <c:v>11500</c:v>
              </c:pt>
              <c:pt idx="46">
                <c:v>11750</c:v>
              </c:pt>
              <c:pt idx="47">
                <c:v>12000</c:v>
              </c:pt>
              <c:pt idx="48">
                <c:v>12250</c:v>
              </c:pt>
              <c:pt idx="49">
                <c:v>12500</c:v>
              </c:pt>
              <c:pt idx="50">
                <c:v>12750</c:v>
              </c:pt>
              <c:pt idx="51">
                <c:v>13000</c:v>
              </c:pt>
              <c:pt idx="52">
                <c:v>13250</c:v>
              </c:pt>
              <c:pt idx="53">
                <c:v>13500</c:v>
              </c:pt>
              <c:pt idx="54">
                <c:v>13750</c:v>
              </c:pt>
              <c:pt idx="55">
                <c:v>14000</c:v>
              </c:pt>
              <c:pt idx="56">
                <c:v>14250</c:v>
              </c:pt>
              <c:pt idx="57">
                <c:v>14500</c:v>
              </c:pt>
              <c:pt idx="58">
                <c:v>14750</c:v>
              </c:pt>
              <c:pt idx="59">
                <c:v>15000</c:v>
              </c:pt>
              <c:pt idx="60">
                <c:v>15250</c:v>
              </c:pt>
              <c:pt idx="61">
                <c:v>15500</c:v>
              </c:pt>
              <c:pt idx="62">
                <c:v>15750</c:v>
              </c:pt>
              <c:pt idx="63">
                <c:v>16000</c:v>
              </c:pt>
              <c:pt idx="64">
                <c:v>16250</c:v>
              </c:pt>
              <c:pt idx="65">
                <c:v>16500</c:v>
              </c:pt>
              <c:pt idx="66">
                <c:v>16750</c:v>
              </c:pt>
              <c:pt idx="67">
                <c:v>17000</c:v>
              </c:pt>
              <c:pt idx="68">
                <c:v>17250</c:v>
              </c:pt>
              <c:pt idx="69">
                <c:v>17500</c:v>
              </c:pt>
              <c:pt idx="70">
                <c:v>17750</c:v>
              </c:pt>
              <c:pt idx="71">
                <c:v>18000</c:v>
              </c:pt>
              <c:pt idx="72">
                <c:v>18250</c:v>
              </c:pt>
              <c:pt idx="73">
                <c:v>18500</c:v>
              </c:pt>
              <c:pt idx="74">
                <c:v>18750</c:v>
              </c:pt>
              <c:pt idx="75">
                <c:v>19000</c:v>
              </c:pt>
              <c:pt idx="76">
                <c:v>19250</c:v>
              </c:pt>
              <c:pt idx="77">
                <c:v>19500</c:v>
              </c:pt>
              <c:pt idx="78">
                <c:v>19750</c:v>
              </c:pt>
              <c:pt idx="79">
                <c:v>20000</c:v>
              </c:pt>
              <c:pt idx="80">
                <c:v>20250</c:v>
              </c:pt>
              <c:pt idx="81">
                <c:v>20500</c:v>
              </c:pt>
              <c:pt idx="82">
                <c:v>20750</c:v>
              </c:pt>
              <c:pt idx="83">
                <c:v>21000</c:v>
              </c:pt>
              <c:pt idx="84">
                <c:v>21250</c:v>
              </c:pt>
              <c:pt idx="85">
                <c:v>21500</c:v>
              </c:pt>
              <c:pt idx="86">
                <c:v>21750</c:v>
              </c:pt>
              <c:pt idx="87">
                <c:v>22000</c:v>
              </c:pt>
              <c:pt idx="88">
                <c:v>22250</c:v>
              </c:pt>
              <c:pt idx="89">
                <c:v>22500</c:v>
              </c:pt>
              <c:pt idx="90">
                <c:v>22750</c:v>
              </c:pt>
              <c:pt idx="91">
                <c:v>23000</c:v>
              </c:pt>
              <c:pt idx="92">
                <c:v>23250</c:v>
              </c:pt>
              <c:pt idx="93">
                <c:v>23500</c:v>
              </c:pt>
              <c:pt idx="94">
                <c:v>23750</c:v>
              </c:pt>
              <c:pt idx="95">
                <c:v>24000</c:v>
              </c:pt>
              <c:pt idx="96">
                <c:v>24250</c:v>
              </c:pt>
              <c:pt idx="97">
                <c:v>24500</c:v>
              </c:pt>
              <c:pt idx="98">
                <c:v>24750</c:v>
              </c:pt>
              <c:pt idx="99">
                <c:v>25000</c:v>
              </c:pt>
            </c:numLit>
          </c:xVal>
          <c:yVal>
            <c:numLit>
              <c:formatCode>General</c:formatCode>
              <c:ptCount val="100"/>
              <c:pt idx="0">
                <c:v>1187.7989027026563</c:v>
              </c:pt>
              <c:pt idx="1">
                <c:v>1223.6056279588165</c:v>
              </c:pt>
              <c:pt idx="2">
                <c:v>1260.4917628445473</c:v>
              </c:pt>
              <c:pt idx="3">
                <c:v>1298.4898466423456</c:v>
              </c:pt>
              <c:pt idx="4">
                <c:v>1337.6333995458249</c:v>
              </c:pt>
              <c:pt idx="5">
                <c:v>1377.956952229719</c:v>
              </c:pt>
              <c:pt idx="6">
                <c:v>1419.4960763112781</c:v>
              </c:pt>
              <c:pt idx="7">
                <c:v>1462.2874157299505</c:v>
              </c:pt>
              <c:pt idx="8">
                <c:v>1506.3687190730052</c:v>
              </c:pt>
              <c:pt idx="9">
                <c:v>1551.7788728756343</c:v>
              </c:pt>
              <c:pt idx="10">
                <c:v>1598.557935924897</c:v>
              </c:pt>
              <c:pt idx="11">
                <c:v>1646.7471745977723</c:v>
              </c:pt>
              <c:pt idx="12">
                <c:v>1696.3890992644949</c:v>
              </c:pt>
              <c:pt idx="13">
                <c:v>1747.5275017892832</c:v>
              </c:pt>
              <c:pt idx="14">
                <c:v>1800.2074941615415</c:v>
              </c:pt>
              <c:pt idx="15">
                <c:v>1854.4755482916269</c:v>
              </c:pt>
              <c:pt idx="16">
                <c:v>1910.379537006263</c:v>
              </c:pt>
              <c:pt idx="17">
                <c:v>1967.9687762797885</c:v>
              </c:pt>
              <c:pt idx="18">
                <c:v>2027.2940687384837</c:v>
              </c:pt>
              <c:pt idx="19">
                <c:v>2088.4077484763538</c:v>
              </c:pt>
              <c:pt idx="20">
                <c:v>2151.3637272218984</c:v>
              </c:pt>
              <c:pt idx="21">
                <c:v>2216.2175418966099</c:v>
              </c:pt>
              <c:pt idx="22">
                <c:v>2283.0264036071353</c:v>
              </c:pt>
              <c:pt idx="23">
                <c:v>2351.8492481143294</c:v>
              </c:pt>
              <c:pt idx="24">
                <c:v>2422.7467878237244</c:v>
              </c:pt>
              <c:pt idx="25">
                <c:v>2495.7815653432708</c:v>
              </c:pt>
              <c:pt idx="26">
                <c:v>2571.0180086556015</c:v>
              </c:pt>
              <c:pt idx="27">
                <c:v>2648.5224879534894</c:v>
              </c:pt>
              <c:pt idx="28">
                <c:v>2728.3633741886351</c:v>
              </c:pt>
              <c:pt idx="29">
                <c:v>2810.6110993854313</c:v>
              </c:pt>
              <c:pt idx="30">
                <c:v>2895.3382187729144</c:v>
              </c:pt>
              <c:pt idx="31">
                <c:v>2982.619474789713</c:v>
              </c:pt>
              <c:pt idx="32">
                <c:v>3072.5318630184502</c:v>
              </c:pt>
              <c:pt idx="33">
                <c:v>3165.1547001077697</c:v>
              </c:pt>
              <c:pt idx="34">
                <c:v>3260.569693741902</c:v>
              </c:pt>
              <c:pt idx="35">
                <c:v>3358.8610147194959</c:v>
              </c:pt>
              <c:pt idx="36">
                <c:v>3460.1153712052901</c:v>
              </c:pt>
              <c:pt idx="37">
                <c:v>3564.4220852201456</c:v>
              </c:pt>
              <c:pt idx="38">
                <c:v>3671.8731714369005</c:v>
              </c:pt>
              <c:pt idx="39">
                <c:v>3782.5634183515504</c:v>
              </c:pt>
              <c:pt idx="40">
                <c:v>3896.5904719013906</c:v>
              </c:pt>
              <c:pt idx="41">
                <c:v>4014.0549216038448</c:v>
              </c:pt>
              <c:pt idx="42">
                <c:v>4135.0603892919953</c:v>
              </c:pt>
              <c:pt idx="43">
                <c:v>4259.7136205250927</c:v>
              </c:pt>
              <c:pt idx="44">
                <c:v>4388.1245787546513</c:v>
              </c:pt>
              <c:pt idx="45">
                <c:v>4520.4065423292595</c:v>
              </c:pt>
              <c:pt idx="46">
                <c:v>4656.6762044236139</c:v>
              </c:pt>
              <c:pt idx="47">
                <c:v>4797.0537759799636</c:v>
              </c:pt>
              <c:pt idx="48">
                <c:v>4941.6630917527873</c:v>
              </c:pt>
              <c:pt idx="49">
                <c:v>5090.6317195502124</c:v>
              </c:pt>
              <c:pt idx="50">
                <c:v>5244.0910727685732</c:v>
              </c:pt>
              <c:pt idx="51">
                <c:v>5402.1765263193884</c:v>
              </c:pt>
              <c:pt idx="52">
                <c:v>5565.0275360509759</c:v>
              </c:pt>
              <c:pt idx="53">
                <c:v>5732.787761770116</c:v>
              </c:pt>
              <c:pt idx="54">
                <c:v>5905.6051939722474</c:v>
              </c:pt>
              <c:pt idx="55">
                <c:v>6083.6322843919934</c:v>
              </c:pt>
              <c:pt idx="56">
                <c:v>6267.0260804891959</c:v>
              </c:pt>
              <c:pt idx="57">
                <c:v>6455.9483639891005</c:v>
              </c:pt>
              <c:pt idx="58">
                <c:v>6650.5657935988893</c:v>
              </c:pt>
              <c:pt idx="59">
                <c:v>6851.0500520264504</c:v>
              </c:pt>
              <c:pt idx="60">
                <c:v>7057.5779974311345</c:v>
              </c:pt>
              <c:pt idx="61">
                <c:v>7270.3318194400099</c:v>
              </c:pt>
              <c:pt idx="62">
                <c:v>7489.4991998673513</c:v>
              </c:pt>
              <c:pt idx="63">
                <c:v>7715.2734782790376</c:v>
              </c:pt>
              <c:pt idx="64">
                <c:v>7947.8538225480006</c:v>
              </c:pt>
              <c:pt idx="65">
                <c:v>8187.4454045511229</c:v>
              </c:pt>
              <c:pt idx="66">
                <c:v>8434.2595811626034</c:v>
              </c:pt>
              <c:pt idx="67">
                <c:v>8688.5140807034477</c:v>
              </c:pt>
              <c:pt idx="68">
                <c:v>8950.4331950115647</c:v>
              </c:pt>
              <c:pt idx="69">
                <c:v>9220.2479773018858</c:v>
              </c:pt>
              <c:pt idx="70">
                <c:v>9498.1964459910869</c:v>
              </c:pt>
              <c:pt idx="71">
                <c:v>9784.5237946666894</c:v>
              </c:pt>
              <c:pt idx="72">
                <c:v>10079.482608385768</c:v>
              </c:pt>
              <c:pt idx="73">
                <c:v>10383.333086494067</c:v>
              </c:pt>
              <c:pt idx="74">
                <c:v>10696.343272162148</c:v>
              </c:pt>
              <c:pt idx="75">
                <c:v>11018.789288840924</c:v>
              </c:pt>
              <c:pt idx="76">
                <c:v>11350.955583845333</c:v>
              </c:pt>
              <c:pt idx="77">
                <c:v>11693.135179280924</c:v>
              </c:pt>
              <c:pt idx="78">
                <c:v>12045.629930534677</c:v>
              </c:pt>
              <c:pt idx="79">
                <c:v>12408.75079255825</c:v>
              </c:pt>
              <c:pt idx="80">
                <c:v>12782.818094178347</c:v>
              </c:pt>
              <c:pt idx="81">
                <c:v>13168.161820676389</c:v>
              </c:pt>
              <c:pt idx="82">
                <c:v>13565.121904886584</c:v>
              </c:pt>
              <c:pt idx="83">
                <c:v>13974.048527069355</c:v>
              </c:pt>
              <c:pt idx="84">
                <c:v>14395.302423824542</c:v>
              </c:pt>
              <c:pt idx="85">
                <c:v>14829.255206316931</c:v>
              </c:pt>
              <c:pt idx="86">
                <c:v>15276.289688094863</c:v>
              </c:pt>
              <c:pt idx="87">
                <c:v>15736.800222791037</c:v>
              </c:pt>
              <c:pt idx="88">
                <c:v>16211.193052003498</c:v>
              </c:pt>
              <c:pt idx="89">
                <c:v>16699.886663663605</c:v>
              </c:pt>
              <c:pt idx="90">
                <c:v>17203.312161207195</c:v>
              </c:pt>
              <c:pt idx="91">
                <c:v>17721.913643874603</c:v>
              </c:pt>
              <c:pt idx="92">
                <c:v>18256.148598474887</c:v>
              </c:pt>
              <c:pt idx="93">
                <c:v>18806.488302960093</c:v>
              </c:pt>
              <c:pt idx="94">
                <c:v>19373.418242165346</c:v>
              </c:pt>
              <c:pt idx="95">
                <c:v>19957.438536081674</c:v>
              </c:pt>
              <c:pt idx="96">
                <c:v>20559.064381039276</c:v>
              </c:pt>
              <c:pt idx="97">
                <c:v>21178.826504190416</c:v>
              </c:pt>
              <c:pt idx="98">
                <c:v>21817.271631693009</c:v>
              </c:pt>
              <c:pt idx="99">
                <c:v>22474.962971007721</c:v>
              </c:pt>
            </c:numLit>
          </c:yVal>
          <c:smooth val="1"/>
        </c:ser>
        <c:ser>
          <c:idx val="1"/>
          <c:order val="1"/>
          <c:tx>
            <c:v>Medium Cost</c:v>
          </c:tx>
          <c:marker>
            <c:symbol val="none"/>
          </c:marker>
          <c:xVal>
            <c:numLit>
              <c:formatCode>General</c:formatCode>
              <c:ptCount val="100"/>
              <c:pt idx="0">
                <c:v>250</c:v>
              </c:pt>
              <c:pt idx="1">
                <c:v>500</c:v>
              </c:pt>
              <c:pt idx="2">
                <c:v>750</c:v>
              </c:pt>
              <c:pt idx="3">
                <c:v>1000</c:v>
              </c:pt>
              <c:pt idx="4">
                <c:v>1250</c:v>
              </c:pt>
              <c:pt idx="5">
                <c:v>1500</c:v>
              </c:pt>
              <c:pt idx="6">
                <c:v>1750</c:v>
              </c:pt>
              <c:pt idx="7">
                <c:v>2000</c:v>
              </c:pt>
              <c:pt idx="8">
                <c:v>2250</c:v>
              </c:pt>
              <c:pt idx="9">
                <c:v>2500</c:v>
              </c:pt>
              <c:pt idx="10">
                <c:v>2750</c:v>
              </c:pt>
              <c:pt idx="11">
                <c:v>3000</c:v>
              </c:pt>
              <c:pt idx="12">
                <c:v>3250</c:v>
              </c:pt>
              <c:pt idx="13">
                <c:v>3500</c:v>
              </c:pt>
              <c:pt idx="14">
                <c:v>3750</c:v>
              </c:pt>
              <c:pt idx="15">
                <c:v>4000</c:v>
              </c:pt>
              <c:pt idx="16">
                <c:v>4250</c:v>
              </c:pt>
              <c:pt idx="17">
                <c:v>4500</c:v>
              </c:pt>
              <c:pt idx="18">
                <c:v>4750</c:v>
              </c:pt>
              <c:pt idx="19">
                <c:v>5000</c:v>
              </c:pt>
              <c:pt idx="20">
                <c:v>5250</c:v>
              </c:pt>
              <c:pt idx="21">
                <c:v>5500</c:v>
              </c:pt>
              <c:pt idx="22">
                <c:v>5750</c:v>
              </c:pt>
              <c:pt idx="23">
                <c:v>6000</c:v>
              </c:pt>
              <c:pt idx="24">
                <c:v>6250</c:v>
              </c:pt>
              <c:pt idx="25">
                <c:v>6500</c:v>
              </c:pt>
              <c:pt idx="26">
                <c:v>6750</c:v>
              </c:pt>
              <c:pt idx="27">
                <c:v>7000</c:v>
              </c:pt>
              <c:pt idx="28">
                <c:v>7250</c:v>
              </c:pt>
              <c:pt idx="29">
                <c:v>7500</c:v>
              </c:pt>
              <c:pt idx="30">
                <c:v>7750</c:v>
              </c:pt>
              <c:pt idx="31">
                <c:v>8000</c:v>
              </c:pt>
              <c:pt idx="32">
                <c:v>8250</c:v>
              </c:pt>
              <c:pt idx="33">
                <c:v>8500</c:v>
              </c:pt>
              <c:pt idx="34">
                <c:v>8750</c:v>
              </c:pt>
              <c:pt idx="35">
                <c:v>9000</c:v>
              </c:pt>
              <c:pt idx="36">
                <c:v>9250</c:v>
              </c:pt>
              <c:pt idx="37">
                <c:v>9500</c:v>
              </c:pt>
              <c:pt idx="38">
                <c:v>9750</c:v>
              </c:pt>
              <c:pt idx="39">
                <c:v>10000</c:v>
              </c:pt>
              <c:pt idx="40">
                <c:v>10250</c:v>
              </c:pt>
              <c:pt idx="41">
                <c:v>10500</c:v>
              </c:pt>
              <c:pt idx="42">
                <c:v>10750</c:v>
              </c:pt>
              <c:pt idx="43">
                <c:v>11000</c:v>
              </c:pt>
              <c:pt idx="44">
                <c:v>11250</c:v>
              </c:pt>
              <c:pt idx="45">
                <c:v>11500</c:v>
              </c:pt>
              <c:pt idx="46">
                <c:v>11750</c:v>
              </c:pt>
              <c:pt idx="47">
                <c:v>12000</c:v>
              </c:pt>
              <c:pt idx="48">
                <c:v>12250</c:v>
              </c:pt>
              <c:pt idx="49">
                <c:v>12500</c:v>
              </c:pt>
              <c:pt idx="50">
                <c:v>12750</c:v>
              </c:pt>
              <c:pt idx="51">
                <c:v>13000</c:v>
              </c:pt>
              <c:pt idx="52">
                <c:v>13250</c:v>
              </c:pt>
              <c:pt idx="53">
                <c:v>13500</c:v>
              </c:pt>
              <c:pt idx="54">
                <c:v>13750</c:v>
              </c:pt>
              <c:pt idx="55">
                <c:v>14000</c:v>
              </c:pt>
              <c:pt idx="56">
                <c:v>14250</c:v>
              </c:pt>
              <c:pt idx="57">
                <c:v>14500</c:v>
              </c:pt>
              <c:pt idx="58">
                <c:v>14750</c:v>
              </c:pt>
              <c:pt idx="59">
                <c:v>15000</c:v>
              </c:pt>
              <c:pt idx="60">
                <c:v>15250</c:v>
              </c:pt>
              <c:pt idx="61">
                <c:v>15500</c:v>
              </c:pt>
              <c:pt idx="62">
                <c:v>15750</c:v>
              </c:pt>
              <c:pt idx="63">
                <c:v>16000</c:v>
              </c:pt>
              <c:pt idx="64">
                <c:v>16250</c:v>
              </c:pt>
              <c:pt idx="65">
                <c:v>16500</c:v>
              </c:pt>
              <c:pt idx="66">
                <c:v>16750</c:v>
              </c:pt>
              <c:pt idx="67">
                <c:v>17000</c:v>
              </c:pt>
              <c:pt idx="68">
                <c:v>17250</c:v>
              </c:pt>
              <c:pt idx="69">
                <c:v>17500</c:v>
              </c:pt>
              <c:pt idx="70">
                <c:v>17750</c:v>
              </c:pt>
              <c:pt idx="71">
                <c:v>18000</c:v>
              </c:pt>
              <c:pt idx="72">
                <c:v>18250</c:v>
              </c:pt>
              <c:pt idx="73">
                <c:v>18500</c:v>
              </c:pt>
              <c:pt idx="74">
                <c:v>18750</c:v>
              </c:pt>
              <c:pt idx="75">
                <c:v>19000</c:v>
              </c:pt>
              <c:pt idx="76">
                <c:v>19250</c:v>
              </c:pt>
              <c:pt idx="77">
                <c:v>19500</c:v>
              </c:pt>
              <c:pt idx="78">
                <c:v>19750</c:v>
              </c:pt>
              <c:pt idx="79">
                <c:v>20000</c:v>
              </c:pt>
              <c:pt idx="80">
                <c:v>20250</c:v>
              </c:pt>
              <c:pt idx="81">
                <c:v>20500</c:v>
              </c:pt>
              <c:pt idx="82">
                <c:v>20750</c:v>
              </c:pt>
              <c:pt idx="83">
                <c:v>21000</c:v>
              </c:pt>
              <c:pt idx="84">
                <c:v>21250</c:v>
              </c:pt>
              <c:pt idx="85">
                <c:v>21500</c:v>
              </c:pt>
              <c:pt idx="86">
                <c:v>21750</c:v>
              </c:pt>
              <c:pt idx="87">
                <c:v>22000</c:v>
              </c:pt>
              <c:pt idx="88">
                <c:v>22250</c:v>
              </c:pt>
              <c:pt idx="89">
                <c:v>22500</c:v>
              </c:pt>
              <c:pt idx="90">
                <c:v>22750</c:v>
              </c:pt>
              <c:pt idx="91">
                <c:v>23000</c:v>
              </c:pt>
              <c:pt idx="92">
                <c:v>23250</c:v>
              </c:pt>
              <c:pt idx="93">
                <c:v>23500</c:v>
              </c:pt>
              <c:pt idx="94">
                <c:v>23750</c:v>
              </c:pt>
              <c:pt idx="95">
                <c:v>24000</c:v>
              </c:pt>
              <c:pt idx="96">
                <c:v>24250</c:v>
              </c:pt>
              <c:pt idx="97">
                <c:v>24500</c:v>
              </c:pt>
              <c:pt idx="98">
                <c:v>24750</c:v>
              </c:pt>
              <c:pt idx="99">
                <c:v>25000</c:v>
              </c:pt>
            </c:numLit>
          </c:xVal>
          <c:yVal>
            <c:numLit>
              <c:formatCode>General</c:formatCode>
              <c:ptCount val="100"/>
              <c:pt idx="0">
                <c:v>1196.8007235312052</c:v>
              </c:pt>
              <c:pt idx="1">
                <c:v>1242.2222748949005</c:v>
              </c:pt>
              <c:pt idx="2">
                <c:v>1289.36768662041</c:v>
              </c:pt>
              <c:pt idx="3">
                <c:v>1338.3023834776438</c:v>
              </c:pt>
              <c:pt idx="4">
                <c:v>1389.0942732685603</c:v>
              </c:pt>
              <c:pt idx="5">
                <c:v>1441.8138410643749</c:v>
              </c:pt>
              <c:pt idx="6">
                <c:v>1496.5342470193139</c:v>
              </c:pt>
              <c:pt idx="7">
                <c:v>1553.3314278966407</c:v>
              </c:pt>
              <c:pt idx="8">
                <c:v>1612.2842024478423</c:v>
              </c:pt>
              <c:pt idx="9">
                <c:v>1673.4743807912214</c:v>
              </c:pt>
              <c:pt idx="10">
                <c:v>1736.9868779416759</c:v>
              </c:pt>
              <c:pt idx="11">
                <c:v>1802.9098316492116</c:v>
              </c:pt>
              <c:pt idx="12">
                <c:v>1871.3347247097236</c:v>
              </c:pt>
              <c:pt idx="13">
                <c:v>1942.3565119177708</c:v>
              </c:pt>
              <c:pt idx="14">
                <c:v>2016.0737518375215</c:v>
              </c:pt>
              <c:pt idx="15">
                <c:v>2092.5887435747395</c:v>
              </c:pt>
              <c:pt idx="16">
                <c:v>2172.0076687395963</c:v>
              </c:pt>
              <c:pt idx="17">
                <c:v>2254.440738797332</c:v>
              </c:pt>
              <c:pt idx="18">
                <c:v>2340.0023480112327</c:v>
              </c:pt>
              <c:pt idx="19">
                <c:v>2428.811232190179</c:v>
              </c:pt>
              <c:pt idx="20">
                <c:v>2520.9906334610446</c:v>
              </c:pt>
              <c:pt idx="21">
                <c:v>2616.6684712946367</c:v>
              </c:pt>
              <c:pt idx="22">
                <c:v>2715.9775200224763</c:v>
              </c:pt>
              <c:pt idx="23">
                <c:v>2819.0555930907758</c:v>
              </c:pt>
              <c:pt idx="24">
                <c:v>2926.0457343073367</c:v>
              </c:pt>
              <c:pt idx="25">
                <c:v>3037.0964163467161</c:v>
              </c:pt>
              <c:pt idx="26">
                <c:v>3152.3617467891663</c:v>
              </c:pt>
              <c:pt idx="27">
                <c:v>3272.0016819792618</c:v>
              </c:pt>
              <c:pt idx="28">
                <c:v>3396.1822490009899</c:v>
              </c:pt>
              <c:pt idx="29">
                <c:v>3525.0757760773449</c:v>
              </c:pt>
              <c:pt idx="30">
                <c:v>3658.8611317141563</c:v>
              </c:pt>
              <c:pt idx="31">
                <c:v>3797.723972920026</c:v>
              </c:pt>
              <c:pt idx="32">
                <c:v>3941.8570028468148</c:v>
              </c:pt>
              <c:pt idx="33">
                <c:v>4091.4602382082289</c:v>
              </c:pt>
              <c:pt idx="34">
                <c:v>4246.7412868476085</c:v>
              </c:pt>
              <c:pt idx="35">
                <c:v>4407.9156358400905</c:v>
              </c:pt>
              <c:pt idx="36">
                <c:v>4575.2069505289783</c:v>
              </c:pt>
              <c:pt idx="37">
                <c:v>4748.8473849112615</c:v>
              </c:pt>
              <c:pt idx="38">
                <c:v>4929.0779038030514</c:v>
              </c:pt>
              <c:pt idx="39">
                <c:v>5116.1486172319856</c:v>
              </c:pt>
              <c:pt idx="40">
                <c:v>5310.3191275206555</c:v>
              </c:pt>
              <c:pt idx="41">
                <c:v>5511.8588895427038</c:v>
              </c:pt>
              <c:pt idx="42">
                <c:v>5721.047584651541</c:v>
              </c:pt>
              <c:pt idx="43">
                <c:v>5938.1755088005784</c:v>
              </c:pt>
              <c:pt idx="44">
                <c:v>6163.5439753935807</c:v>
              </c:pt>
              <c:pt idx="45">
                <c:v>6397.4657334241992</c:v>
              </c:pt>
              <c:pt idx="46">
                <c:v>6640.2654014849222</c:v>
              </c:pt>
              <c:pt idx="47">
                <c:v>6892.2799182477474</c:v>
              </c:pt>
              <c:pt idx="48">
                <c:v>7153.8590100417177</c:v>
              </c:pt>
              <c:pt idx="49">
                <c:v>7425.3656761761613</c:v>
              </c:pt>
              <c:pt idx="50">
                <c:v>7707.1766926831733</c:v>
              </c:pt>
              <c:pt idx="51">
                <c:v>7999.6831351783676</c:v>
              </c:pt>
              <c:pt idx="52">
                <c:v>8303.290921565469</c:v>
              </c:pt>
              <c:pt idx="53">
                <c:v>8618.4213753379263</c:v>
              </c:pt>
              <c:pt idx="54">
                <c:v>8945.5118102591732</c:v>
              </c:pt>
              <c:pt idx="55">
                <c:v>9285.0161372329821</c:v>
              </c:pt>
              <c:pt idx="56">
                <c:v>9637.405494206052</c:v>
              </c:pt>
              <c:pt idx="57">
                <c:v>10003.168899976949</c:v>
              </c:pt>
              <c:pt idx="58">
                <c:v>10382.81393281869</c:v>
              </c:pt>
              <c:pt idx="59">
                <c:v>10776.867434856804</c:v>
              </c:pt>
              <c:pt idx="60">
                <c:v>11185.876243180204</c:v>
              </c:pt>
              <c:pt idx="61">
                <c:v>11610.407948699607</c:v>
              </c:pt>
              <c:pt idx="62">
                <c:v>12051.051683806409</c:v>
              </c:pt>
              <c:pt idx="63">
                <c:v>12508.418939925294</c:v>
              </c:pt>
              <c:pt idx="64">
                <c:v>12983.14441609487</c:v>
              </c:pt>
              <c:pt idx="65">
                <c:v>13475.886899754096</c:v>
              </c:pt>
              <c:pt idx="66">
                <c:v>13987.330180956771</c:v>
              </c:pt>
              <c:pt idx="67">
                <c:v>14518.184001282636</c:v>
              </c:pt>
              <c:pt idx="68">
                <c:v>15069.185038762074</c:v>
              </c:pt>
              <c:pt idx="69">
                <c:v>15641.097930181148</c:v>
              </c:pt>
              <c:pt idx="70">
                <c:v>16234.716332185555</c:v>
              </c:pt>
              <c:pt idx="71">
                <c:v>16850.864022656246</c:v>
              </c:pt>
              <c:pt idx="72">
                <c:v>17490.396043884808</c:v>
              </c:pt>
              <c:pt idx="73">
                <c:v>18154.199889135391</c:v>
              </c:pt>
              <c:pt idx="74">
                <c:v>18843.196734239365</c:v>
              </c:pt>
              <c:pt idx="75">
                <c:v>19558.342715932256</c:v>
              </c:pt>
              <c:pt idx="76">
                <c:v>20300.630258706544</c:v>
              </c:pt>
              <c:pt idx="77">
                <c:v>21071.089452022028</c:v>
              </c:pt>
              <c:pt idx="78">
                <c:v>21870.789479784489</c:v>
              </c:pt>
              <c:pt idx="79">
                <c:v>22700.84010407684</c:v>
              </c:pt>
              <c:pt idx="80">
                <c:v>23562.393205201344</c:v>
              </c:pt>
              <c:pt idx="81">
                <c:v>24456.644380170444</c:v>
              </c:pt>
              <c:pt idx="82">
                <c:v>25384.834601864088</c:v>
              </c:pt>
              <c:pt idx="83">
                <c:v>26348.251941156352</c:v>
              </c:pt>
              <c:pt idx="84">
                <c:v>27348.233354400887</c:v>
              </c:pt>
              <c:pt idx="85">
                <c:v>28386.166538755995</c:v>
              </c:pt>
              <c:pt idx="86">
                <c:v>29463.491857923818</c:v>
              </c:pt>
              <c:pt idx="87">
                <c:v>30581.704340976015</c:v>
              </c:pt>
              <c:pt idx="88">
                <c:v>31742.355757040095</c:v>
              </c:pt>
              <c:pt idx="89">
                <c:v>32947.056768724848</c:v>
              </c:pt>
              <c:pt idx="90">
                <c:v>34197.479167273988</c:v>
              </c:pt>
              <c:pt idx="91">
                <c:v>35495.358192549116</c:v>
              </c:pt>
              <c:pt idx="92">
                <c:v>36842.494941061945</c:v>
              </c:pt>
              <c:pt idx="93">
                <c:v>38240.758865397307</c:v>
              </c:pt>
              <c:pt idx="94">
                <c:v>39692.09036849533</c:v>
              </c:pt>
              <c:pt idx="95">
                <c:v>41198.503496393183</c:v>
              </c:pt>
              <c:pt idx="96">
                <c:v>42762.088733162993</c:v>
              </c:pt>
              <c:pt idx="97">
                <c:v>44385.015901924533</c:v>
              </c:pt>
              <c:pt idx="98">
                <c:v>46069.537175958634</c:v>
              </c:pt>
              <c:pt idx="99">
                <c:v>47817.990204099631</c:v>
              </c:pt>
            </c:numLit>
          </c:yVal>
          <c:smooth val="1"/>
        </c:ser>
        <c:ser>
          <c:idx val="2"/>
          <c:order val="2"/>
          <c:tx>
            <c:v>High Cost</c:v>
          </c:tx>
          <c:marker>
            <c:symbol val="none"/>
          </c:marker>
          <c:xVal>
            <c:numLit>
              <c:formatCode>General</c:formatCode>
              <c:ptCount val="100"/>
              <c:pt idx="0">
                <c:v>250</c:v>
              </c:pt>
              <c:pt idx="1">
                <c:v>500</c:v>
              </c:pt>
              <c:pt idx="2">
                <c:v>750</c:v>
              </c:pt>
              <c:pt idx="3">
                <c:v>1000</c:v>
              </c:pt>
              <c:pt idx="4">
                <c:v>1250</c:v>
              </c:pt>
              <c:pt idx="5">
                <c:v>1500</c:v>
              </c:pt>
              <c:pt idx="6">
                <c:v>1750</c:v>
              </c:pt>
              <c:pt idx="7">
                <c:v>2000</c:v>
              </c:pt>
              <c:pt idx="8">
                <c:v>2250</c:v>
              </c:pt>
              <c:pt idx="9">
                <c:v>2500</c:v>
              </c:pt>
              <c:pt idx="10">
                <c:v>2750</c:v>
              </c:pt>
              <c:pt idx="11">
                <c:v>3000</c:v>
              </c:pt>
              <c:pt idx="12">
                <c:v>3250</c:v>
              </c:pt>
              <c:pt idx="13">
                <c:v>3500</c:v>
              </c:pt>
              <c:pt idx="14">
                <c:v>3750</c:v>
              </c:pt>
              <c:pt idx="15">
                <c:v>4000</c:v>
              </c:pt>
              <c:pt idx="16">
                <c:v>4250</c:v>
              </c:pt>
              <c:pt idx="17">
                <c:v>4500</c:v>
              </c:pt>
              <c:pt idx="18">
                <c:v>4750</c:v>
              </c:pt>
              <c:pt idx="19">
                <c:v>5000</c:v>
              </c:pt>
              <c:pt idx="20">
                <c:v>5250</c:v>
              </c:pt>
              <c:pt idx="21">
                <c:v>5500</c:v>
              </c:pt>
              <c:pt idx="22">
                <c:v>5750</c:v>
              </c:pt>
              <c:pt idx="23">
                <c:v>6000</c:v>
              </c:pt>
              <c:pt idx="24">
                <c:v>6250</c:v>
              </c:pt>
              <c:pt idx="25">
                <c:v>6500</c:v>
              </c:pt>
              <c:pt idx="26">
                <c:v>6750</c:v>
              </c:pt>
              <c:pt idx="27">
                <c:v>7000</c:v>
              </c:pt>
              <c:pt idx="28">
                <c:v>7250</c:v>
              </c:pt>
              <c:pt idx="29">
                <c:v>7500</c:v>
              </c:pt>
              <c:pt idx="30">
                <c:v>7750</c:v>
              </c:pt>
              <c:pt idx="31">
                <c:v>8000</c:v>
              </c:pt>
              <c:pt idx="32">
                <c:v>8250</c:v>
              </c:pt>
              <c:pt idx="33">
                <c:v>8500</c:v>
              </c:pt>
              <c:pt idx="34">
                <c:v>8750</c:v>
              </c:pt>
              <c:pt idx="35">
                <c:v>9000</c:v>
              </c:pt>
              <c:pt idx="36">
                <c:v>9250</c:v>
              </c:pt>
              <c:pt idx="37">
                <c:v>9500</c:v>
              </c:pt>
              <c:pt idx="38">
                <c:v>9750</c:v>
              </c:pt>
              <c:pt idx="39">
                <c:v>10000</c:v>
              </c:pt>
              <c:pt idx="40">
                <c:v>10250</c:v>
              </c:pt>
              <c:pt idx="41">
                <c:v>10500</c:v>
              </c:pt>
              <c:pt idx="42">
                <c:v>10750</c:v>
              </c:pt>
              <c:pt idx="43">
                <c:v>11000</c:v>
              </c:pt>
              <c:pt idx="44">
                <c:v>11250</c:v>
              </c:pt>
              <c:pt idx="45">
                <c:v>11500</c:v>
              </c:pt>
              <c:pt idx="46">
                <c:v>11750</c:v>
              </c:pt>
              <c:pt idx="47">
                <c:v>12000</c:v>
              </c:pt>
              <c:pt idx="48">
                <c:v>12250</c:v>
              </c:pt>
              <c:pt idx="49">
                <c:v>12500</c:v>
              </c:pt>
              <c:pt idx="50">
                <c:v>12750</c:v>
              </c:pt>
              <c:pt idx="51">
                <c:v>13000</c:v>
              </c:pt>
              <c:pt idx="52">
                <c:v>13250</c:v>
              </c:pt>
              <c:pt idx="53">
                <c:v>13500</c:v>
              </c:pt>
              <c:pt idx="54">
                <c:v>13750</c:v>
              </c:pt>
              <c:pt idx="55">
                <c:v>14000</c:v>
              </c:pt>
              <c:pt idx="56">
                <c:v>14250</c:v>
              </c:pt>
              <c:pt idx="57">
                <c:v>14500</c:v>
              </c:pt>
              <c:pt idx="58">
                <c:v>14750</c:v>
              </c:pt>
              <c:pt idx="59">
                <c:v>15000</c:v>
              </c:pt>
              <c:pt idx="60">
                <c:v>15250</c:v>
              </c:pt>
              <c:pt idx="61">
                <c:v>15500</c:v>
              </c:pt>
              <c:pt idx="62">
                <c:v>15750</c:v>
              </c:pt>
              <c:pt idx="63">
                <c:v>16000</c:v>
              </c:pt>
              <c:pt idx="64">
                <c:v>16250</c:v>
              </c:pt>
              <c:pt idx="65">
                <c:v>16500</c:v>
              </c:pt>
              <c:pt idx="66">
                <c:v>16750</c:v>
              </c:pt>
              <c:pt idx="67">
                <c:v>17000</c:v>
              </c:pt>
              <c:pt idx="68">
                <c:v>17250</c:v>
              </c:pt>
              <c:pt idx="69">
                <c:v>17500</c:v>
              </c:pt>
              <c:pt idx="70">
                <c:v>17750</c:v>
              </c:pt>
              <c:pt idx="71">
                <c:v>18000</c:v>
              </c:pt>
              <c:pt idx="72">
                <c:v>18250</c:v>
              </c:pt>
              <c:pt idx="73">
                <c:v>18500</c:v>
              </c:pt>
              <c:pt idx="74">
                <c:v>18750</c:v>
              </c:pt>
              <c:pt idx="75">
                <c:v>19000</c:v>
              </c:pt>
              <c:pt idx="76">
                <c:v>19250</c:v>
              </c:pt>
              <c:pt idx="77">
                <c:v>19500</c:v>
              </c:pt>
              <c:pt idx="78">
                <c:v>19750</c:v>
              </c:pt>
              <c:pt idx="79">
                <c:v>20000</c:v>
              </c:pt>
              <c:pt idx="80">
                <c:v>20250</c:v>
              </c:pt>
              <c:pt idx="81">
                <c:v>20500</c:v>
              </c:pt>
              <c:pt idx="82">
                <c:v>20750</c:v>
              </c:pt>
              <c:pt idx="83">
                <c:v>21000</c:v>
              </c:pt>
              <c:pt idx="84">
                <c:v>21250</c:v>
              </c:pt>
              <c:pt idx="85">
                <c:v>21500</c:v>
              </c:pt>
              <c:pt idx="86">
                <c:v>21750</c:v>
              </c:pt>
              <c:pt idx="87">
                <c:v>22000</c:v>
              </c:pt>
              <c:pt idx="88">
                <c:v>22250</c:v>
              </c:pt>
              <c:pt idx="89">
                <c:v>22500</c:v>
              </c:pt>
              <c:pt idx="90">
                <c:v>22750</c:v>
              </c:pt>
              <c:pt idx="91">
                <c:v>23000</c:v>
              </c:pt>
              <c:pt idx="92">
                <c:v>23250</c:v>
              </c:pt>
              <c:pt idx="93">
                <c:v>23500</c:v>
              </c:pt>
              <c:pt idx="94">
                <c:v>23750</c:v>
              </c:pt>
              <c:pt idx="95">
                <c:v>24000</c:v>
              </c:pt>
              <c:pt idx="96">
                <c:v>24250</c:v>
              </c:pt>
              <c:pt idx="97">
                <c:v>24500</c:v>
              </c:pt>
              <c:pt idx="98">
                <c:v>24750</c:v>
              </c:pt>
              <c:pt idx="99">
                <c:v>25000</c:v>
              </c:pt>
            </c:numLit>
          </c:xVal>
          <c:yVal>
            <c:numLit>
              <c:formatCode>General</c:formatCode>
              <c:ptCount val="100"/>
              <c:pt idx="0">
                <c:v>1208.8287707691475</c:v>
              </c:pt>
              <c:pt idx="1">
                <c:v>1267.3168294588629</c:v>
              </c:pt>
              <c:pt idx="2">
                <c:v>1328.6347786111583</c:v>
              </c:pt>
              <c:pt idx="3">
                <c:v>1392.919539850885</c:v>
              </c:pt>
              <c:pt idx="4">
                <c:v>1460.3146596286961</c:v>
              </c:pt>
              <c:pt idx="5">
                <c:v>1530.970629757096</c:v>
              </c:pt>
              <c:pt idx="6">
                <c:v>1605.0452234553329</c:v>
              </c:pt>
              <c:pt idx="7">
                <c:v>1682.7038476535081</c:v>
              </c:pt>
              <c:pt idx="8">
                <c:v>1764.1199123425945</c:v>
              </c:pt>
              <c:pt idx="9">
                <c:v>1849.4752177951107</c:v>
              </c:pt>
              <c:pt idx="10">
                <c:v>1938.9603605211125</c:v>
              </c:pt>
              <c:pt idx="11">
                <c:v>2032.7751588659883</c:v>
              </c:pt>
              <c:pt idx="12">
                <c:v>2131.129099200401</c:v>
              </c:pt>
              <c:pt idx="13">
                <c:v>2234.2418036987269</c:v>
              </c:pt>
              <c:pt idx="14">
                <c:v>2342.3435207505163</c:v>
              </c:pt>
              <c:pt idx="15">
                <c:v>2455.6756391000504</c:v>
              </c:pt>
              <c:pt idx="16">
                <c:v>2574.4912268620815</c:v>
              </c:pt>
              <c:pt idx="17">
                <c:v>2699.0555966173274</c:v>
              </c:pt>
              <c:pt idx="18">
                <c:v>2829.6468978496064</c:v>
              </c:pt>
              <c:pt idx="19">
                <c:v>2966.556738047484</c:v>
              </c:pt>
              <c:pt idx="20">
                <c:v>3110.0908338573431</c:v>
              </c:pt>
              <c:pt idx="21">
                <c:v>3260.569693741902</c:v>
              </c:pt>
              <c:pt idx="22">
                <c:v>3418.3293336685279</c:v>
              </c:pt>
              <c:pt idx="23">
                <c:v>3583.7220274254519</c:v>
              </c:pt>
              <c:pt idx="24">
                <c:v>3757.1170932413675</c:v>
              </c:pt>
              <c:pt idx="25">
                <c:v>3938.9017184648519</c:v>
              </c:pt>
              <c:pt idx="26">
                <c:v>4129.4818241451712</c:v>
              </c:pt>
              <c:pt idx="27">
                <c:v>4329.2829714450008</c:v>
              </c:pt>
              <c:pt idx="28">
                <c:v>4538.7513119090918</c:v>
              </c:pt>
              <c:pt idx="29">
                <c:v>4758.3545837108195</c:v>
              </c:pt>
              <c:pt idx="30">
                <c:v>4988.5831561011628</c:v>
              </c:pt>
              <c:pt idx="31">
                <c:v>5229.9511243924244</c:v>
              </c:pt>
              <c:pt idx="32">
                <c:v>5482.9974579216796</c:v>
              </c:pt>
              <c:pt idx="33">
                <c:v>5748.2872035573992</c:v>
              </c:pt>
              <c:pt idx="34">
                <c:v>6026.4127474366096</c:v>
              </c:pt>
              <c:pt idx="35">
                <c:v>6317.9951377500493</c:v>
              </c:pt>
              <c:pt idx="36">
                <c:v>6623.6854715290365</c:v>
              </c:pt>
              <c:pt idx="37">
                <c:v>6944.1663485307554</c:v>
              </c:pt>
              <c:pt idx="38">
                <c:v>7280.1533954684237</c:v>
              </c:pt>
              <c:pt idx="39">
                <c:v>7632.3968639899122</c:v>
              </c:pt>
              <c:pt idx="40">
                <c:v>8001.6833059730943</c:v>
              </c:pt>
              <c:pt idx="41">
                <c:v>8388.8373298788083</c:v>
              </c:pt>
              <c:pt idx="42">
                <c:v>8794.7234420833083</c:v>
              </c:pt>
              <c:pt idx="43">
                <c:v>9220.2479773018858</c:v>
              </c:pt>
              <c:pt idx="44">
                <c:v>9666.3611224142714</c:v>
              </c:pt>
              <c:pt idx="45">
                <c:v>10134.05903821092</c:v>
              </c:pt>
              <c:pt idx="46">
                <c:v>10624.386083798021</c:v>
              </c:pt>
              <c:pt idx="47">
                <c:v>11138.437148628316</c:v>
              </c:pt>
              <c:pt idx="48">
                <c:v>11677.36009736503</c:v>
              </c:pt>
              <c:pt idx="49">
                <c:v>12242.358333038279</c:v>
              </c:pt>
              <c:pt idx="50">
                <c:v>12834.693484217452</c:v>
              </c:pt>
              <c:pt idx="51">
                <c:v>13455.688222199895</c:v>
              </c:pt>
              <c:pt idx="52">
                <c:v>14106.729214506684</c:v>
              </c:pt>
              <c:pt idx="53">
                <c:v>14789.270221280553</c:v>
              </c:pt>
              <c:pt idx="54">
                <c:v>15504.835341500146</c:v>
              </c:pt>
              <c:pt idx="55">
                <c:v>16255.022416259324</c:v>
              </c:pt>
              <c:pt idx="56">
                <c:v>17041.506596711035</c:v>
              </c:pt>
              <c:pt idx="57">
                <c:v>17866.044084642781</c:v>
              </c:pt>
              <c:pt idx="58">
                <c:v>18730.476054036393</c:v>
              </c:pt>
              <c:pt idx="59">
                <c:v>19636.732762368832</c:v>
              </c:pt>
              <c:pt idx="60">
                <c:v>20586.837860834454</c:v>
              </c:pt>
              <c:pt idx="61">
                <c:v>21582.912913113367</c:v>
              </c:pt>
              <c:pt idx="62">
                <c:v>22627.182132776299</c:v>
              </c:pt>
              <c:pt idx="63">
                <c:v>23721.977349904246</c:v>
              </c:pt>
              <c:pt idx="64">
                <c:v>24869.743218013504</c:v>
              </c:pt>
              <c:pt idx="65">
                <c:v>26073.042672912998</c:v>
              </c:pt>
              <c:pt idx="66">
                <c:v>27334.562655683178</c:v>
              </c:pt>
              <c:pt idx="67">
                <c:v>28657.120112556135</c:v>
              </c:pt>
              <c:pt idx="68">
                <c:v>30043.668285094227</c:v>
              </c:pt>
              <c:pt idx="69">
                <c:v>31497.303304713161</c:v>
              </c:pt>
              <c:pt idx="70">
                <c:v>33021.27110627506</c:v>
              </c:pt>
              <c:pt idx="71">
                <c:v>34618.974676189238</c:v>
              </c:pt>
              <c:pt idx="72">
                <c:v>36293.981651205591</c:v>
              </c:pt>
              <c:pt idx="73">
                <c:v>38050.032284868539</c:v>
              </c:pt>
              <c:pt idx="74">
                <c:v>39891.047799420659</c:v>
              </c:pt>
              <c:pt idx="75">
                <c:v>41821.139141805099</c:v>
              </c:pt>
              <c:pt idx="76">
                <c:v>43844.616163319355</c:v>
              </c:pt>
              <c:pt idx="77">
                <c:v>45965.997243417754</c:v>
              </c:pt>
              <c:pt idx="78">
                <c:v>48190.019379153113</c:v>
              </c:pt>
              <c:pt idx="79">
                <c:v>50521.648762786223</c:v>
              </c:pt>
              <c:pt idx="80">
                <c:v>52966.091871183533</c:v>
              </c:pt>
              <c:pt idx="81">
                <c:v>55528.807091764829</c:v>
              </c:pt>
              <c:pt idx="82">
                <c:v>58215.516910961604</c:v>
              </c:pt>
              <c:pt idx="83">
                <c:v>61032.220692402894</c:v>
              </c:pt>
              <c:pt idx="84">
                <c:v>63985.208073361457</c:v>
              </c:pt>
              <c:pt idx="85">
                <c:v>67081.073009374901</c:v>
              </c:pt>
              <c:pt idx="86">
                <c:v>70326.728498402561</c:v>
              </c:pt>
              <c:pt idx="87">
                <c:v>73729.422017397068</c:v>
              </c:pt>
              <c:pt idx="88">
                <c:v>77296.751705760253</c:v>
              </c:pt>
              <c:pt idx="89">
                <c:v>81036.683331820328</c:v>
              </c:pt>
              <c:pt idx="90">
                <c:v>84957.568080216646</c:v>
              </c:pt>
              <c:pt idx="91">
                <c:v>89068.161199910202</c:v>
              </c:pt>
              <c:pt idx="92">
                <c:v>93377.641554460977</c:v>
              </c:pt>
              <c:pt idx="93">
                <c:v>97895.632118227542</c:v>
              </c:pt>
              <c:pt idx="94">
                <c:v>102632.22146425594</c:v>
              </c:pt>
              <c:pt idx="95">
                <c:v>107597.98629184013</c:v>
              </c:pt>
              <c:pt idx="96">
                <c:v>112804.01504405803</c:v>
              </c:pt>
              <c:pt idx="97">
                <c:v>118261.93266801935</c:v>
              </c:pt>
              <c:pt idx="98">
                <c:v>123983.92657311582</c:v>
              </c:pt>
              <c:pt idx="99">
                <c:v>129982.77384523676</c:v>
              </c:pt>
            </c:numLit>
          </c:yVal>
          <c:smooth val="1"/>
        </c:ser>
        <c:ser>
          <c:idx val="3"/>
          <c:order val="3"/>
          <c:tx>
            <c:v>ARRA Data</c:v>
          </c:tx>
          <c:spPr>
            <a:ln>
              <a:solidFill>
                <a:schemeClr val="tx1"/>
              </a:solidFill>
            </a:ln>
          </c:spPr>
          <c:marker>
            <c:spPr>
              <a:solidFill>
                <a:schemeClr val="tx1"/>
              </a:solidFill>
            </c:spPr>
          </c:marker>
          <c:xVal>
            <c:numLit>
              <c:formatCode>General</c:formatCode>
              <c:ptCount val="1"/>
              <c:pt idx="0">
                <c:v>8000</c:v>
              </c:pt>
            </c:numLit>
          </c:xVal>
          <c:yVal>
            <c:numLit>
              <c:formatCode>General</c:formatCode>
              <c:ptCount val="1"/>
              <c:pt idx="0">
                <c:v>3903</c:v>
              </c:pt>
            </c:numLit>
          </c:yVal>
          <c:smooth val="1"/>
        </c:ser>
        <c:ser>
          <c:idx val="4"/>
          <c:order val="4"/>
          <c:tx>
            <c:v>MIT Well Cost Lite</c:v>
          </c:tx>
          <c:spPr>
            <a:ln>
              <a:noFill/>
            </a:ln>
          </c:spPr>
          <c:marker>
            <c:symbol val="none"/>
          </c:marker>
          <c:trendline>
            <c:name>MIT (Well Cost Lite)</c:name>
            <c:spPr>
              <a:ln w="12700">
                <a:solidFill>
                  <a:sysClr val="windowText" lastClr="000000"/>
                </a:solidFill>
                <a:prstDash val="dash"/>
              </a:ln>
            </c:spPr>
            <c:trendlineType val="exp"/>
            <c:dispRSqr val="0"/>
            <c:dispEq val="0"/>
          </c:trendline>
          <c:xVal>
            <c:numLit>
              <c:formatCode>General</c:formatCode>
              <c:ptCount val="10"/>
              <c:pt idx="0">
                <c:v>4921.2449999999999</c:v>
              </c:pt>
              <c:pt idx="1">
                <c:v>8202.0749999999989</c:v>
              </c:pt>
              <c:pt idx="2">
                <c:v>9842.49</c:v>
              </c:pt>
              <c:pt idx="3">
                <c:v>13123.32</c:v>
              </c:pt>
              <c:pt idx="4">
                <c:v>16404.149999999998</c:v>
              </c:pt>
              <c:pt idx="5">
                <c:v>16404.149999999998</c:v>
              </c:pt>
              <c:pt idx="6">
                <c:v>19684.980000000003</c:v>
              </c:pt>
              <c:pt idx="7">
                <c:v>19684.980000000003</c:v>
              </c:pt>
              <c:pt idx="8">
                <c:v>24606.224999999999</c:v>
              </c:pt>
              <c:pt idx="9">
                <c:v>32808.300000000003</c:v>
              </c:pt>
            </c:numLit>
          </c:xVal>
          <c:yVal>
            <c:numLit>
              <c:formatCode>General</c:formatCode>
              <c:ptCount val="10"/>
              <c:pt idx="0">
                <c:v>4572.4000000000005</c:v>
              </c:pt>
              <c:pt idx="1">
                <c:v>6759.2</c:v>
              </c:pt>
              <c:pt idx="2">
                <c:v>7952</c:v>
              </c:pt>
              <c:pt idx="3">
                <c:v>10337.6</c:v>
              </c:pt>
              <c:pt idx="4">
                <c:v>13916</c:v>
              </c:pt>
              <c:pt idx="5">
                <c:v>16500.400000000001</c:v>
              </c:pt>
              <c:pt idx="6">
                <c:v>19283.599999999995</c:v>
              </c:pt>
              <c:pt idx="7">
                <c:v>24452.400000000001</c:v>
              </c:pt>
              <c:pt idx="8">
                <c:v>28627.200000000001</c:v>
              </c:pt>
              <c:pt idx="9">
                <c:v>39760</c:v>
              </c:pt>
            </c:numLit>
          </c:yVal>
          <c:smooth val="1"/>
        </c:ser>
        <c:dLbls>
          <c:showLegendKey val="0"/>
          <c:showVal val="0"/>
          <c:showCatName val="0"/>
          <c:showSerName val="0"/>
          <c:showPercent val="0"/>
          <c:showBubbleSize val="0"/>
        </c:dLbls>
        <c:axId val="288542656"/>
        <c:axId val="288543232"/>
      </c:scatterChart>
      <c:valAx>
        <c:axId val="288542656"/>
        <c:scaling>
          <c:orientation val="minMax"/>
          <c:max val="20000"/>
        </c:scaling>
        <c:delete val="0"/>
        <c:axPos val="b"/>
        <c:majorGridlines/>
        <c:title>
          <c:tx>
            <c:rich>
              <a:bodyPr/>
              <a:lstStyle/>
              <a:p>
                <a:pPr>
                  <a:defRPr/>
                </a:pPr>
                <a:r>
                  <a:rPr lang="en-US"/>
                  <a:t>Depth in feet</a:t>
                </a:r>
              </a:p>
            </c:rich>
          </c:tx>
          <c:overlay val="0"/>
        </c:title>
        <c:numFmt formatCode="#,##0" sourceLinked="0"/>
        <c:majorTickMark val="out"/>
        <c:minorTickMark val="none"/>
        <c:tickLblPos val="nextTo"/>
        <c:crossAx val="288543232"/>
        <c:crosses val="autoZero"/>
        <c:crossBetween val="midCat"/>
      </c:valAx>
      <c:valAx>
        <c:axId val="288543232"/>
        <c:scaling>
          <c:orientation val="minMax"/>
          <c:max val="50000"/>
          <c:min val="0"/>
        </c:scaling>
        <c:delete val="0"/>
        <c:axPos val="l"/>
        <c:majorGridlines/>
        <c:title>
          <c:tx>
            <c:rich>
              <a:bodyPr rot="-5400000" vert="horz"/>
              <a:lstStyle/>
              <a:p>
                <a:pPr>
                  <a:defRPr/>
                </a:pPr>
                <a:r>
                  <a:rPr lang="en-US"/>
                  <a:t>Cost in 2010  ($000)</a:t>
                </a:r>
              </a:p>
            </c:rich>
          </c:tx>
          <c:overlay val="0"/>
        </c:title>
        <c:numFmt formatCode="General" sourceLinked="1"/>
        <c:majorTickMark val="out"/>
        <c:minorTickMark val="none"/>
        <c:tickLblPos val="nextTo"/>
        <c:crossAx val="288542656"/>
        <c:crosses val="autoZero"/>
        <c:crossBetween val="midCat"/>
      </c:valAx>
    </c:plotArea>
    <c:legend>
      <c:legendPos val="r"/>
      <c:legendEntry>
        <c:idx val="9"/>
        <c:delete val="1"/>
      </c:legendEntry>
      <c:layout>
        <c:manualLayout>
          <c:xMode val="edge"/>
          <c:yMode val="edge"/>
          <c:x val="0.7630946667695937"/>
          <c:y val="0.36720945116575748"/>
          <c:w val="0.20742575799164398"/>
          <c:h val="0.39145794191969485"/>
        </c:manualLayout>
      </c:layout>
      <c:overlay val="0"/>
    </c:legend>
    <c:plotVisOnly val="1"/>
    <c:dispBlanksAs val="gap"/>
    <c:showDLblsOverMax val="0"/>
  </c:chart>
  <c:printSettings>
    <c:headerFooter/>
    <c:pageMargins b="0.75000000000001033" l="0.70000000000000062" r="0.70000000000000062" t="0.75000000000001033"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smoothMarker"/>
        <c:varyColors val="0"/>
        <c:ser>
          <c:idx val="0"/>
          <c:order val="0"/>
          <c:tx>
            <c:v>Oil and Gas Drilling PPI</c:v>
          </c:tx>
          <c:marker>
            <c:symbol val="none"/>
          </c:marker>
          <c:xVal>
            <c:numRef>
              <c:f>'BLS PPI Oil Gas Drilling'!$B$12:$B$36</c:f>
              <c:numCache>
                <c:formatCode>General</c:formatCode>
                <c:ptCount val="25"/>
                <c:pt idx="0">
                  <c:v>1986</c:v>
                </c:pt>
                <c:pt idx="1">
                  <c:v>1987</c:v>
                </c:pt>
                <c:pt idx="2">
                  <c:v>1988</c:v>
                </c:pt>
                <c:pt idx="3">
                  <c:v>1989</c:v>
                </c:pt>
                <c:pt idx="4">
                  <c:v>1990</c:v>
                </c:pt>
                <c:pt idx="5">
                  <c:v>1991</c:v>
                </c:pt>
                <c:pt idx="6">
                  <c:v>1992</c:v>
                </c:pt>
                <c:pt idx="7">
                  <c:v>1993</c:v>
                </c:pt>
                <c:pt idx="8">
                  <c:v>1994</c:v>
                </c:pt>
                <c:pt idx="9">
                  <c:v>1995</c:v>
                </c:pt>
                <c:pt idx="10">
                  <c:v>1996</c:v>
                </c:pt>
                <c:pt idx="11">
                  <c:v>1997</c:v>
                </c:pt>
                <c:pt idx="12">
                  <c:v>1998</c:v>
                </c:pt>
                <c:pt idx="13">
                  <c:v>1999</c:v>
                </c:pt>
                <c:pt idx="14">
                  <c:v>2000</c:v>
                </c:pt>
                <c:pt idx="15">
                  <c:v>2001</c:v>
                </c:pt>
                <c:pt idx="16">
                  <c:v>2002</c:v>
                </c:pt>
                <c:pt idx="17">
                  <c:v>2003</c:v>
                </c:pt>
                <c:pt idx="18">
                  <c:v>2004</c:v>
                </c:pt>
                <c:pt idx="19">
                  <c:v>2005</c:v>
                </c:pt>
                <c:pt idx="20">
                  <c:v>2006</c:v>
                </c:pt>
                <c:pt idx="21">
                  <c:v>2007</c:v>
                </c:pt>
                <c:pt idx="22">
                  <c:v>2008</c:v>
                </c:pt>
                <c:pt idx="23">
                  <c:v>2009</c:v>
                </c:pt>
                <c:pt idx="24">
                  <c:v>2010</c:v>
                </c:pt>
              </c:numCache>
            </c:numRef>
          </c:xVal>
          <c:yVal>
            <c:numRef>
              <c:f>'BLS PPI Oil Gas Drilling'!$P$12:$P$36</c:f>
              <c:numCache>
                <c:formatCode>General</c:formatCode>
                <c:ptCount val="25"/>
                <c:pt idx="0">
                  <c:v>0.58898036732108927</c:v>
                </c:pt>
                <c:pt idx="1">
                  <c:v>0.5547815072830905</c:v>
                </c:pt>
                <c:pt idx="2">
                  <c:v>0.56808106396453451</c:v>
                </c:pt>
                <c:pt idx="3">
                  <c:v>0.56048131728942363</c:v>
                </c:pt>
                <c:pt idx="4">
                  <c:v>0.57314756174794168</c:v>
                </c:pt>
                <c:pt idx="5">
                  <c:v>0.5801139962001266</c:v>
                </c:pt>
                <c:pt idx="6">
                  <c:v>0.57188093730208989</c:v>
                </c:pt>
                <c:pt idx="7">
                  <c:v>0.57884737175427492</c:v>
                </c:pt>
                <c:pt idx="8">
                  <c:v>0.58898036732108927</c:v>
                </c:pt>
                <c:pt idx="9">
                  <c:v>0.61241291956934774</c:v>
                </c:pt>
                <c:pt idx="10">
                  <c:v>0.62507916402786579</c:v>
                </c:pt>
                <c:pt idx="11">
                  <c:v>0.70360987967067756</c:v>
                </c:pt>
                <c:pt idx="12">
                  <c:v>0.75680810639645346</c:v>
                </c:pt>
                <c:pt idx="13">
                  <c:v>0.73844205193160217</c:v>
                </c:pt>
                <c:pt idx="14">
                  <c:v>0.79290690310322987</c:v>
                </c:pt>
                <c:pt idx="15">
                  <c:v>0.98796706776440779</c:v>
                </c:pt>
                <c:pt idx="16">
                  <c:v>0.93350221659278021</c:v>
                </c:pt>
                <c:pt idx="17">
                  <c:v>0.91196960101329949</c:v>
                </c:pt>
                <c:pt idx="18">
                  <c:v>1</c:v>
                </c:pt>
                <c:pt idx="19">
                  <c:v>1.5769474350854971</c:v>
                </c:pt>
                <c:pt idx="20">
                  <c:v>2.3559214692843571</c:v>
                </c:pt>
                <c:pt idx="21">
                  <c:v>2.298923369221026</c:v>
                </c:pt>
                <c:pt idx="22">
                  <c:v>2.3394553514882834</c:v>
                </c:pt>
                <c:pt idx="23">
                  <c:v>2.0360987967067765</c:v>
                </c:pt>
                <c:pt idx="24">
                  <c:v>1.9883700846335424</c:v>
                </c:pt>
              </c:numCache>
            </c:numRef>
          </c:yVal>
          <c:smooth val="1"/>
        </c:ser>
        <c:dLbls>
          <c:showLegendKey val="0"/>
          <c:showVal val="0"/>
          <c:showCatName val="0"/>
          <c:showSerName val="0"/>
          <c:showPercent val="0"/>
          <c:showBubbleSize val="0"/>
        </c:dLbls>
        <c:axId val="288546112"/>
        <c:axId val="289570816"/>
      </c:scatterChart>
      <c:valAx>
        <c:axId val="288546112"/>
        <c:scaling>
          <c:orientation val="minMax"/>
          <c:max val="2010"/>
          <c:min val="1985"/>
        </c:scaling>
        <c:delete val="0"/>
        <c:axPos val="b"/>
        <c:numFmt formatCode="General" sourceLinked="1"/>
        <c:majorTickMark val="out"/>
        <c:minorTickMark val="none"/>
        <c:tickLblPos val="nextTo"/>
        <c:crossAx val="289570816"/>
        <c:crosses val="autoZero"/>
        <c:crossBetween val="midCat"/>
        <c:majorUnit val="5"/>
      </c:valAx>
      <c:valAx>
        <c:axId val="289570816"/>
        <c:scaling>
          <c:orientation val="minMax"/>
        </c:scaling>
        <c:delete val="0"/>
        <c:axPos val="l"/>
        <c:majorGridlines/>
        <c:numFmt formatCode="General" sourceLinked="1"/>
        <c:majorTickMark val="out"/>
        <c:minorTickMark val="none"/>
        <c:tickLblPos val="nextTo"/>
        <c:crossAx val="288546112"/>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smoothMarker"/>
        <c:varyColors val="0"/>
        <c:ser>
          <c:idx val="0"/>
          <c:order val="0"/>
          <c:tx>
            <c:v>Power Plant Cost Index</c:v>
          </c:tx>
          <c:marker>
            <c:symbol val="none"/>
          </c:marker>
          <c:xVal>
            <c:numRef>
              <c:f>'CERA PCCI power plant index'!$C$19:$C$29</c:f>
              <c:numCache>
                <c:formatCode>General</c:formatCode>
                <c:ptCount val="11"/>
                <c:pt idx="0">
                  <c:v>2000</c:v>
                </c:pt>
                <c:pt idx="1">
                  <c:v>2001</c:v>
                </c:pt>
                <c:pt idx="2">
                  <c:v>2002</c:v>
                </c:pt>
                <c:pt idx="3">
                  <c:v>2003</c:v>
                </c:pt>
                <c:pt idx="4">
                  <c:v>2004</c:v>
                </c:pt>
                <c:pt idx="5">
                  <c:v>2005</c:v>
                </c:pt>
                <c:pt idx="6">
                  <c:v>2006</c:v>
                </c:pt>
                <c:pt idx="7">
                  <c:v>2007</c:v>
                </c:pt>
                <c:pt idx="8">
                  <c:v>2008</c:v>
                </c:pt>
                <c:pt idx="9">
                  <c:v>2009</c:v>
                </c:pt>
                <c:pt idx="10">
                  <c:v>2010</c:v>
                </c:pt>
              </c:numCache>
            </c:numRef>
          </c:xVal>
          <c:yVal>
            <c:numRef>
              <c:f>'CERA PCCI power plant index'!$D$19:$D$29</c:f>
              <c:numCache>
                <c:formatCode>0</c:formatCode>
                <c:ptCount val="11"/>
                <c:pt idx="0">
                  <c:v>100</c:v>
                </c:pt>
                <c:pt idx="1">
                  <c:v>106</c:v>
                </c:pt>
                <c:pt idx="2">
                  <c:v>111</c:v>
                </c:pt>
                <c:pt idx="3">
                  <c:v>116</c:v>
                </c:pt>
                <c:pt idx="4">
                  <c:v>124</c:v>
                </c:pt>
                <c:pt idx="5">
                  <c:v>135</c:v>
                </c:pt>
                <c:pt idx="6">
                  <c:v>164</c:v>
                </c:pt>
                <c:pt idx="7">
                  <c:v>177</c:v>
                </c:pt>
                <c:pt idx="8">
                  <c:v>189</c:v>
                </c:pt>
                <c:pt idx="9">
                  <c:v>174</c:v>
                </c:pt>
                <c:pt idx="10">
                  <c:v>176</c:v>
                </c:pt>
              </c:numCache>
            </c:numRef>
          </c:yVal>
          <c:smooth val="1"/>
        </c:ser>
        <c:dLbls>
          <c:showLegendKey val="0"/>
          <c:showVal val="0"/>
          <c:showCatName val="0"/>
          <c:showSerName val="0"/>
          <c:showPercent val="0"/>
          <c:showBubbleSize val="0"/>
        </c:dLbls>
        <c:axId val="289574272"/>
        <c:axId val="289574848"/>
      </c:scatterChart>
      <c:valAx>
        <c:axId val="289574272"/>
        <c:scaling>
          <c:orientation val="minMax"/>
          <c:max val="2010"/>
          <c:min val="2000"/>
        </c:scaling>
        <c:delete val="0"/>
        <c:axPos val="b"/>
        <c:numFmt formatCode="General" sourceLinked="1"/>
        <c:majorTickMark val="out"/>
        <c:minorTickMark val="none"/>
        <c:tickLblPos val="nextTo"/>
        <c:crossAx val="289574848"/>
        <c:crosses val="autoZero"/>
        <c:crossBetween val="midCat"/>
        <c:majorUnit val="2"/>
      </c:valAx>
      <c:valAx>
        <c:axId val="289574848"/>
        <c:scaling>
          <c:orientation val="minMax"/>
          <c:min val="100"/>
        </c:scaling>
        <c:delete val="0"/>
        <c:axPos val="l"/>
        <c:majorGridlines/>
        <c:numFmt formatCode="0" sourceLinked="1"/>
        <c:majorTickMark val="out"/>
        <c:minorTickMark val="none"/>
        <c:tickLblPos val="nextTo"/>
        <c:crossAx val="289574272"/>
        <c:crosses val="autoZero"/>
        <c:crossBetween val="midCat"/>
      </c:valAx>
    </c:plotArea>
    <c:legend>
      <c:legendPos val="r"/>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smoothMarker"/>
        <c:varyColors val="0"/>
        <c:ser>
          <c:idx val="0"/>
          <c:order val="0"/>
          <c:tx>
            <c:v>PPI/PCCI</c:v>
          </c:tx>
          <c:marker>
            <c:symbol val="none"/>
          </c:marker>
          <c:xVal>
            <c:numRef>
              <c:f>'CERA PCCI power plant index'!$D$54:$D$87</c:f>
              <c:numCache>
                <c:formatCode>General</c:formatCode>
                <c:ptCount val="34"/>
                <c:pt idx="0">
                  <c:v>1977</c:v>
                </c:pt>
                <c:pt idx="1">
                  <c:v>1978</c:v>
                </c:pt>
                <c:pt idx="2">
                  <c:v>1979</c:v>
                </c:pt>
                <c:pt idx="3">
                  <c:v>1980</c:v>
                </c:pt>
                <c:pt idx="4">
                  <c:v>1981</c:v>
                </c:pt>
                <c:pt idx="5">
                  <c:v>1982</c:v>
                </c:pt>
                <c:pt idx="6">
                  <c:v>1983</c:v>
                </c:pt>
                <c:pt idx="7">
                  <c:v>1984</c:v>
                </c:pt>
                <c:pt idx="8">
                  <c:v>1985</c:v>
                </c:pt>
                <c:pt idx="9">
                  <c:v>1986</c:v>
                </c:pt>
                <c:pt idx="10">
                  <c:v>1987</c:v>
                </c:pt>
                <c:pt idx="11">
                  <c:v>1988</c:v>
                </c:pt>
                <c:pt idx="12">
                  <c:v>1989</c:v>
                </c:pt>
                <c:pt idx="13">
                  <c:v>1990</c:v>
                </c:pt>
                <c:pt idx="14">
                  <c:v>1991</c:v>
                </c:pt>
                <c:pt idx="15">
                  <c:v>1992</c:v>
                </c:pt>
                <c:pt idx="16">
                  <c:v>1993</c:v>
                </c:pt>
                <c:pt idx="17">
                  <c:v>1994</c:v>
                </c:pt>
                <c:pt idx="18">
                  <c:v>1995</c:v>
                </c:pt>
                <c:pt idx="19">
                  <c:v>1996</c:v>
                </c:pt>
                <c:pt idx="20">
                  <c:v>1997</c:v>
                </c:pt>
                <c:pt idx="21">
                  <c:v>1998</c:v>
                </c:pt>
                <c:pt idx="22">
                  <c:v>1999</c:v>
                </c:pt>
                <c:pt idx="23">
                  <c:v>2000</c:v>
                </c:pt>
                <c:pt idx="24">
                  <c:v>2001</c:v>
                </c:pt>
                <c:pt idx="25">
                  <c:v>2002</c:v>
                </c:pt>
                <c:pt idx="26">
                  <c:v>2003</c:v>
                </c:pt>
                <c:pt idx="27">
                  <c:v>2004</c:v>
                </c:pt>
                <c:pt idx="28">
                  <c:v>2005</c:v>
                </c:pt>
                <c:pt idx="29">
                  <c:v>2006</c:v>
                </c:pt>
                <c:pt idx="30">
                  <c:v>2007</c:v>
                </c:pt>
                <c:pt idx="31">
                  <c:v>2008</c:v>
                </c:pt>
                <c:pt idx="32">
                  <c:v>2009</c:v>
                </c:pt>
                <c:pt idx="33">
                  <c:v>2010</c:v>
                </c:pt>
              </c:numCache>
            </c:numRef>
          </c:xVal>
          <c:yVal>
            <c:numRef>
              <c:f>'CERA PCCI power plant index'!$G$54:$G$87</c:f>
              <c:numCache>
                <c:formatCode>General</c:formatCode>
                <c:ptCount val="34"/>
                <c:pt idx="0">
                  <c:v>0.4890730972117559</c:v>
                </c:pt>
                <c:pt idx="1">
                  <c:v>0.5267520723436323</c:v>
                </c:pt>
                <c:pt idx="2">
                  <c:v>0.59306706857573477</c:v>
                </c:pt>
                <c:pt idx="3">
                  <c:v>0.67671439336850048</c:v>
                </c:pt>
                <c:pt idx="4">
                  <c:v>0.73850791258477766</c:v>
                </c:pt>
                <c:pt idx="5">
                  <c:v>0.75357950263752826</c:v>
                </c:pt>
                <c:pt idx="6">
                  <c:v>0.76337603617181615</c:v>
                </c:pt>
                <c:pt idx="7">
                  <c:v>0.78146194423511683</c:v>
                </c:pt>
                <c:pt idx="8">
                  <c:v>0.77769404672192921</c:v>
                </c:pt>
                <c:pt idx="9">
                  <c:v>0.75508666164280336</c:v>
                </c:pt>
                <c:pt idx="10">
                  <c:v>0.77467972871137902</c:v>
                </c:pt>
                <c:pt idx="11">
                  <c:v>0.80557648831951778</c:v>
                </c:pt>
                <c:pt idx="12">
                  <c:v>0.84551620195930677</c:v>
                </c:pt>
                <c:pt idx="13">
                  <c:v>0.87641296156744541</c:v>
                </c:pt>
                <c:pt idx="14">
                  <c:v>0.87792012057272051</c:v>
                </c:pt>
                <c:pt idx="15">
                  <c:v>0.88319517709118323</c:v>
                </c:pt>
                <c:pt idx="16">
                  <c:v>0.89600602863602119</c:v>
                </c:pt>
                <c:pt idx="17">
                  <c:v>0.9080633006782215</c:v>
                </c:pt>
                <c:pt idx="18">
                  <c:v>0.94046721929163524</c:v>
                </c:pt>
                <c:pt idx="19">
                  <c:v>0.96232102486812365</c:v>
                </c:pt>
                <c:pt idx="20">
                  <c:v>0.961567445365486</c:v>
                </c:pt>
                <c:pt idx="21">
                  <c:v>0.93745290128108516</c:v>
                </c:pt>
                <c:pt idx="22">
                  <c:v>0.94574227581009795</c:v>
                </c:pt>
                <c:pt idx="23">
                  <c:v>1</c:v>
                </c:pt>
                <c:pt idx="24">
                  <c:v>1.06</c:v>
                </c:pt>
                <c:pt idx="25">
                  <c:v>1.1100000000000001</c:v>
                </c:pt>
                <c:pt idx="26">
                  <c:v>1.1599999999999999</c:v>
                </c:pt>
                <c:pt idx="27">
                  <c:v>1.24</c:v>
                </c:pt>
                <c:pt idx="28">
                  <c:v>1.35</c:v>
                </c:pt>
                <c:pt idx="29">
                  <c:v>1.64</c:v>
                </c:pt>
                <c:pt idx="30">
                  <c:v>1.77</c:v>
                </c:pt>
                <c:pt idx="31">
                  <c:v>1.89</c:v>
                </c:pt>
                <c:pt idx="32">
                  <c:v>1.74</c:v>
                </c:pt>
                <c:pt idx="33">
                  <c:v>1.76</c:v>
                </c:pt>
              </c:numCache>
            </c:numRef>
          </c:yVal>
          <c:smooth val="1"/>
        </c:ser>
        <c:dLbls>
          <c:showLegendKey val="0"/>
          <c:showVal val="0"/>
          <c:showCatName val="0"/>
          <c:showSerName val="0"/>
          <c:showPercent val="0"/>
          <c:showBubbleSize val="0"/>
        </c:dLbls>
        <c:axId val="289577728"/>
        <c:axId val="289578304"/>
      </c:scatterChart>
      <c:valAx>
        <c:axId val="289577728"/>
        <c:scaling>
          <c:orientation val="minMax"/>
          <c:max val="2010"/>
          <c:min val="1977"/>
        </c:scaling>
        <c:delete val="0"/>
        <c:axPos val="b"/>
        <c:numFmt formatCode="General" sourceLinked="1"/>
        <c:majorTickMark val="out"/>
        <c:minorTickMark val="none"/>
        <c:tickLblPos val="nextTo"/>
        <c:crossAx val="289578304"/>
        <c:crosses val="autoZero"/>
        <c:crossBetween val="midCat"/>
        <c:majorUnit val="5"/>
      </c:valAx>
      <c:valAx>
        <c:axId val="289578304"/>
        <c:scaling>
          <c:orientation val="minMax"/>
        </c:scaling>
        <c:delete val="0"/>
        <c:axPos val="l"/>
        <c:majorGridlines/>
        <c:numFmt formatCode="General" sourceLinked="1"/>
        <c:majorTickMark val="out"/>
        <c:minorTickMark val="none"/>
        <c:tickLblPos val="nextTo"/>
        <c:crossAx val="289577728"/>
        <c:crosses val="autoZero"/>
        <c:crossBetween val="midCat"/>
      </c:valAx>
    </c:plotArea>
    <c:legend>
      <c:legendPos val="r"/>
      <c:overlay val="0"/>
    </c:legend>
    <c:plotVisOnly val="1"/>
    <c:dispBlanksAs val="gap"/>
    <c:showDLblsOverMax val="0"/>
  </c:chart>
  <c:printSettings>
    <c:headerFooter/>
    <c:pageMargins b="0.7500000000000111" l="0.70000000000000062" r="0.70000000000000062" t="0.7500000000000111"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smoothMarker"/>
        <c:varyColors val="0"/>
        <c:ser>
          <c:idx val="0"/>
          <c:order val="0"/>
          <c:tx>
            <c:v>Power Plant Cost Index</c:v>
          </c:tx>
          <c:marker>
            <c:symbol val="none"/>
          </c:marker>
          <c:xVal>
            <c:numLit>
              <c:formatCode>General</c:formatCode>
              <c:ptCount val="11"/>
              <c:pt idx="0">
                <c:v>2000</c:v>
              </c:pt>
              <c:pt idx="1">
                <c:v>2001</c:v>
              </c:pt>
              <c:pt idx="2">
                <c:v>2002</c:v>
              </c:pt>
              <c:pt idx="3">
                <c:v>2003</c:v>
              </c:pt>
              <c:pt idx="4">
                <c:v>2004</c:v>
              </c:pt>
              <c:pt idx="5">
                <c:v>2005</c:v>
              </c:pt>
              <c:pt idx="6">
                <c:v>2006</c:v>
              </c:pt>
              <c:pt idx="7">
                <c:v>2007</c:v>
              </c:pt>
              <c:pt idx="8">
                <c:v>2008</c:v>
              </c:pt>
              <c:pt idx="9">
                <c:v>2009</c:v>
              </c:pt>
              <c:pt idx="10">
                <c:v>2010</c:v>
              </c:pt>
            </c:numLit>
          </c:xVal>
          <c:yVal>
            <c:numLit>
              <c:formatCode>General</c:formatCode>
              <c:ptCount val="11"/>
              <c:pt idx="0">
                <c:v>100</c:v>
              </c:pt>
              <c:pt idx="1">
                <c:v>106</c:v>
              </c:pt>
              <c:pt idx="2">
                <c:v>111</c:v>
              </c:pt>
              <c:pt idx="3">
                <c:v>116</c:v>
              </c:pt>
              <c:pt idx="4">
                <c:v>124</c:v>
              </c:pt>
              <c:pt idx="5">
                <c:v>135</c:v>
              </c:pt>
              <c:pt idx="6">
                <c:v>164</c:v>
              </c:pt>
              <c:pt idx="7">
                <c:v>177</c:v>
              </c:pt>
              <c:pt idx="8">
                <c:v>189</c:v>
              </c:pt>
              <c:pt idx="9">
                <c:v>174</c:v>
              </c:pt>
              <c:pt idx="10">
                <c:v>176</c:v>
              </c:pt>
            </c:numLit>
          </c:yVal>
          <c:smooth val="1"/>
        </c:ser>
        <c:dLbls>
          <c:showLegendKey val="0"/>
          <c:showVal val="0"/>
          <c:showCatName val="0"/>
          <c:showSerName val="0"/>
          <c:showPercent val="0"/>
          <c:showBubbleSize val="0"/>
        </c:dLbls>
        <c:axId val="291267712"/>
        <c:axId val="291268288"/>
      </c:scatterChart>
      <c:valAx>
        <c:axId val="291267712"/>
        <c:scaling>
          <c:orientation val="minMax"/>
          <c:max val="2010"/>
          <c:min val="2000"/>
        </c:scaling>
        <c:delete val="0"/>
        <c:axPos val="b"/>
        <c:numFmt formatCode="General" sourceLinked="1"/>
        <c:majorTickMark val="out"/>
        <c:minorTickMark val="none"/>
        <c:tickLblPos val="nextTo"/>
        <c:crossAx val="291268288"/>
        <c:crosses val="autoZero"/>
        <c:crossBetween val="midCat"/>
        <c:majorUnit val="2"/>
      </c:valAx>
      <c:valAx>
        <c:axId val="291268288"/>
        <c:scaling>
          <c:orientation val="minMax"/>
          <c:min val="100"/>
        </c:scaling>
        <c:delete val="0"/>
        <c:axPos val="l"/>
        <c:majorGridlines/>
        <c:numFmt formatCode="General" sourceLinked="1"/>
        <c:majorTickMark val="out"/>
        <c:minorTickMark val="none"/>
        <c:tickLblPos val="nextTo"/>
        <c:crossAx val="291267712"/>
        <c:crosses val="autoZero"/>
        <c:crossBetween val="midCat"/>
      </c:valAx>
    </c:plotArea>
    <c:plotVisOnly val="1"/>
    <c:dispBlanksAs val="gap"/>
    <c:showDLblsOverMax val="0"/>
  </c:chart>
  <c:printSettings>
    <c:headerFooter/>
    <c:pageMargins b="0.75000000000000966" l="0.70000000000000062" r="0.70000000000000062" t="0.75000000000000966"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smoothMarker"/>
        <c:varyColors val="0"/>
        <c:ser>
          <c:idx val="0"/>
          <c:order val="0"/>
          <c:tx>
            <c:v>PPI/PCCI</c:v>
          </c:tx>
          <c:marker>
            <c:symbol val="none"/>
          </c:marker>
          <c:xVal>
            <c:numLit>
              <c:formatCode>General</c:formatCode>
              <c:ptCount val="34"/>
              <c:pt idx="0">
                <c:v>1977</c:v>
              </c:pt>
              <c:pt idx="1">
                <c:v>1978</c:v>
              </c:pt>
              <c:pt idx="2">
                <c:v>1979</c:v>
              </c:pt>
              <c:pt idx="3">
                <c:v>1980</c:v>
              </c:pt>
              <c:pt idx="4">
                <c:v>1981</c:v>
              </c:pt>
              <c:pt idx="5">
                <c:v>1982</c:v>
              </c:pt>
              <c:pt idx="6">
                <c:v>1983</c:v>
              </c:pt>
              <c:pt idx="7">
                <c:v>1984</c:v>
              </c:pt>
              <c:pt idx="8">
                <c:v>1985</c:v>
              </c:pt>
              <c:pt idx="9">
                <c:v>1986</c:v>
              </c:pt>
              <c:pt idx="10">
                <c:v>1987</c:v>
              </c:pt>
              <c:pt idx="11">
                <c:v>1988</c:v>
              </c:pt>
              <c:pt idx="12">
                <c:v>1989</c:v>
              </c:pt>
              <c:pt idx="13">
                <c:v>1990</c:v>
              </c:pt>
              <c:pt idx="14">
                <c:v>1991</c:v>
              </c:pt>
              <c:pt idx="15">
                <c:v>1992</c:v>
              </c:pt>
              <c:pt idx="16">
                <c:v>1993</c:v>
              </c:pt>
              <c:pt idx="17">
                <c:v>1994</c:v>
              </c:pt>
              <c:pt idx="18">
                <c:v>1995</c:v>
              </c:pt>
              <c:pt idx="19">
                <c:v>1996</c:v>
              </c:pt>
              <c:pt idx="20">
                <c:v>1997</c:v>
              </c:pt>
              <c:pt idx="21">
                <c:v>1998</c:v>
              </c:pt>
              <c:pt idx="22">
                <c:v>1999</c:v>
              </c:pt>
              <c:pt idx="23">
                <c:v>2000</c:v>
              </c:pt>
              <c:pt idx="24">
                <c:v>2001</c:v>
              </c:pt>
              <c:pt idx="25">
                <c:v>2002</c:v>
              </c:pt>
              <c:pt idx="26">
                <c:v>2003</c:v>
              </c:pt>
              <c:pt idx="27">
                <c:v>2004</c:v>
              </c:pt>
              <c:pt idx="28">
                <c:v>2005</c:v>
              </c:pt>
              <c:pt idx="29">
                <c:v>2006</c:v>
              </c:pt>
              <c:pt idx="30">
                <c:v>2007</c:v>
              </c:pt>
              <c:pt idx="31">
                <c:v>2008</c:v>
              </c:pt>
              <c:pt idx="32">
                <c:v>2009</c:v>
              </c:pt>
              <c:pt idx="33">
                <c:v>2010</c:v>
              </c:pt>
            </c:numLit>
          </c:xVal>
          <c:yVal>
            <c:numLit>
              <c:formatCode>General</c:formatCode>
              <c:ptCount val="34"/>
              <c:pt idx="0">
                <c:v>0.48907309721175596</c:v>
              </c:pt>
              <c:pt idx="1">
                <c:v>0.52675207234363242</c:v>
              </c:pt>
              <c:pt idx="2">
                <c:v>0.59306706857573466</c:v>
              </c:pt>
              <c:pt idx="3">
                <c:v>0.67671439336850081</c:v>
              </c:pt>
              <c:pt idx="4">
                <c:v>0.73850791258477788</c:v>
              </c:pt>
              <c:pt idx="5">
                <c:v>0.75357950263752849</c:v>
              </c:pt>
              <c:pt idx="6">
                <c:v>0.76337603617181626</c:v>
              </c:pt>
              <c:pt idx="7">
                <c:v>0.78146194423511672</c:v>
              </c:pt>
              <c:pt idx="8">
                <c:v>0.77769404672192932</c:v>
              </c:pt>
              <c:pt idx="9">
                <c:v>0.75508666164280347</c:v>
              </c:pt>
              <c:pt idx="10">
                <c:v>0.77467972871137913</c:v>
              </c:pt>
              <c:pt idx="11">
                <c:v>0.80557648831951778</c:v>
              </c:pt>
              <c:pt idx="12">
                <c:v>0.84551620195930666</c:v>
              </c:pt>
              <c:pt idx="13">
                <c:v>0.8764129615674453</c:v>
              </c:pt>
              <c:pt idx="14">
                <c:v>0.87792012057272062</c:v>
              </c:pt>
              <c:pt idx="15">
                <c:v>0.88319517709118334</c:v>
              </c:pt>
              <c:pt idx="16">
                <c:v>0.89600602863602119</c:v>
              </c:pt>
              <c:pt idx="17">
                <c:v>0.9080633006782215</c:v>
              </c:pt>
              <c:pt idx="18">
                <c:v>0.94046721929163513</c:v>
              </c:pt>
              <c:pt idx="19">
                <c:v>0.96232102486812365</c:v>
              </c:pt>
              <c:pt idx="20">
                <c:v>0.961567445365486</c:v>
              </c:pt>
              <c:pt idx="21">
                <c:v>0.93745290128108516</c:v>
              </c:pt>
              <c:pt idx="22">
                <c:v>0.94574227581009795</c:v>
              </c:pt>
              <c:pt idx="23">
                <c:v>1</c:v>
              </c:pt>
              <c:pt idx="24">
                <c:v>1.06</c:v>
              </c:pt>
              <c:pt idx="25">
                <c:v>1.1100000000000001</c:v>
              </c:pt>
              <c:pt idx="26">
                <c:v>1.1599999999999997</c:v>
              </c:pt>
              <c:pt idx="27">
                <c:v>1.24</c:v>
              </c:pt>
              <c:pt idx="28">
                <c:v>1.35</c:v>
              </c:pt>
              <c:pt idx="29">
                <c:v>1.6400000000000001</c:v>
              </c:pt>
              <c:pt idx="30">
                <c:v>1.77</c:v>
              </c:pt>
              <c:pt idx="31">
                <c:v>1.8900000000000001</c:v>
              </c:pt>
              <c:pt idx="32">
                <c:v>1.74</c:v>
              </c:pt>
              <c:pt idx="33">
                <c:v>1.76</c:v>
              </c:pt>
            </c:numLit>
          </c:yVal>
          <c:smooth val="1"/>
        </c:ser>
        <c:dLbls>
          <c:showLegendKey val="0"/>
          <c:showVal val="0"/>
          <c:showCatName val="0"/>
          <c:showSerName val="0"/>
          <c:showPercent val="0"/>
          <c:showBubbleSize val="0"/>
        </c:dLbls>
        <c:axId val="291271168"/>
        <c:axId val="291271744"/>
      </c:scatterChart>
      <c:valAx>
        <c:axId val="291271168"/>
        <c:scaling>
          <c:orientation val="minMax"/>
          <c:max val="2010"/>
          <c:min val="1977"/>
        </c:scaling>
        <c:delete val="0"/>
        <c:axPos val="b"/>
        <c:numFmt formatCode="General" sourceLinked="1"/>
        <c:majorTickMark val="out"/>
        <c:minorTickMark val="none"/>
        <c:tickLblPos val="nextTo"/>
        <c:crossAx val="291271744"/>
        <c:crosses val="autoZero"/>
        <c:crossBetween val="midCat"/>
        <c:majorUnit val="5"/>
      </c:valAx>
      <c:valAx>
        <c:axId val="291271744"/>
        <c:scaling>
          <c:orientation val="minMax"/>
        </c:scaling>
        <c:delete val="0"/>
        <c:axPos val="l"/>
        <c:majorGridlines/>
        <c:numFmt formatCode="General" sourceLinked="1"/>
        <c:majorTickMark val="out"/>
        <c:minorTickMark val="none"/>
        <c:tickLblPos val="nextTo"/>
        <c:crossAx val="291271168"/>
        <c:crosses val="autoZero"/>
        <c:crossBetween val="midCat"/>
      </c:valAx>
    </c:plotArea>
    <c:legend>
      <c:legendPos val="r"/>
      <c:overlay val="0"/>
    </c:legend>
    <c:plotVisOnly val="1"/>
    <c:dispBlanksAs val="gap"/>
    <c:showDLblsOverMax val="0"/>
  </c:chart>
  <c:printSettings>
    <c:headerFooter/>
    <c:pageMargins b="0.75000000000000944" l="0.70000000000000062" r="0.70000000000000062" t="0.75000000000000944"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Pump work correction with varying flow 2000M @ 200C</a:t>
            </a:r>
          </a:p>
        </c:rich>
      </c:tx>
      <c:overlay val="0"/>
    </c:title>
    <c:autoTitleDeleted val="0"/>
    <c:plotArea>
      <c:layout/>
      <c:scatterChart>
        <c:scatterStyle val="smoothMarker"/>
        <c:varyColors val="0"/>
        <c:ser>
          <c:idx val="1"/>
          <c:order val="0"/>
          <c:marker>
            <c:symbol val="none"/>
          </c:marker>
          <c:trendline>
            <c:trendlineType val="linear"/>
            <c:dispRSqr val="1"/>
            <c:dispEq val="1"/>
            <c:trendlineLbl>
              <c:layout>
                <c:manualLayout>
                  <c:x val="-0.19733880139982501"/>
                  <c:y val="1.3645742198891798E-2"/>
                </c:manualLayout>
              </c:layout>
              <c:numFmt formatCode="General" sourceLinked="0"/>
            </c:trendlineLbl>
          </c:trendline>
          <c:xVal>
            <c:numLit>
              <c:formatCode>General</c:formatCode>
              <c:ptCount val="12"/>
              <c:pt idx="0">
                <c:v>20</c:v>
              </c:pt>
              <c:pt idx="1">
                <c:v>30</c:v>
              </c:pt>
              <c:pt idx="2">
                <c:v>40</c:v>
              </c:pt>
              <c:pt idx="3">
                <c:v>50</c:v>
              </c:pt>
              <c:pt idx="4">
                <c:v>60</c:v>
              </c:pt>
              <c:pt idx="5">
                <c:v>70</c:v>
              </c:pt>
              <c:pt idx="6">
                <c:v>80</c:v>
              </c:pt>
              <c:pt idx="7">
                <c:v>90</c:v>
              </c:pt>
              <c:pt idx="8">
                <c:v>100</c:v>
              </c:pt>
              <c:pt idx="9">
                <c:v>110</c:v>
              </c:pt>
              <c:pt idx="10">
                <c:v>120</c:v>
              </c:pt>
              <c:pt idx="11">
                <c:v>130</c:v>
              </c:pt>
            </c:numLit>
          </c:xVal>
          <c:yVal>
            <c:numLit>
              <c:formatCode>General</c:formatCode>
              <c:ptCount val="12"/>
              <c:pt idx="0">
                <c:v>0.28365106874638929</c:v>
              </c:pt>
              <c:pt idx="1">
                <c:v>0.46273830155979206</c:v>
              </c:pt>
              <c:pt idx="2">
                <c:v>0.64182553437319501</c:v>
              </c:pt>
              <c:pt idx="3">
                <c:v>0.82091276718659734</c:v>
              </c:pt>
              <c:pt idx="4">
                <c:v>1</c:v>
              </c:pt>
              <c:pt idx="5">
                <c:v>1.1790872328134028</c:v>
              </c:pt>
              <c:pt idx="6">
                <c:v>1.3581744656268055</c:v>
              </c:pt>
              <c:pt idx="7">
                <c:v>1.5372616984402074</c:v>
              </c:pt>
              <c:pt idx="8">
                <c:v>1.7163489312536107</c:v>
              </c:pt>
              <c:pt idx="9">
                <c:v>1.8954361640670132</c:v>
              </c:pt>
              <c:pt idx="10">
                <c:v>2.0745233968804162</c:v>
              </c:pt>
              <c:pt idx="11">
                <c:v>2.2536106296938176</c:v>
              </c:pt>
            </c:numLit>
          </c:yVal>
          <c:smooth val="1"/>
        </c:ser>
        <c:dLbls>
          <c:showLegendKey val="0"/>
          <c:showVal val="0"/>
          <c:showCatName val="0"/>
          <c:showSerName val="0"/>
          <c:showPercent val="0"/>
          <c:showBubbleSize val="0"/>
        </c:dLbls>
        <c:axId val="291273472"/>
        <c:axId val="291274048"/>
      </c:scatterChart>
      <c:valAx>
        <c:axId val="291273472"/>
        <c:scaling>
          <c:orientation val="minMax"/>
        </c:scaling>
        <c:delete val="0"/>
        <c:axPos val="b"/>
        <c:numFmt formatCode="General" sourceLinked="1"/>
        <c:majorTickMark val="out"/>
        <c:minorTickMark val="none"/>
        <c:tickLblPos val="nextTo"/>
        <c:crossAx val="291274048"/>
        <c:crosses val="autoZero"/>
        <c:crossBetween val="midCat"/>
      </c:valAx>
      <c:valAx>
        <c:axId val="291274048"/>
        <c:scaling>
          <c:orientation val="minMax"/>
        </c:scaling>
        <c:delete val="0"/>
        <c:axPos val="l"/>
        <c:majorGridlines/>
        <c:numFmt formatCode="General" sourceLinked="1"/>
        <c:majorTickMark val="out"/>
        <c:minorTickMark val="none"/>
        <c:tickLblPos val="nextTo"/>
        <c:crossAx val="291273472"/>
        <c:crosses val="autoZero"/>
        <c:crossBetween val="midCat"/>
      </c:valAx>
    </c:plotArea>
    <c:plotVisOnly val="1"/>
    <c:dispBlanksAs val="gap"/>
    <c:showDLblsOverMax val="0"/>
  </c:chart>
  <c:printSettings>
    <c:headerFooter/>
    <c:pageMargins b="0.75000000000000544" l="0.70000000000000062" r="0.70000000000000062" t="0.75000000000000544"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Pump work correction varying with depth</a:t>
            </a:r>
            <a:r>
              <a:rPr lang="en-US" baseline="0"/>
              <a:t> </a:t>
            </a:r>
            <a:r>
              <a:rPr lang="en-US"/>
              <a:t>200C at 60 kg/s</a:t>
            </a:r>
          </a:p>
        </c:rich>
      </c:tx>
      <c:overlay val="0"/>
    </c:title>
    <c:autoTitleDeleted val="0"/>
    <c:plotArea>
      <c:layout/>
      <c:scatterChart>
        <c:scatterStyle val="smoothMarker"/>
        <c:varyColors val="0"/>
        <c:ser>
          <c:idx val="1"/>
          <c:order val="0"/>
          <c:tx>
            <c:v>#REF!</c:v>
          </c:tx>
          <c:marker>
            <c:symbol val="none"/>
          </c:marker>
          <c:trendline>
            <c:trendlineType val="linear"/>
            <c:dispRSqr val="1"/>
            <c:dispEq val="1"/>
            <c:trendlineLbl>
              <c:layout>
                <c:manualLayout>
                  <c:x val="-0.45145844269466617"/>
                  <c:y val="-0.11891622922134742"/>
                </c:manualLayout>
              </c:layout>
              <c:numFmt formatCode="#,##0.00000" sourceLinked="0"/>
            </c:trendlineLbl>
          </c:trendline>
          <c:xVal>
            <c:numLit>
              <c:formatCode>General</c:formatCode>
              <c:ptCount val="19"/>
              <c:pt idx="0">
                <c:v>1000</c:v>
              </c:pt>
              <c:pt idx="1">
                <c:v>1500</c:v>
              </c:pt>
              <c:pt idx="2">
                <c:v>2000</c:v>
              </c:pt>
              <c:pt idx="3">
                <c:v>2500</c:v>
              </c:pt>
              <c:pt idx="4">
                <c:v>3000</c:v>
              </c:pt>
              <c:pt idx="5">
                <c:v>3500</c:v>
              </c:pt>
              <c:pt idx="6">
                <c:v>4000</c:v>
              </c:pt>
              <c:pt idx="7">
                <c:v>4500</c:v>
              </c:pt>
              <c:pt idx="8">
                <c:v>5000</c:v>
              </c:pt>
              <c:pt idx="9">
                <c:v>5500</c:v>
              </c:pt>
              <c:pt idx="10">
                <c:v>6000</c:v>
              </c:pt>
              <c:pt idx="11">
                <c:v>6500</c:v>
              </c:pt>
              <c:pt idx="12">
                <c:v>7000</c:v>
              </c:pt>
              <c:pt idx="13">
                <c:v>7500</c:v>
              </c:pt>
              <c:pt idx="14">
                <c:v>8000</c:v>
              </c:pt>
              <c:pt idx="15">
                <c:v>8500</c:v>
              </c:pt>
              <c:pt idx="16">
                <c:v>9000</c:v>
              </c:pt>
              <c:pt idx="17">
                <c:v>9500</c:v>
              </c:pt>
              <c:pt idx="18">
                <c:v>10000</c:v>
              </c:pt>
            </c:numLit>
          </c:xVal>
          <c:yVal>
            <c:numLit>
              <c:formatCode>General</c:formatCode>
              <c:ptCount val="19"/>
              <c:pt idx="0">
                <c:v>1.1034940719097868</c:v>
              </c:pt>
              <c:pt idx="1">
                <c:v>1.0517470359548933</c:v>
              </c:pt>
              <c:pt idx="2">
                <c:v>1</c:v>
              </c:pt>
              <c:pt idx="3">
                <c:v>0.94825296404510651</c:v>
              </c:pt>
              <c:pt idx="4">
                <c:v>0.89650592809021301</c:v>
              </c:pt>
              <c:pt idx="5">
                <c:v>0.84475889213531985</c:v>
              </c:pt>
              <c:pt idx="6">
                <c:v>0.79301185618042658</c:v>
              </c:pt>
              <c:pt idx="7">
                <c:v>0.74126482022553308</c:v>
              </c:pt>
              <c:pt idx="8">
                <c:v>0.68951778427063948</c:v>
              </c:pt>
              <c:pt idx="9">
                <c:v>0.63777074831574632</c:v>
              </c:pt>
              <c:pt idx="10">
                <c:v>0.58602371236085282</c:v>
              </c:pt>
              <c:pt idx="11">
                <c:v>0.53427667640595944</c:v>
              </c:pt>
              <c:pt idx="12">
                <c:v>0.48252964045106606</c:v>
              </c:pt>
              <c:pt idx="13">
                <c:v>0.43078260449617267</c:v>
              </c:pt>
              <c:pt idx="14">
                <c:v>0.37903556854127934</c:v>
              </c:pt>
              <c:pt idx="15">
                <c:v>0.32728853258638596</c:v>
              </c:pt>
              <c:pt idx="16">
                <c:v>0.27554149663149236</c:v>
              </c:pt>
              <c:pt idx="17">
                <c:v>0.22379446067659911</c:v>
              </c:pt>
              <c:pt idx="18">
                <c:v>0.17204742472170573</c:v>
              </c:pt>
            </c:numLit>
          </c:yVal>
          <c:smooth val="1"/>
        </c:ser>
        <c:dLbls>
          <c:showLegendKey val="0"/>
          <c:showVal val="0"/>
          <c:showCatName val="0"/>
          <c:showSerName val="0"/>
          <c:showPercent val="0"/>
          <c:showBubbleSize val="0"/>
        </c:dLbls>
        <c:axId val="124739584"/>
        <c:axId val="124740160"/>
      </c:scatterChart>
      <c:valAx>
        <c:axId val="124739584"/>
        <c:scaling>
          <c:orientation val="minMax"/>
          <c:max val="10000"/>
          <c:min val="1000"/>
        </c:scaling>
        <c:delete val="0"/>
        <c:axPos val="b"/>
        <c:numFmt formatCode="General" sourceLinked="1"/>
        <c:majorTickMark val="out"/>
        <c:minorTickMark val="none"/>
        <c:tickLblPos val="nextTo"/>
        <c:crossAx val="124740160"/>
        <c:crosses val="autoZero"/>
        <c:crossBetween val="midCat"/>
        <c:majorUnit val="1000"/>
      </c:valAx>
      <c:valAx>
        <c:axId val="124740160"/>
        <c:scaling>
          <c:orientation val="minMax"/>
        </c:scaling>
        <c:delete val="0"/>
        <c:axPos val="l"/>
        <c:majorGridlines/>
        <c:numFmt formatCode="General" sourceLinked="1"/>
        <c:majorTickMark val="out"/>
        <c:minorTickMark val="none"/>
        <c:tickLblPos val="nextTo"/>
        <c:crossAx val="124739584"/>
        <c:crosses val="autoZero"/>
        <c:crossBetween val="midCat"/>
      </c:valAx>
    </c:plotArea>
    <c:plotVisOnly val="1"/>
    <c:dispBlanksAs val="gap"/>
    <c:showDLblsOverMax val="0"/>
  </c:chart>
  <c:printSettings>
    <c:headerFooter/>
    <c:pageMargins b="0.75000000000000544" l="0.70000000000000062" r="0.70000000000000062" t="0.75000000000000544"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Pump work with varying Temp 2000m @ 60 kg/s</a:t>
            </a:r>
          </a:p>
        </c:rich>
      </c:tx>
      <c:layout>
        <c:manualLayout>
          <c:xMode val="edge"/>
          <c:yMode val="edge"/>
          <c:x val="0.17638188976377953"/>
          <c:y val="2.7777777777778349E-2"/>
        </c:manualLayout>
      </c:layout>
      <c:overlay val="0"/>
    </c:title>
    <c:autoTitleDeleted val="0"/>
    <c:plotArea>
      <c:layout/>
      <c:scatterChart>
        <c:scatterStyle val="smoothMarker"/>
        <c:varyColors val="0"/>
        <c:ser>
          <c:idx val="0"/>
          <c:order val="0"/>
          <c:marker>
            <c:symbol val="none"/>
          </c:marker>
          <c:trendline>
            <c:trendlineType val="poly"/>
            <c:order val="4"/>
            <c:dispRSqr val="1"/>
            <c:dispEq val="1"/>
            <c:trendlineLbl>
              <c:layout>
                <c:manualLayout>
                  <c:x val="6.7604330708661411E-2"/>
                  <c:y val="-0.34214858559347017"/>
                </c:manualLayout>
              </c:layout>
              <c:numFmt formatCode="0.0000E+00" sourceLinked="0"/>
            </c:trendlineLbl>
          </c:trendline>
          <c:xVal>
            <c:numLit>
              <c:formatCode>General</c:formatCode>
              <c:ptCount val="15"/>
              <c:pt idx="0">
                <c:v>130</c:v>
              </c:pt>
              <c:pt idx="1">
                <c:v>140</c:v>
              </c:pt>
              <c:pt idx="2">
                <c:v>150</c:v>
              </c:pt>
              <c:pt idx="3">
                <c:v>160</c:v>
              </c:pt>
              <c:pt idx="4">
                <c:v>170</c:v>
              </c:pt>
              <c:pt idx="5">
                <c:v>180</c:v>
              </c:pt>
              <c:pt idx="6">
                <c:v>190</c:v>
              </c:pt>
              <c:pt idx="7">
                <c:v>200</c:v>
              </c:pt>
              <c:pt idx="8">
                <c:v>210</c:v>
              </c:pt>
              <c:pt idx="9">
                <c:v>220</c:v>
              </c:pt>
              <c:pt idx="10">
                <c:v>230</c:v>
              </c:pt>
              <c:pt idx="11">
                <c:v>240</c:v>
              </c:pt>
              <c:pt idx="12">
                <c:v>250</c:v>
              </c:pt>
              <c:pt idx="13">
                <c:v>260</c:v>
              </c:pt>
              <c:pt idx="14">
                <c:v>270</c:v>
              </c:pt>
            </c:numLit>
          </c:xVal>
          <c:yVal>
            <c:numLit>
              <c:formatCode>General</c:formatCode>
              <c:ptCount val="15"/>
              <c:pt idx="0">
                <c:v>0.80483475000000138</c:v>
              </c:pt>
              <c:pt idx="1">
                <c:v>0.54878000000000438</c:v>
              </c:pt>
              <c:pt idx="2">
                <c:v>0.37896875000000213</c:v>
              </c:pt>
              <c:pt idx="3">
                <c:v>0.27362399999999465</c:v>
              </c:pt>
              <c:pt idx="4">
                <c:v>0.21398675000001435</c:v>
              </c:pt>
              <c:pt idx="5">
                <c:v>0.18431599999998485</c:v>
              </c:pt>
              <c:pt idx="6">
                <c:v>0.17188875000001147</c:v>
              </c:pt>
              <c:pt idx="7">
                <c:v>0.16700000000000514</c:v>
              </c:pt>
              <c:pt idx="8">
                <c:v>0.16296274999999485</c:v>
              </c:pt>
              <c:pt idx="9">
                <c:v>0.15610799999999261</c:v>
              </c:pt>
              <c:pt idx="10">
                <c:v>0.14578475000000779</c:v>
              </c:pt>
              <c:pt idx="11">
                <c:v>0.13436000000000448</c:v>
              </c:pt>
              <c:pt idx="12">
                <c:v>0.12721874999998661</c:v>
              </c:pt>
              <c:pt idx="13">
                <c:v>0.13276399999999813</c:v>
              </c:pt>
              <c:pt idx="14">
                <c:v>0.16241674999999492</c:v>
              </c:pt>
            </c:numLit>
          </c:yVal>
          <c:smooth val="1"/>
        </c:ser>
        <c:dLbls>
          <c:showLegendKey val="0"/>
          <c:showVal val="0"/>
          <c:showCatName val="0"/>
          <c:showSerName val="0"/>
          <c:showPercent val="0"/>
          <c:showBubbleSize val="0"/>
        </c:dLbls>
        <c:axId val="124741888"/>
        <c:axId val="124742464"/>
      </c:scatterChart>
      <c:valAx>
        <c:axId val="124741888"/>
        <c:scaling>
          <c:orientation val="minMax"/>
          <c:max val="270"/>
          <c:min val="130"/>
        </c:scaling>
        <c:delete val="0"/>
        <c:axPos val="b"/>
        <c:numFmt formatCode="General" sourceLinked="1"/>
        <c:majorTickMark val="out"/>
        <c:minorTickMark val="none"/>
        <c:tickLblPos val="nextTo"/>
        <c:crossAx val="124742464"/>
        <c:crosses val="autoZero"/>
        <c:crossBetween val="midCat"/>
        <c:majorUnit val="20"/>
      </c:valAx>
      <c:valAx>
        <c:axId val="124742464"/>
        <c:scaling>
          <c:orientation val="minMax"/>
        </c:scaling>
        <c:delete val="0"/>
        <c:axPos val="l"/>
        <c:majorGridlines/>
        <c:numFmt formatCode="General" sourceLinked="1"/>
        <c:majorTickMark val="out"/>
        <c:minorTickMark val="none"/>
        <c:tickLblPos val="nextTo"/>
        <c:crossAx val="124741888"/>
        <c:crosses val="autoZero"/>
        <c:crossBetween val="midCat"/>
      </c:valAx>
    </c:plotArea>
    <c:legend>
      <c:legendPos val="r"/>
      <c:overlay val="0"/>
    </c:legend>
    <c:plotVisOnly val="1"/>
    <c:dispBlanksAs val="gap"/>
    <c:showDLblsOverMax val="0"/>
  </c:chart>
  <c:printSettings>
    <c:headerFooter/>
    <c:pageMargins b="0.75000000000000544" l="0.70000000000000062" r="0.70000000000000062" t="0.75000000000000544"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Pump Work  with varying temperature at 2000m and 60 kg/s</a:t>
            </a:r>
          </a:p>
        </c:rich>
      </c:tx>
      <c:overlay val="0"/>
    </c:title>
    <c:autoTitleDeleted val="0"/>
    <c:plotArea>
      <c:layout/>
      <c:scatterChart>
        <c:scatterStyle val="smoothMarker"/>
        <c:varyColors val="0"/>
        <c:ser>
          <c:idx val="0"/>
          <c:order val="0"/>
          <c:marker>
            <c:symbol val="none"/>
          </c:marker>
          <c:trendline>
            <c:trendlineType val="poly"/>
            <c:order val="4"/>
            <c:dispRSqr val="1"/>
            <c:dispEq val="1"/>
            <c:trendlineLbl>
              <c:layout>
                <c:manualLayout>
                  <c:x val="9.3264216972878566E-2"/>
                  <c:y val="-0.24143992417614663"/>
                </c:manualLayout>
              </c:layout>
              <c:numFmt formatCode="0.0000E+00" sourceLinked="0"/>
            </c:trendlineLbl>
          </c:trendline>
          <c:xVal>
            <c:numLit>
              <c:formatCode>General</c:formatCode>
              <c:ptCount val="18"/>
              <c:pt idx="0">
                <c:v>180</c:v>
              </c:pt>
              <c:pt idx="1">
                <c:v>190</c:v>
              </c:pt>
              <c:pt idx="2">
                <c:v>200</c:v>
              </c:pt>
              <c:pt idx="3">
                <c:v>210</c:v>
              </c:pt>
              <c:pt idx="4">
                <c:v>220</c:v>
              </c:pt>
              <c:pt idx="5">
                <c:v>230</c:v>
              </c:pt>
              <c:pt idx="6">
                <c:v>240</c:v>
              </c:pt>
              <c:pt idx="7">
                <c:v>250</c:v>
              </c:pt>
              <c:pt idx="8">
                <c:v>260</c:v>
              </c:pt>
              <c:pt idx="9">
                <c:v>270</c:v>
              </c:pt>
              <c:pt idx="10">
                <c:v>280</c:v>
              </c:pt>
              <c:pt idx="11">
                <c:v>290</c:v>
              </c:pt>
              <c:pt idx="12">
                <c:v>300</c:v>
              </c:pt>
              <c:pt idx="13">
                <c:v>310</c:v>
              </c:pt>
              <c:pt idx="14">
                <c:v>320</c:v>
              </c:pt>
              <c:pt idx="15">
                <c:v>330</c:v>
              </c:pt>
              <c:pt idx="16">
                <c:v>340</c:v>
              </c:pt>
              <c:pt idx="17">
                <c:v>350</c:v>
              </c:pt>
            </c:numLit>
          </c:xVal>
          <c:yVal>
            <c:numLit>
              <c:formatCode>General</c:formatCode>
              <c:ptCount val="18"/>
              <c:pt idx="0">
                <c:v>0.53151956799999478</c:v>
              </c:pt>
              <c:pt idx="1">
                <c:v>0.43036595299999381</c:v>
              </c:pt>
              <c:pt idx="2">
                <c:v>0.35387999999999498</c:v>
              </c:pt>
              <c:pt idx="3">
                <c:v>0.29764063299999149</c:v>
              </c:pt>
              <c:pt idx="4">
                <c:v>0.25768500799999755</c:v>
              </c:pt>
              <c:pt idx="5">
                <c:v>0.23050851299999486</c:v>
              </c:pt>
              <c:pt idx="6">
                <c:v>0.21306476799999355</c:v>
              </c:pt>
              <c:pt idx="7">
                <c:v>0.20276562499998893</c:v>
              </c:pt>
              <c:pt idx="8">
                <c:v>0.19748116799999418</c:v>
              </c:pt>
              <c:pt idx="9">
                <c:v>0.19553971299998626</c:v>
              </c:pt>
              <c:pt idx="10">
                <c:v>0.19572780799999201</c:v>
              </c:pt>
              <c:pt idx="11">
                <c:v>0.19729023299999507</c:v>
              </c:pt>
              <c:pt idx="12">
                <c:v>0.19992999999999309</c:v>
              </c:pt>
              <c:pt idx="13">
                <c:v>0.20380835299997638</c:v>
              </c:pt>
              <c:pt idx="14">
                <c:v>0.2095447679999918</c:v>
              </c:pt>
              <c:pt idx="15">
                <c:v>0.21821695299997937</c:v>
              </c:pt>
              <c:pt idx="16">
                <c:v>0.23136084799998535</c:v>
              </c:pt>
              <c:pt idx="17">
                <c:v>0.2509706249999849</c:v>
              </c:pt>
            </c:numLit>
          </c:yVal>
          <c:smooth val="1"/>
        </c:ser>
        <c:dLbls>
          <c:showLegendKey val="0"/>
          <c:showVal val="0"/>
          <c:showCatName val="0"/>
          <c:showSerName val="0"/>
          <c:showPercent val="0"/>
          <c:showBubbleSize val="0"/>
        </c:dLbls>
        <c:axId val="124744192"/>
        <c:axId val="124744768"/>
      </c:scatterChart>
      <c:valAx>
        <c:axId val="124744192"/>
        <c:scaling>
          <c:orientation val="minMax"/>
          <c:max val="350"/>
          <c:min val="180"/>
        </c:scaling>
        <c:delete val="0"/>
        <c:axPos val="b"/>
        <c:numFmt formatCode="General" sourceLinked="1"/>
        <c:majorTickMark val="out"/>
        <c:minorTickMark val="none"/>
        <c:tickLblPos val="nextTo"/>
        <c:crossAx val="124744768"/>
        <c:crosses val="autoZero"/>
        <c:crossBetween val="midCat"/>
        <c:majorUnit val="20"/>
      </c:valAx>
      <c:valAx>
        <c:axId val="124744768"/>
        <c:scaling>
          <c:orientation val="minMax"/>
        </c:scaling>
        <c:delete val="0"/>
        <c:axPos val="l"/>
        <c:majorGridlines/>
        <c:numFmt formatCode="General" sourceLinked="1"/>
        <c:majorTickMark val="out"/>
        <c:minorTickMark val="none"/>
        <c:tickLblPos val="nextTo"/>
        <c:crossAx val="124744192"/>
        <c:crosses val="autoZero"/>
        <c:crossBetween val="midCat"/>
      </c:valAx>
    </c:plotArea>
    <c:plotVisOnly val="1"/>
    <c:dispBlanksAs val="gap"/>
    <c:showDLblsOverMax val="0"/>
  </c:chart>
  <c:printSettings>
    <c:headerFooter/>
    <c:pageMargins b="0.75000000000000544" l="0.70000000000000062" r="0.70000000000000062" t="0.75000000000000544"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Pump work correction with varying flow @ 2000m and 200C</a:t>
            </a:r>
          </a:p>
        </c:rich>
      </c:tx>
      <c:overlay val="0"/>
    </c:title>
    <c:autoTitleDeleted val="0"/>
    <c:plotArea>
      <c:layout/>
      <c:scatterChart>
        <c:scatterStyle val="smoothMarker"/>
        <c:varyColors val="0"/>
        <c:ser>
          <c:idx val="1"/>
          <c:order val="0"/>
          <c:marker>
            <c:symbol val="none"/>
          </c:marker>
          <c:trendline>
            <c:trendlineType val="poly"/>
            <c:order val="2"/>
            <c:dispRSqr val="1"/>
            <c:dispEq val="1"/>
            <c:trendlineLbl>
              <c:numFmt formatCode="0.0000E+00" sourceLinked="0"/>
            </c:trendlineLbl>
          </c:trendline>
          <c:xVal>
            <c:numLit>
              <c:formatCode>General</c:formatCode>
              <c:ptCount val="12"/>
              <c:pt idx="0">
                <c:v>20</c:v>
              </c:pt>
              <c:pt idx="1">
                <c:v>30</c:v>
              </c:pt>
              <c:pt idx="2">
                <c:v>40</c:v>
              </c:pt>
              <c:pt idx="3">
                <c:v>50</c:v>
              </c:pt>
              <c:pt idx="4">
                <c:v>60</c:v>
              </c:pt>
              <c:pt idx="5">
                <c:v>70</c:v>
              </c:pt>
              <c:pt idx="6">
                <c:v>80</c:v>
              </c:pt>
              <c:pt idx="7">
                <c:v>90</c:v>
              </c:pt>
              <c:pt idx="8">
                <c:v>100</c:v>
              </c:pt>
              <c:pt idx="9">
                <c:v>110</c:v>
              </c:pt>
              <c:pt idx="10">
                <c:v>120</c:v>
              </c:pt>
              <c:pt idx="11">
                <c:v>130</c:v>
              </c:pt>
            </c:numLit>
          </c:xVal>
          <c:yVal>
            <c:numLit>
              <c:formatCode>General</c:formatCode>
              <c:ptCount val="12"/>
              <c:pt idx="0">
                <c:v>0.39722407607136612</c:v>
              </c:pt>
              <c:pt idx="1">
                <c:v>0.50234645269484224</c:v>
              </c:pt>
              <c:pt idx="2">
                <c:v>0.63784989889077337</c:v>
              </c:pt>
              <c:pt idx="3">
                <c:v>0.80373441465915929</c:v>
              </c:pt>
              <c:pt idx="4">
                <c:v>1</c:v>
              </c:pt>
              <c:pt idx="5">
                <c:v>1.2266466549132959</c:v>
              </c:pt>
              <c:pt idx="6">
                <c:v>1.4836743793990459</c:v>
              </c:pt>
              <c:pt idx="7">
                <c:v>1.7710831734572521</c:v>
              </c:pt>
              <c:pt idx="8">
                <c:v>2.0888730370879136</c:v>
              </c:pt>
              <c:pt idx="9">
                <c:v>2.437043970291028</c:v>
              </c:pt>
              <c:pt idx="10">
                <c:v>2.815595973066598</c:v>
              </c:pt>
              <c:pt idx="11">
                <c:v>3.2245290454146249</c:v>
              </c:pt>
            </c:numLit>
          </c:yVal>
          <c:smooth val="1"/>
        </c:ser>
        <c:dLbls>
          <c:showLegendKey val="0"/>
          <c:showVal val="0"/>
          <c:showCatName val="0"/>
          <c:showSerName val="0"/>
          <c:showPercent val="0"/>
          <c:showBubbleSize val="0"/>
        </c:dLbls>
        <c:axId val="124746496"/>
        <c:axId val="124747072"/>
      </c:scatterChart>
      <c:valAx>
        <c:axId val="124746496"/>
        <c:scaling>
          <c:orientation val="minMax"/>
        </c:scaling>
        <c:delete val="0"/>
        <c:axPos val="b"/>
        <c:numFmt formatCode="General" sourceLinked="1"/>
        <c:majorTickMark val="out"/>
        <c:minorTickMark val="none"/>
        <c:tickLblPos val="nextTo"/>
        <c:crossAx val="124747072"/>
        <c:crosses val="autoZero"/>
        <c:crossBetween val="midCat"/>
      </c:valAx>
      <c:valAx>
        <c:axId val="124747072"/>
        <c:scaling>
          <c:orientation val="minMax"/>
        </c:scaling>
        <c:delete val="0"/>
        <c:axPos val="l"/>
        <c:majorGridlines/>
        <c:numFmt formatCode="General" sourceLinked="1"/>
        <c:majorTickMark val="out"/>
        <c:minorTickMark val="none"/>
        <c:tickLblPos val="nextTo"/>
        <c:crossAx val="124746496"/>
        <c:crosses val="autoZero"/>
        <c:crossBetween val="midCat"/>
      </c:valAx>
    </c:plotArea>
    <c:plotVisOnly val="1"/>
    <c:dispBlanksAs val="gap"/>
    <c:showDLblsOverMax val="0"/>
  </c:chart>
  <c:printSettings>
    <c:headerFooter/>
    <c:pageMargins b="0.75000000000000544" l="0.70000000000000062" r="0.70000000000000062" t="0.75000000000000544"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Pump work correction with varying depth at 200C and 60 kg/s</a:t>
            </a:r>
          </a:p>
        </c:rich>
      </c:tx>
      <c:overlay val="0"/>
    </c:title>
    <c:autoTitleDeleted val="0"/>
    <c:plotArea>
      <c:layout/>
      <c:scatterChart>
        <c:scatterStyle val="smoothMarker"/>
        <c:varyColors val="0"/>
        <c:ser>
          <c:idx val="1"/>
          <c:order val="0"/>
          <c:marker>
            <c:symbol val="none"/>
          </c:marker>
          <c:trendline>
            <c:trendlineType val="linear"/>
            <c:dispRSqr val="1"/>
            <c:dispEq val="1"/>
            <c:trendlineLbl>
              <c:layout>
                <c:manualLayout>
                  <c:x val="-0.28015310586176728"/>
                  <c:y val="-8.383858267716536E-2"/>
                </c:manualLayout>
              </c:layout>
              <c:numFmt formatCode="0.0000E+00" sourceLinked="0"/>
            </c:trendlineLbl>
          </c:trendline>
          <c:xVal>
            <c:numLit>
              <c:formatCode>General</c:formatCode>
              <c:ptCount val="19"/>
              <c:pt idx="0">
                <c:v>1000</c:v>
              </c:pt>
              <c:pt idx="1">
                <c:v>1500</c:v>
              </c:pt>
              <c:pt idx="2">
                <c:v>2000</c:v>
              </c:pt>
              <c:pt idx="3">
                <c:v>2500</c:v>
              </c:pt>
              <c:pt idx="4">
                <c:v>3000</c:v>
              </c:pt>
              <c:pt idx="5">
                <c:v>3500</c:v>
              </c:pt>
              <c:pt idx="6">
                <c:v>4000</c:v>
              </c:pt>
              <c:pt idx="7">
                <c:v>4500</c:v>
              </c:pt>
              <c:pt idx="8">
                <c:v>5000</c:v>
              </c:pt>
              <c:pt idx="9">
                <c:v>5500</c:v>
              </c:pt>
              <c:pt idx="10">
                <c:v>6000</c:v>
              </c:pt>
              <c:pt idx="11">
                <c:v>6500</c:v>
              </c:pt>
              <c:pt idx="12">
                <c:v>7000</c:v>
              </c:pt>
              <c:pt idx="13">
                <c:v>7500</c:v>
              </c:pt>
              <c:pt idx="14">
                <c:v>8000</c:v>
              </c:pt>
              <c:pt idx="15">
                <c:v>8500</c:v>
              </c:pt>
              <c:pt idx="16">
                <c:v>9000</c:v>
              </c:pt>
              <c:pt idx="17">
                <c:v>9500</c:v>
              </c:pt>
              <c:pt idx="18">
                <c:v>10000</c:v>
              </c:pt>
            </c:numLit>
          </c:xVal>
          <c:yVal>
            <c:numLit>
              <c:formatCode>General</c:formatCode>
              <c:ptCount val="19"/>
              <c:pt idx="0">
                <c:v>1.1084293761951518</c:v>
              </c:pt>
              <c:pt idx="1">
                <c:v>1.054214688097576</c:v>
              </c:pt>
              <c:pt idx="2">
                <c:v>1</c:v>
              </c:pt>
              <c:pt idx="3">
                <c:v>0.94578531190242388</c:v>
              </c:pt>
              <c:pt idx="4">
                <c:v>0.89157062380484764</c:v>
              </c:pt>
              <c:pt idx="5">
                <c:v>0.83735593570727151</c:v>
              </c:pt>
              <c:pt idx="6">
                <c:v>0.78314124760969572</c:v>
              </c:pt>
              <c:pt idx="7">
                <c:v>0.72892655951211949</c:v>
              </c:pt>
              <c:pt idx="8">
                <c:v>0.6747118714145437</c:v>
              </c:pt>
              <c:pt idx="9">
                <c:v>0.62049718331696713</c:v>
              </c:pt>
              <c:pt idx="10">
                <c:v>0.56628249521939111</c:v>
              </c:pt>
              <c:pt idx="11">
                <c:v>0.5120678071218151</c:v>
              </c:pt>
              <c:pt idx="12">
                <c:v>0.45785311902423914</c:v>
              </c:pt>
              <c:pt idx="13">
                <c:v>0.40363843092666296</c:v>
              </c:pt>
              <c:pt idx="14">
                <c:v>0.34942374282908689</c:v>
              </c:pt>
              <c:pt idx="15">
                <c:v>0.29520905473151066</c:v>
              </c:pt>
              <c:pt idx="16">
                <c:v>0.24099436663393459</c:v>
              </c:pt>
              <c:pt idx="17">
                <c:v>0.18677967853635843</c:v>
              </c:pt>
              <c:pt idx="18">
                <c:v>0.13256499043878248</c:v>
              </c:pt>
            </c:numLit>
          </c:yVal>
          <c:smooth val="1"/>
        </c:ser>
        <c:dLbls>
          <c:showLegendKey val="0"/>
          <c:showVal val="0"/>
          <c:showCatName val="0"/>
          <c:showSerName val="0"/>
          <c:showPercent val="0"/>
          <c:showBubbleSize val="0"/>
        </c:dLbls>
        <c:axId val="126084224"/>
        <c:axId val="126084800"/>
      </c:scatterChart>
      <c:valAx>
        <c:axId val="126084224"/>
        <c:scaling>
          <c:orientation val="minMax"/>
        </c:scaling>
        <c:delete val="0"/>
        <c:axPos val="b"/>
        <c:numFmt formatCode="General" sourceLinked="1"/>
        <c:majorTickMark val="out"/>
        <c:minorTickMark val="none"/>
        <c:tickLblPos val="nextTo"/>
        <c:crossAx val="126084800"/>
        <c:crosses val="autoZero"/>
        <c:crossBetween val="midCat"/>
      </c:valAx>
      <c:valAx>
        <c:axId val="126084800"/>
        <c:scaling>
          <c:orientation val="minMax"/>
        </c:scaling>
        <c:delete val="0"/>
        <c:axPos val="l"/>
        <c:majorGridlines/>
        <c:numFmt formatCode="General" sourceLinked="1"/>
        <c:majorTickMark val="out"/>
        <c:minorTickMark val="none"/>
        <c:tickLblPos val="nextTo"/>
        <c:crossAx val="126084224"/>
        <c:crosses val="autoZero"/>
        <c:crossBetween val="midCat"/>
      </c:valAx>
    </c:plotArea>
    <c:plotVisOnly val="1"/>
    <c:dispBlanksAs val="gap"/>
    <c:showDLblsOverMax val="0"/>
  </c:chart>
  <c:printSettings>
    <c:headerFooter/>
    <c:pageMargins b="0.75000000000000544" l="0.70000000000000062" r="0.70000000000000062" t="0.75000000000000544"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7.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chart" Target="../charts/chart1.xml"/><Relationship Id="rId1" Type="http://schemas.openxmlformats.org/officeDocument/2006/relationships/image" Target="../media/image5.emf"/><Relationship Id="rId5" Type="http://schemas.openxmlformats.org/officeDocument/2006/relationships/chart" Target="../charts/chart3.xml"/><Relationship Id="rId4"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4"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s>
</file>

<file path=xl/drawings/drawing1.xml><?xml version="1.0" encoding="utf-8"?>
<xdr:wsDr xmlns:xdr="http://schemas.openxmlformats.org/drawingml/2006/spreadsheetDrawing" xmlns:a="http://schemas.openxmlformats.org/drawingml/2006/main">
  <xdr:twoCellAnchor>
    <xdr:from>
      <xdr:col>0</xdr:col>
      <xdr:colOff>2400299</xdr:colOff>
      <xdr:row>6</xdr:row>
      <xdr:rowOff>247651</xdr:rowOff>
    </xdr:from>
    <xdr:to>
      <xdr:col>0</xdr:col>
      <xdr:colOff>11429999</xdr:colOff>
      <xdr:row>49</xdr:row>
      <xdr:rowOff>66676</xdr:rowOff>
    </xdr:to>
    <xdr:sp macro="" textlink="">
      <xdr:nvSpPr>
        <xdr:cNvPr id="2" name="Text Box 1"/>
        <xdr:cNvSpPr txBox="1">
          <a:spLocks noChangeArrowheads="1"/>
        </xdr:cNvSpPr>
      </xdr:nvSpPr>
      <xdr:spPr bwMode="auto">
        <a:xfrm>
          <a:off x="2400299" y="1914526"/>
          <a:ext cx="9029700" cy="8258175"/>
        </a:xfrm>
        <a:prstGeom prst="rect">
          <a:avLst/>
        </a:prstGeom>
        <a:solidFill>
          <a:schemeClr val="bg1"/>
        </a:solidFill>
        <a:ln w="12700">
          <a:solidFill>
            <a:srgbClr val="000000"/>
          </a:solidFill>
          <a:miter lim="800000"/>
          <a:headEnd/>
          <a:tailEnd/>
        </a:ln>
      </xdr:spPr>
      <xdr:txBody>
        <a:bodyPr vertOverflow="clip" wrap="square" lIns="27432" tIns="22860" rIns="228600" bIns="0" anchor="t" upright="1"/>
        <a:lstStyle/>
        <a:p>
          <a:pPr algn="l" rtl="0">
            <a:defRPr sz="1000"/>
          </a:pPr>
          <a:endParaRPr lang="en-US" sz="1000" b="0" i="0" u="none" strike="noStrike" baseline="0">
            <a:solidFill>
              <a:srgbClr val="000000"/>
            </a:solidFill>
            <a:latin typeface="Helv"/>
          </a:endParaRPr>
        </a:p>
        <a:p>
          <a:pPr marL="228600" lvl="0" algn="l" rtl="0">
            <a:defRPr sz="1000"/>
          </a:pPr>
          <a:r>
            <a:rPr lang="en-US" sz="1200" b="0" i="0" u="none" strike="noStrike">
              <a:latin typeface="Times New Roman" pitchFamily="18" charset="0"/>
              <a:ea typeface="+mn-ea"/>
              <a:cs typeface="Times New Roman" pitchFamily="18" charset="0"/>
            </a:rPr>
            <a:t>The Jobs and Economic Development Impact Model (JEDI) was developed to demonstrate the economic benefits associated with geothermal</a:t>
          </a:r>
          <a:r>
            <a:rPr lang="en-US" sz="1200" b="0" i="0" u="none" strike="noStrike" baseline="0">
              <a:latin typeface="Times New Roman" pitchFamily="18" charset="0"/>
              <a:ea typeface="+mn-ea"/>
              <a:cs typeface="Times New Roman" pitchFamily="18" charset="0"/>
            </a:rPr>
            <a:t> plants </a:t>
          </a:r>
          <a:r>
            <a:rPr lang="en-US" sz="1200" b="0" i="0" u="none" strike="noStrike">
              <a:latin typeface="Times New Roman" pitchFamily="18" charset="0"/>
              <a:ea typeface="+mn-ea"/>
              <a:cs typeface="Times New Roman" pitchFamily="18" charset="0"/>
            </a:rPr>
            <a:t>in the United States.  The primary goal in developing the state level model was to provide a tool for geothermal developers, renewable energy advocates,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government officials, decision makers and other potential users, to easily identify the local economic impacts associated with constructing and operating these plants. The second goal was to facilitate broad access and usage of the model by making it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adaptable to a web based application that can be put on a web site.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Consistent with these goals, a strong emphasis was placed on designing the model in a user-friendly format that could be easily modified - reflecting different levels of project specific information and user skill. This insures the greatest flexibility, for inexperienced spreadsheet users, those unfamiliar with economic impact analysis, and more experienced and knowledgeable users who have a need for this specific type of analysis.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Persons wishing more information on how and/or where the model is being used or the role of the National Renewable Energy Laboratory in analyzing </a:t>
          </a:r>
          <a:r>
            <a:rPr lang="en-US" sz="1200">
              <a:latin typeface="Times New Roman" pitchFamily="18" charset="0"/>
              <a:cs typeface="Times New Roman" pitchFamily="18" charset="0"/>
            </a:rPr>
            <a:t>geothermal</a:t>
          </a:r>
          <a:r>
            <a:rPr lang="en-US" sz="1200" baseline="0">
              <a:latin typeface="Times New Roman" pitchFamily="18" charset="0"/>
              <a:cs typeface="Times New Roman" pitchFamily="18" charset="0"/>
            </a:rPr>
            <a:t> plants</a:t>
          </a:r>
          <a:r>
            <a:rPr lang="en-US" sz="1200" b="0" i="0" u="none" strike="noStrike">
              <a:latin typeface="Times New Roman" pitchFamily="18" charset="0"/>
              <a:ea typeface="+mn-ea"/>
              <a:cs typeface="Times New Roman" pitchFamily="18" charset="0"/>
            </a:rPr>
            <a:t> and other renewable technologies should contact Chad Augustine at: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National Renewable Energy Laboratory</a:t>
          </a:r>
          <a:r>
            <a:rPr lang="en-US" sz="1200">
              <a:latin typeface="Times New Roman" pitchFamily="18" charset="0"/>
              <a:cs typeface="Times New Roman" pitchFamily="18" charset="0"/>
            </a:rPr>
            <a:t> </a:t>
          </a:r>
        </a:p>
        <a:p>
          <a:pPr marL="228600" lvl="0" algn="ctr" rtl="0">
            <a:defRPr sz="1000"/>
          </a:pPr>
          <a:r>
            <a:rPr lang="en-US" sz="1200" b="0" i="0">
              <a:effectLst/>
              <a:latin typeface="Times New Roman" pitchFamily="18" charset="0"/>
              <a:ea typeface="+mn-ea"/>
              <a:cs typeface="Times New Roman" pitchFamily="18" charset="0"/>
            </a:rPr>
            <a:t>15013</a:t>
          </a:r>
          <a:r>
            <a:rPr lang="en-US" sz="1200" b="0" i="0" baseline="0">
              <a:effectLst/>
              <a:latin typeface="Times New Roman" pitchFamily="18" charset="0"/>
              <a:ea typeface="+mn-ea"/>
              <a:cs typeface="Times New Roman" pitchFamily="18" charset="0"/>
            </a:rPr>
            <a:t> Denver West Parkway </a:t>
          </a:r>
        </a:p>
        <a:p>
          <a:pPr marL="228600" lvl="0" algn="ctr" rtl="0">
            <a:defRPr sz="1000"/>
          </a:pPr>
          <a:r>
            <a:rPr lang="en-US" sz="1200" b="0" i="0" u="none" strike="noStrike">
              <a:latin typeface="Times New Roman" pitchFamily="18" charset="0"/>
              <a:ea typeface="+mn-ea"/>
              <a:cs typeface="Times New Roman" pitchFamily="18" charset="0"/>
            </a:rPr>
            <a:t>Golden, CO. 80401</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Tel.: 303.384.7382</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Email: chad.augustine@nrel.gov</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The model was developed by Marshall Goldberg of MRG &amp; Associates, under contract with the National Renewable Energy Laboratory.  Persons wishing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more information on the methodology or data in the model should contact him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MRG &amp; Associates</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17935 Starduster Dr.</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Nevada City, California, 95959</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Tel.: 530.432.9373</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Email: MRGAssociates@earthlink.net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The JEDI model utilizes multipliers derived from IMPLAN data using IMPLAN Version 3</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Software.  Persons wishing more information on the IMPLAN data or the software should contact the IMPLAN Group.</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ctr" rtl="0">
            <a:defRPr sz="1000"/>
          </a:pPr>
          <a:endParaRPr lang="en-US" sz="1200" b="0" i="0" u="none" strike="noStrike">
            <a:latin typeface="Times New Roman" pitchFamily="18" charset="0"/>
            <a:ea typeface="+mn-ea"/>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IMPLAN Group, LLC</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16740 Birkdale Commons Parkway Suite 206</a:t>
          </a:r>
          <a:endParaRPr lang="en-US" sz="1200">
            <a:latin typeface="Times New Roman" pitchFamily="18" charset="0"/>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Huntersville, North Carolina 28078</a:t>
          </a:r>
          <a:endParaRPr lang="en-US" sz="1200">
            <a:latin typeface="Times New Roman" pitchFamily="18" charset="0"/>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Tel: 651.439.4421</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www.implan.com</a:t>
          </a:r>
          <a:r>
            <a:rPr lang="en-US" sz="1200">
              <a:latin typeface="Times New Roman" pitchFamily="18" charset="0"/>
              <a:cs typeface="Times New Roman" pitchFamily="18" charset="0"/>
            </a:rPr>
            <a:t> </a:t>
          </a:r>
          <a:endParaRPr lang="en-US" sz="1200" b="0" i="0" u="none" strike="noStrike" baseline="0">
            <a:solidFill>
              <a:srgbClr val="000000"/>
            </a:solidFill>
            <a:latin typeface="Times New Roman" pitchFamily="18" charset="0"/>
            <a:cs typeface="Times New Roman" pitchFamily="18" charset="0"/>
          </a:endParaRPr>
        </a:p>
        <a:p>
          <a:pPr algn="l" rtl="0">
            <a:defRPr sz="1000"/>
          </a:pPr>
          <a:endParaRPr lang="en-US" sz="1000" b="0" i="0" u="none" strike="noStrike" baseline="0">
            <a:solidFill>
              <a:srgbClr val="000000"/>
            </a:solidFill>
            <a:latin typeface="Helv"/>
          </a:endParaRPr>
        </a:p>
        <a:p>
          <a:pPr algn="l" rtl="0">
            <a:defRPr sz="1000"/>
          </a:pPr>
          <a:r>
            <a:rPr lang="en-US" sz="1000" b="0" i="0" u="none" strike="noStrike" baseline="0">
              <a:solidFill>
                <a:srgbClr val="000000"/>
              </a:solidFill>
              <a:latin typeface="Helv"/>
            </a:rPr>
            <a:t>          </a:t>
          </a:r>
        </a:p>
        <a:p>
          <a:pPr algn="l" rtl="0">
            <a:defRPr sz="1000"/>
          </a:pPr>
          <a:r>
            <a:rPr lang="en-US" sz="1000" b="0" i="0" u="none" strike="noStrike" baseline="0">
              <a:solidFill>
                <a:srgbClr val="000000"/>
              </a:solidFill>
              <a:latin typeface="Helv"/>
            </a:rPr>
            <a:t>                                                                                        </a:t>
          </a:r>
          <a:r>
            <a:rPr lang="en-US" sz="1000" b="1" i="0" u="none" strike="noStrike" baseline="0">
              <a:solidFill>
                <a:srgbClr val="000000"/>
              </a:solidFill>
              <a:latin typeface="Helv"/>
            </a:rPr>
            <a:t> </a:t>
          </a: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5</xdr:col>
      <xdr:colOff>457199</xdr:colOff>
      <xdr:row>30</xdr:row>
      <xdr:rowOff>85724</xdr:rowOff>
    </xdr:from>
    <xdr:to>
      <xdr:col>6</xdr:col>
      <xdr:colOff>57150</xdr:colOff>
      <xdr:row>31</xdr:row>
      <xdr:rowOff>19049</xdr:rowOff>
    </xdr:to>
    <xdr:sp macro="_xll.objClick" textlink="">
      <xdr:nvSpPr>
        <xdr:cNvPr id="57" name="iText_1_10"/>
        <xdr:cNvSpPr txBox="1"/>
      </xdr:nvSpPr>
      <xdr:spPr>
        <a:xfrm flipV="1">
          <a:off x="3505199" y="5838824"/>
          <a:ext cx="209551" cy="123825"/>
        </a:xfrm>
        <a:prstGeom prst="rect">
          <a:avLst/>
        </a:prstGeom>
        <a:solidFill>
          <a:schemeClr val="lt1">
            <a:alpha val="0"/>
          </a:schemeClr>
        </a:solidFill>
        <a:ln w="9525" cmpd="sng">
          <a:solidFill>
            <a:schemeClr val="lt1">
              <a:shade val="50000"/>
            </a:schemeClr>
          </a:solidFill>
        </a:ln>
        <a:effectLst>
          <a:outerShdw blurRad="63500" dist="37357" dir="2700000" rotWithShape="0">
            <a:scrgbClr r="0" g="0" b="0"/>
          </a:outerShdw>
        </a:effectLst>
      </xdr:spPr>
      <xdr:style>
        <a:lnRef idx="0">
          <a:scrgbClr r="0" g="0" b="0"/>
        </a:lnRef>
        <a:fillRef idx="0">
          <a:scrgbClr r="0" g="0" b="0"/>
        </a:fillRef>
        <a:effectRef idx="0">
          <a:scrgbClr r="0" g="0" b="0"/>
        </a:effectRef>
        <a:fontRef idx="minor">
          <a:schemeClr val="dk1"/>
        </a:fontRef>
      </xdr:style>
      <xdr:txBody>
        <a:bodyPr vertOverflow="clip" vert="horz" wrap="square" rtlCol="0" anchor="t">
          <a:noAutofit/>
        </a:bodyPr>
        <a:lstStyle/>
        <a:p>
          <a:pPr algn="ctr"/>
          <a:endParaRPr lang="en-US" sz="800"/>
        </a:p>
      </xdr:txBody>
    </xdr:sp>
    <xdr:clientData/>
  </xdr:twoCellAnchor>
  <xdr:twoCellAnchor editAs="absolute">
    <xdr:from>
      <xdr:col>2</xdr:col>
      <xdr:colOff>209550</xdr:colOff>
      <xdr:row>31</xdr:row>
      <xdr:rowOff>157919</xdr:rowOff>
    </xdr:from>
    <xdr:to>
      <xdr:col>3</xdr:col>
      <xdr:colOff>514350</xdr:colOff>
      <xdr:row>32</xdr:row>
      <xdr:rowOff>184979</xdr:rowOff>
    </xdr:to>
    <xdr:sp macro="_xll.objClick" textlink="">
      <xdr:nvSpPr>
        <xdr:cNvPr id="61" name="iText_1_11"/>
        <xdr:cNvSpPr txBox="1"/>
      </xdr:nvSpPr>
      <xdr:spPr>
        <a:xfrm>
          <a:off x="1428750" y="6101519"/>
          <a:ext cx="914400" cy="217560"/>
        </a:xfrm>
        <a:prstGeom prst="rect">
          <a:avLst/>
        </a:prstGeom>
        <a:solidFill>
          <a:schemeClr val="lt1"/>
        </a:solidFill>
        <a:ln w="9525" cmpd="sng">
          <a:solidFill>
            <a:schemeClr val="lt1">
              <a:shade val="50000"/>
            </a:schemeClr>
          </a:solidFill>
        </a:ln>
        <a:effectLst>
          <a:outerShdw blurRad="63500" dist="37357" dir="2700000" rotWithShape="0">
            <a:scrgbClr r="0" g="0" b="0"/>
          </a:outerShdw>
        </a:effectLst>
      </xdr:spPr>
      <xdr:style>
        <a:lnRef idx="0">
          <a:scrgbClr r="0" g="0" b="0"/>
        </a:lnRef>
        <a:fillRef idx="0">
          <a:scrgbClr r="0" g="0" b="0"/>
        </a:fillRef>
        <a:effectRef idx="0">
          <a:scrgbClr r="0" g="0" b="0"/>
        </a:effectRef>
        <a:fontRef idx="minor">
          <a:schemeClr val="dk1"/>
        </a:fontRef>
      </xdr:style>
      <xdr:txBody>
        <a:bodyPr vertOverflow="clip" vert="horz" wrap="none" rtlCol="0" anchor="t">
          <a:spAutoFit/>
        </a:bodyPr>
        <a:lstStyle/>
        <a:p>
          <a:pPr algn="ctr"/>
          <a:r>
            <a:rPr lang="en-US" sz="800"/>
            <a:t>Drilling Cost Curve</a:t>
          </a:r>
        </a:p>
      </xdr:txBody>
    </xdr:sp>
    <xdr:clientData/>
  </xdr:twoCellAnchor>
  <xdr:twoCellAnchor editAs="absolute">
    <xdr:from>
      <xdr:col>0</xdr:col>
      <xdr:colOff>114301</xdr:colOff>
      <xdr:row>0</xdr:row>
      <xdr:rowOff>76201</xdr:rowOff>
    </xdr:from>
    <xdr:to>
      <xdr:col>0</xdr:col>
      <xdr:colOff>180975</xdr:colOff>
      <xdr:row>0</xdr:row>
      <xdr:rowOff>171451</xdr:rowOff>
    </xdr:to>
    <xdr:sp macro="_xll.objClick" textlink="">
      <xdr:nvSpPr>
        <xdr:cNvPr id="7" name="iText_1_1"/>
        <xdr:cNvSpPr txBox="1"/>
      </xdr:nvSpPr>
      <xdr:spPr>
        <a:xfrm>
          <a:off x="114301" y="76201"/>
          <a:ext cx="66674" cy="95250"/>
        </a:xfrm>
        <a:prstGeom prst="rect">
          <a:avLst/>
        </a:prstGeom>
        <a:solidFill>
          <a:schemeClr val="lt1">
            <a:alpha val="0"/>
          </a:schemeClr>
        </a:solidFill>
        <a:ln w="9525" cmpd="sng">
          <a:solidFill>
            <a:schemeClr val="lt1">
              <a:shade val="50000"/>
            </a:schemeClr>
          </a:solidFill>
        </a:ln>
        <a:effectLst>
          <a:outerShdw blurRad="63500" dist="37357" dir="2700000" rotWithShape="0">
            <a:schemeClr val="bg1"/>
          </a:outerShdw>
        </a:effectLst>
      </xdr:spPr>
      <xdr:style>
        <a:lnRef idx="0">
          <a:scrgbClr r="0" g="0" b="0"/>
        </a:lnRef>
        <a:fillRef idx="0">
          <a:scrgbClr r="0" g="0" b="0"/>
        </a:fillRef>
        <a:effectRef idx="0">
          <a:scrgbClr r="0" g="0" b="0"/>
        </a:effectRef>
        <a:fontRef idx="minor">
          <a:schemeClr val="dk1"/>
        </a:fontRef>
      </xdr:style>
      <xdr:txBody>
        <a:bodyPr vertOverflow="clip" vert="horz" wrap="square" rtlCol="0" anchor="t">
          <a:noAutofit/>
        </a:bodyPr>
        <a:lstStyle/>
        <a:p>
          <a:pPr algn="ctr"/>
          <a:endParaRPr lang="en-US" sz="800"/>
        </a:p>
      </xdr:txBody>
    </xdr:sp>
    <xdr:clientData/>
  </xdr:twoCellAnchor>
  <xdr:twoCellAnchor editAs="absolute">
    <xdr:from>
      <xdr:col>4</xdr:col>
      <xdr:colOff>209550</xdr:colOff>
      <xdr:row>11</xdr:row>
      <xdr:rowOff>142875</xdr:rowOff>
    </xdr:from>
    <xdr:to>
      <xdr:col>5</xdr:col>
      <xdr:colOff>514350</xdr:colOff>
      <xdr:row>16</xdr:row>
      <xdr:rowOff>104775</xdr:rowOff>
    </xdr:to>
    <xdr:sp macro="" textlink="">
      <xdr:nvSpPr>
        <xdr:cNvPr id="17" name="inode_1_3"/>
        <xdr:cNvSpPr/>
      </xdr:nvSpPr>
      <xdr:spPr>
        <a:xfrm>
          <a:off x="2647950" y="2266950"/>
          <a:ext cx="914400" cy="914400"/>
        </a:xfrm>
        <a:prstGeom prst="rect">
          <a:avLst/>
        </a:prstGeom>
        <a:solidFill>
          <a:srgbClr val="008000"/>
        </a:solidFill>
        <a:ln w="2476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4</xdr:col>
      <xdr:colOff>362948</xdr:colOff>
      <xdr:row>13</xdr:row>
      <xdr:rowOff>110295</xdr:rowOff>
    </xdr:from>
    <xdr:to>
      <xdr:col>5</xdr:col>
      <xdr:colOff>360950</xdr:colOff>
      <xdr:row>14</xdr:row>
      <xdr:rowOff>137355</xdr:rowOff>
    </xdr:to>
    <xdr:sp macro="_xll.objClick" textlink="">
      <xdr:nvSpPr>
        <xdr:cNvPr id="18" name="iText_1_3"/>
        <xdr:cNvSpPr txBox="1"/>
      </xdr:nvSpPr>
      <xdr:spPr>
        <a:xfrm>
          <a:off x="2801348" y="2615370"/>
          <a:ext cx="607602" cy="217560"/>
        </a:xfrm>
        <a:prstGeom prst="rect">
          <a:avLst/>
        </a:prstGeom>
        <a:solidFill>
          <a:schemeClr val="lt1"/>
        </a:solidFill>
        <a:ln w="9525" cmpd="sng">
          <a:solidFill>
            <a:schemeClr val="lt1">
              <a:shade val="50000"/>
            </a:schemeClr>
          </a:solidFill>
        </a:ln>
        <a:effectLst>
          <a:outerShdw blurRad="63500" dist="37357" dir="2700000" rotWithShape="0">
            <a:scrgbClr r="0" g="0" b="0"/>
          </a:outerShdw>
        </a:effectLst>
      </xdr:spPr>
      <xdr:style>
        <a:lnRef idx="0">
          <a:scrgbClr r="0" g="0" b="0"/>
        </a:lnRef>
        <a:fillRef idx="0">
          <a:scrgbClr r="0" g="0" b="0"/>
        </a:fillRef>
        <a:effectRef idx="0">
          <a:scrgbClr r="0" g="0" b="0"/>
        </a:effectRef>
        <a:fontRef idx="minor">
          <a:schemeClr val="dk1"/>
        </a:fontRef>
      </xdr:style>
      <xdr:txBody>
        <a:bodyPr vertOverflow="clip" vert="horz" wrap="none" rtlCol="0" anchor="t">
          <a:spAutoFit/>
        </a:bodyPr>
        <a:lstStyle/>
        <a:p>
          <a:pPr algn="ctr"/>
          <a:r>
            <a:rPr lang="en-US" sz="800"/>
            <a:t>Plant type</a:t>
          </a:r>
        </a:p>
      </xdr:txBody>
    </xdr:sp>
    <xdr:clientData/>
  </xdr:twoCellAnchor>
  <xdr:twoCellAnchor editAs="absolute">
    <xdr:from>
      <xdr:col>4</xdr:col>
      <xdr:colOff>161924</xdr:colOff>
      <xdr:row>5</xdr:row>
      <xdr:rowOff>19050</xdr:rowOff>
    </xdr:from>
    <xdr:to>
      <xdr:col>6</xdr:col>
      <xdr:colOff>114299</xdr:colOff>
      <xdr:row>9</xdr:row>
      <xdr:rowOff>95250</xdr:rowOff>
    </xdr:to>
    <xdr:sp macro="" textlink="">
      <xdr:nvSpPr>
        <xdr:cNvPr id="22" name="inode_1_4"/>
        <xdr:cNvSpPr/>
      </xdr:nvSpPr>
      <xdr:spPr>
        <a:xfrm>
          <a:off x="2600324" y="1000125"/>
          <a:ext cx="1171575" cy="838200"/>
        </a:xfrm>
        <a:prstGeom prst="rect">
          <a:avLst/>
        </a:prstGeom>
        <a:solidFill>
          <a:srgbClr val="008000"/>
        </a:solidFill>
        <a:ln w="2476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4</xdr:col>
      <xdr:colOff>236321</xdr:colOff>
      <xdr:row>6</xdr:row>
      <xdr:rowOff>138870</xdr:rowOff>
    </xdr:from>
    <xdr:to>
      <xdr:col>6</xdr:col>
      <xdr:colOff>39901</xdr:colOff>
      <xdr:row>7</xdr:row>
      <xdr:rowOff>165930</xdr:rowOff>
    </xdr:to>
    <xdr:sp macro="_xll.objClick" textlink="">
      <xdr:nvSpPr>
        <xdr:cNvPr id="23" name="iText_1_4"/>
        <xdr:cNvSpPr txBox="1"/>
      </xdr:nvSpPr>
      <xdr:spPr>
        <a:xfrm>
          <a:off x="2674721" y="1310445"/>
          <a:ext cx="1022780" cy="217560"/>
        </a:xfrm>
        <a:prstGeom prst="rect">
          <a:avLst/>
        </a:prstGeom>
        <a:solidFill>
          <a:schemeClr val="lt1"/>
        </a:solidFill>
        <a:ln w="9525" cmpd="sng">
          <a:solidFill>
            <a:schemeClr val="lt1">
              <a:shade val="50000"/>
            </a:schemeClr>
          </a:solidFill>
        </a:ln>
        <a:effectLst>
          <a:outerShdw blurRad="63500" dist="37357" dir="2700000" rotWithShape="0">
            <a:scrgbClr r="0" g="0" b="0"/>
          </a:outerShdw>
        </a:effectLst>
      </xdr:spPr>
      <xdr:style>
        <a:lnRef idx="0">
          <a:scrgbClr r="0" g="0" b="0"/>
        </a:lnRef>
        <a:fillRef idx="0">
          <a:scrgbClr r="0" g="0" b="0"/>
        </a:fillRef>
        <a:effectRef idx="0">
          <a:scrgbClr r="0" g="0" b="0"/>
        </a:effectRef>
        <a:fontRef idx="minor">
          <a:schemeClr val="dk1"/>
        </a:fontRef>
      </xdr:style>
      <xdr:txBody>
        <a:bodyPr vertOverflow="clip" vert="horz" wrap="none" rtlCol="0" anchor="t">
          <a:spAutoFit/>
        </a:bodyPr>
        <a:lstStyle/>
        <a:p>
          <a:pPr algn="ctr"/>
          <a:r>
            <a:rPr lang="en-US" sz="800"/>
            <a:t>Nameplate Capacity</a:t>
          </a:r>
        </a:p>
      </xdr:txBody>
    </xdr:sp>
    <xdr:clientData/>
  </xdr:twoCellAnchor>
  <xdr:twoCellAnchor editAs="absolute">
    <xdr:from>
      <xdr:col>3</xdr:col>
      <xdr:colOff>12409</xdr:colOff>
      <xdr:row>30</xdr:row>
      <xdr:rowOff>119819</xdr:rowOff>
    </xdr:from>
    <xdr:to>
      <xdr:col>3</xdr:col>
      <xdr:colOff>197140</xdr:colOff>
      <xdr:row>31</xdr:row>
      <xdr:rowOff>146879</xdr:rowOff>
    </xdr:to>
    <xdr:sp macro="_xll.objClick" textlink="">
      <xdr:nvSpPr>
        <xdr:cNvPr id="41" name="iText_1_6"/>
        <xdr:cNvSpPr txBox="1"/>
      </xdr:nvSpPr>
      <xdr:spPr>
        <a:xfrm>
          <a:off x="1841209" y="5872919"/>
          <a:ext cx="184731" cy="217560"/>
        </a:xfrm>
        <a:prstGeom prst="rect">
          <a:avLst/>
        </a:prstGeom>
        <a:solidFill>
          <a:schemeClr val="lt1"/>
        </a:solidFill>
        <a:ln w="9525" cmpd="sng">
          <a:solidFill>
            <a:schemeClr val="lt1">
              <a:shade val="50000"/>
            </a:schemeClr>
          </a:solidFill>
        </a:ln>
        <a:effectLst>
          <a:outerShdw blurRad="63500" dist="37357" dir="2700000" rotWithShape="0">
            <a:scrgbClr r="0" g="0" b="0"/>
          </a:outerShdw>
        </a:effectLst>
      </xdr:spPr>
      <xdr:style>
        <a:lnRef idx="0">
          <a:scrgbClr r="0" g="0" b="0"/>
        </a:lnRef>
        <a:fillRef idx="0">
          <a:scrgbClr r="0" g="0" b="0"/>
        </a:fillRef>
        <a:effectRef idx="0">
          <a:scrgbClr r="0" g="0" b="0"/>
        </a:effectRef>
        <a:fontRef idx="minor">
          <a:schemeClr val="dk1"/>
        </a:fontRef>
      </xdr:style>
      <xdr:txBody>
        <a:bodyPr vertOverflow="clip" vert="horz" wrap="none" rtlCol="0" anchor="t">
          <a:spAutoFit/>
        </a:bodyPr>
        <a:lstStyle/>
        <a:p>
          <a:pPr algn="ctr"/>
          <a:endParaRPr lang="en-US" sz="800"/>
        </a:p>
      </xdr:txBody>
    </xdr:sp>
    <xdr:clientData/>
  </xdr:twoCellAnchor>
  <xdr:twoCellAnchor editAs="absolute">
    <xdr:from>
      <xdr:col>5</xdr:col>
      <xdr:colOff>133350</xdr:colOff>
      <xdr:row>30</xdr:row>
      <xdr:rowOff>0</xdr:rowOff>
    </xdr:from>
    <xdr:to>
      <xdr:col>6</xdr:col>
      <xdr:colOff>438150</xdr:colOff>
      <xdr:row>34</xdr:row>
      <xdr:rowOff>152400</xdr:rowOff>
    </xdr:to>
    <xdr:sp macro="" textlink="">
      <xdr:nvSpPr>
        <xdr:cNvPr id="52" name="inode_1_8"/>
        <xdr:cNvSpPr/>
      </xdr:nvSpPr>
      <xdr:spPr>
        <a:xfrm>
          <a:off x="3181350" y="5753100"/>
          <a:ext cx="914400" cy="914400"/>
        </a:xfrm>
        <a:prstGeom prst="ellipse">
          <a:avLst/>
        </a:prstGeom>
        <a:solidFill>
          <a:srgbClr val="800000"/>
        </a:solidFill>
        <a:ln w="2476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5</xdr:col>
      <xdr:colOff>227276</xdr:colOff>
      <xdr:row>31</xdr:row>
      <xdr:rowOff>157919</xdr:rowOff>
    </xdr:from>
    <xdr:to>
      <xdr:col>6</xdr:col>
      <xdr:colOff>344222</xdr:colOff>
      <xdr:row>32</xdr:row>
      <xdr:rowOff>184979</xdr:rowOff>
    </xdr:to>
    <xdr:sp macro="_xll.objClick" textlink="">
      <xdr:nvSpPr>
        <xdr:cNvPr id="53" name="iText_1_8"/>
        <xdr:cNvSpPr txBox="1"/>
      </xdr:nvSpPr>
      <xdr:spPr>
        <a:xfrm>
          <a:off x="3275276" y="6101519"/>
          <a:ext cx="726546" cy="217560"/>
        </a:xfrm>
        <a:prstGeom prst="rect">
          <a:avLst/>
        </a:prstGeom>
        <a:solidFill>
          <a:schemeClr val="lt1"/>
        </a:solidFill>
        <a:ln w="9525" cmpd="sng">
          <a:solidFill>
            <a:schemeClr val="lt1">
              <a:shade val="50000"/>
            </a:schemeClr>
          </a:solidFill>
        </a:ln>
        <a:effectLst>
          <a:outerShdw blurRad="63500" dist="37357" dir="2700000" rotWithShape="0">
            <a:scrgbClr r="0" g="0" b="0"/>
          </a:outerShdw>
        </a:effectLst>
      </xdr:spPr>
      <xdr:style>
        <a:lnRef idx="0">
          <a:scrgbClr r="0" g="0" b="0"/>
        </a:lnRef>
        <a:fillRef idx="0">
          <a:scrgbClr r="0" g="0" b="0"/>
        </a:fillRef>
        <a:effectRef idx="0">
          <a:scrgbClr r="0" g="0" b="0"/>
        </a:effectRef>
        <a:fontRef idx="minor">
          <a:schemeClr val="dk1"/>
        </a:fontRef>
      </xdr:style>
      <xdr:txBody>
        <a:bodyPr vertOverflow="clip" vert="horz" wrap="none" rtlCol="0" anchor="t">
          <a:spAutoFit/>
        </a:bodyPr>
        <a:lstStyle/>
        <a:p>
          <a:pPr algn="ctr"/>
          <a:r>
            <a:rPr lang="en-US" sz="800"/>
            <a:t>Drilling Costs</a:t>
          </a:r>
        </a:p>
      </xdr:txBody>
    </xdr:sp>
    <xdr:clientData/>
  </xdr:twoCellAnchor>
  <xdr:twoCellAnchor editAs="absolute">
    <xdr:from>
      <xdr:col>4</xdr:col>
      <xdr:colOff>333375</xdr:colOff>
      <xdr:row>18</xdr:row>
      <xdr:rowOff>95250</xdr:rowOff>
    </xdr:from>
    <xdr:to>
      <xdr:col>5</xdr:col>
      <xdr:colOff>549275</xdr:colOff>
      <xdr:row>22</xdr:row>
      <xdr:rowOff>158750</xdr:rowOff>
    </xdr:to>
    <xdr:sp macro="" textlink="">
      <xdr:nvSpPr>
        <xdr:cNvPr id="62" name="inode_1_9"/>
        <xdr:cNvSpPr/>
      </xdr:nvSpPr>
      <xdr:spPr>
        <a:xfrm>
          <a:off x="2771775" y="3552825"/>
          <a:ext cx="825500" cy="825500"/>
        </a:xfrm>
        <a:prstGeom prst="rect">
          <a:avLst/>
        </a:prstGeom>
        <a:solidFill>
          <a:srgbClr val="008000"/>
        </a:solidFill>
        <a:ln w="2476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4</xdr:col>
      <xdr:colOff>333375</xdr:colOff>
      <xdr:row>20</xdr:row>
      <xdr:rowOff>18219</xdr:rowOff>
    </xdr:from>
    <xdr:to>
      <xdr:col>5</xdr:col>
      <xdr:colOff>549275</xdr:colOff>
      <xdr:row>21</xdr:row>
      <xdr:rowOff>45279</xdr:rowOff>
    </xdr:to>
    <xdr:sp macro="_xll.objClick" textlink="">
      <xdr:nvSpPr>
        <xdr:cNvPr id="63" name="iText_1_9"/>
        <xdr:cNvSpPr txBox="1"/>
      </xdr:nvSpPr>
      <xdr:spPr>
        <a:xfrm>
          <a:off x="2771775" y="3856794"/>
          <a:ext cx="825500" cy="217560"/>
        </a:xfrm>
        <a:prstGeom prst="rect">
          <a:avLst/>
        </a:prstGeom>
        <a:solidFill>
          <a:schemeClr val="lt1"/>
        </a:solidFill>
        <a:ln w="9525" cmpd="sng">
          <a:solidFill>
            <a:schemeClr val="lt1">
              <a:shade val="50000"/>
            </a:schemeClr>
          </a:solidFill>
        </a:ln>
        <a:effectLst>
          <a:outerShdw blurRad="63500" dist="37357" dir="2700000" rotWithShape="0">
            <a:scrgbClr r="0" g="0" b="0"/>
          </a:outerShdw>
        </a:effectLst>
      </xdr:spPr>
      <xdr:style>
        <a:lnRef idx="0">
          <a:scrgbClr r="0" g="0" b="0"/>
        </a:lnRef>
        <a:fillRef idx="0">
          <a:scrgbClr r="0" g="0" b="0"/>
        </a:fillRef>
        <a:effectRef idx="0">
          <a:scrgbClr r="0" g="0" b="0"/>
        </a:effectRef>
        <a:fontRef idx="minor">
          <a:schemeClr val="dk1"/>
        </a:fontRef>
      </xdr:style>
      <xdr:txBody>
        <a:bodyPr vertOverflow="clip" vert="horz" wrap="none" rtlCol="0" anchor="t">
          <a:spAutoFit/>
        </a:bodyPr>
        <a:lstStyle/>
        <a:p>
          <a:pPr algn="ctr"/>
          <a:r>
            <a:rPr lang="en-US" sz="800"/>
            <a:t>Plant Cost curve</a:t>
          </a:r>
        </a:p>
      </xdr:txBody>
    </xdr:sp>
    <xdr:clientData/>
  </xdr:twoCellAnchor>
  <xdr:twoCellAnchor editAs="absolute">
    <xdr:from>
      <xdr:col>1</xdr:col>
      <xdr:colOff>561975</xdr:colOff>
      <xdr:row>30</xdr:row>
      <xdr:rowOff>0</xdr:rowOff>
    </xdr:from>
    <xdr:to>
      <xdr:col>3</xdr:col>
      <xdr:colOff>533400</xdr:colOff>
      <xdr:row>34</xdr:row>
      <xdr:rowOff>171450</xdr:rowOff>
    </xdr:to>
    <xdr:sp macro="" textlink="">
      <xdr:nvSpPr>
        <xdr:cNvPr id="76" name="inode_1_12"/>
        <xdr:cNvSpPr/>
      </xdr:nvSpPr>
      <xdr:spPr>
        <a:xfrm>
          <a:off x="1171575" y="5753100"/>
          <a:ext cx="1190625" cy="933450"/>
        </a:xfrm>
        <a:prstGeom prst="rect">
          <a:avLst/>
        </a:prstGeom>
        <a:solidFill>
          <a:srgbClr val="008000"/>
        </a:solidFill>
        <a:ln w="2476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2</xdr:col>
      <xdr:colOff>3532</xdr:colOff>
      <xdr:row>31</xdr:row>
      <xdr:rowOff>119819</xdr:rowOff>
    </xdr:from>
    <xdr:to>
      <xdr:col>3</xdr:col>
      <xdr:colOff>482243</xdr:colOff>
      <xdr:row>33</xdr:row>
      <xdr:rowOff>81605</xdr:rowOff>
    </xdr:to>
    <xdr:sp macro="_xll.objClick" textlink="">
      <xdr:nvSpPr>
        <xdr:cNvPr id="77" name="iText_1_12"/>
        <xdr:cNvSpPr txBox="1"/>
      </xdr:nvSpPr>
      <xdr:spPr>
        <a:xfrm>
          <a:off x="1222732" y="6063419"/>
          <a:ext cx="1088311" cy="342786"/>
        </a:xfrm>
        <a:prstGeom prst="rect">
          <a:avLst/>
        </a:prstGeom>
        <a:solidFill>
          <a:schemeClr val="lt1"/>
        </a:solidFill>
        <a:ln w="9525" cmpd="sng">
          <a:solidFill>
            <a:schemeClr val="lt1">
              <a:shade val="50000"/>
            </a:schemeClr>
          </a:solidFill>
        </a:ln>
        <a:effectLst>
          <a:outerShdw blurRad="63500" dist="37357" dir="2700000" rotWithShape="0">
            <a:scrgbClr r="0" g="0" b="0"/>
          </a:outerShdw>
        </a:effectLst>
      </xdr:spPr>
      <xdr:style>
        <a:lnRef idx="0">
          <a:scrgbClr r="0" g="0" b="0"/>
        </a:lnRef>
        <a:fillRef idx="0">
          <a:scrgbClr r="0" g="0" b="0"/>
        </a:fillRef>
        <a:effectRef idx="0">
          <a:scrgbClr r="0" g="0" b="0"/>
        </a:effectRef>
        <a:fontRef idx="minor">
          <a:schemeClr val="dk1"/>
        </a:fontRef>
      </xdr:style>
      <xdr:txBody>
        <a:bodyPr vertOverflow="clip" vert="horz" wrap="none" rtlCol="0" anchor="t">
          <a:spAutoFit/>
        </a:bodyPr>
        <a:lstStyle/>
        <a:p>
          <a:pPr algn="ctr"/>
          <a:r>
            <a:rPr lang="en-US" sz="800"/>
            <a:t>Drilling Cost Curve</a:t>
          </a:r>
        </a:p>
        <a:p>
          <a:pPr algn="ctr"/>
          <a:r>
            <a:rPr lang="en-US" sz="800"/>
            <a:t>or User</a:t>
          </a:r>
          <a:r>
            <a:rPr lang="en-US" sz="800" baseline="0"/>
            <a:t> Defined Costs</a:t>
          </a:r>
          <a:endParaRPr lang="en-US" sz="800"/>
        </a:p>
      </xdr:txBody>
    </xdr:sp>
    <xdr:clientData/>
  </xdr:twoCellAnchor>
  <xdr:twoCellAnchor>
    <xdr:from>
      <xdr:col>3</xdr:col>
      <xdr:colOff>533400</xdr:colOff>
      <xdr:row>31</xdr:row>
      <xdr:rowOff>152400</xdr:rowOff>
    </xdr:from>
    <xdr:to>
      <xdr:col>5</xdr:col>
      <xdr:colOff>152400</xdr:colOff>
      <xdr:row>32</xdr:row>
      <xdr:rowOff>38100</xdr:rowOff>
    </xdr:to>
    <xdr:cxnSp macro="">
      <xdr:nvCxnSpPr>
        <xdr:cNvPr id="87" name="Straight Arrow Connector 86"/>
        <xdr:cNvCxnSpPr/>
      </xdr:nvCxnSpPr>
      <xdr:spPr>
        <a:xfrm>
          <a:off x="2362200" y="6086475"/>
          <a:ext cx="838200" cy="762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202909</xdr:colOff>
      <xdr:row>23</xdr:row>
      <xdr:rowOff>176969</xdr:rowOff>
    </xdr:from>
    <xdr:to>
      <xdr:col>1</xdr:col>
      <xdr:colOff>387640</xdr:colOff>
      <xdr:row>25</xdr:row>
      <xdr:rowOff>4004</xdr:rowOff>
    </xdr:to>
    <xdr:sp macro="_xll.objClick" textlink="">
      <xdr:nvSpPr>
        <xdr:cNvPr id="94" name="iText_1_13"/>
        <xdr:cNvSpPr txBox="1"/>
      </xdr:nvSpPr>
      <xdr:spPr>
        <a:xfrm>
          <a:off x="812509" y="4587044"/>
          <a:ext cx="184731" cy="217560"/>
        </a:xfrm>
        <a:prstGeom prst="rect">
          <a:avLst/>
        </a:prstGeom>
        <a:solidFill>
          <a:schemeClr val="lt1"/>
        </a:solidFill>
        <a:ln w="9525" cmpd="sng">
          <a:solidFill>
            <a:schemeClr val="lt1">
              <a:shade val="50000"/>
            </a:schemeClr>
          </a:solidFill>
        </a:ln>
        <a:effectLst>
          <a:outerShdw blurRad="63500" dist="37357" dir="2700000" rotWithShape="0">
            <a:scrgbClr r="0" g="0" b="0"/>
          </a:outerShdw>
        </a:effectLst>
      </xdr:spPr>
      <xdr:style>
        <a:lnRef idx="0">
          <a:scrgbClr r="0" g="0" b="0"/>
        </a:lnRef>
        <a:fillRef idx="0">
          <a:scrgbClr r="0" g="0" b="0"/>
        </a:fillRef>
        <a:effectRef idx="0">
          <a:scrgbClr r="0" g="0" b="0"/>
        </a:effectRef>
        <a:fontRef idx="minor">
          <a:schemeClr val="dk1"/>
        </a:fontRef>
      </xdr:style>
      <xdr:txBody>
        <a:bodyPr vertOverflow="clip" vert="horz" wrap="none" rtlCol="0" anchor="t">
          <a:spAutoFit/>
        </a:bodyPr>
        <a:lstStyle/>
        <a:p>
          <a:pPr algn="ctr"/>
          <a:endParaRPr lang="en-US" sz="800"/>
        </a:p>
      </xdr:txBody>
    </xdr:sp>
    <xdr:clientData/>
  </xdr:twoCellAnchor>
  <xdr:twoCellAnchor>
    <xdr:from>
      <xdr:col>5</xdr:col>
      <xdr:colOff>57150</xdr:colOff>
      <xdr:row>16</xdr:row>
      <xdr:rowOff>104774</xdr:rowOff>
    </xdr:from>
    <xdr:to>
      <xdr:col>5</xdr:col>
      <xdr:colOff>136525</xdr:colOff>
      <xdr:row>18</xdr:row>
      <xdr:rowOff>95249</xdr:rowOff>
    </xdr:to>
    <xdr:cxnSp macro="">
      <xdr:nvCxnSpPr>
        <xdr:cNvPr id="101" name="Straight Arrow Connector 100"/>
        <xdr:cNvCxnSpPr>
          <a:stCxn id="17" idx="2"/>
          <a:endCxn id="62" idx="0"/>
        </xdr:cNvCxnSpPr>
      </xdr:nvCxnSpPr>
      <xdr:spPr>
        <a:xfrm rot="16200000" flipH="1">
          <a:off x="2959100" y="3327399"/>
          <a:ext cx="371475" cy="793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546100</xdr:colOff>
      <xdr:row>18</xdr:row>
      <xdr:rowOff>123825</xdr:rowOff>
    </xdr:from>
    <xdr:to>
      <xdr:col>7</xdr:col>
      <xdr:colOff>190500</xdr:colOff>
      <xdr:row>19</xdr:row>
      <xdr:rowOff>187325</xdr:rowOff>
    </xdr:to>
    <xdr:cxnSp macro="_xll.objClick">
      <xdr:nvCxnSpPr>
        <xdr:cNvPr id="112" name="iarc_1_1"/>
        <xdr:cNvCxnSpPr/>
      </xdr:nvCxnSpPr>
      <xdr:spPr>
        <a:xfrm flipV="1">
          <a:off x="3594100" y="3581400"/>
          <a:ext cx="863600" cy="254000"/>
        </a:xfrm>
        <a:prstGeom prst="line">
          <a:avLst/>
        </a:prstGeom>
        <a:ln w="24765">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133350</xdr:colOff>
      <xdr:row>14</xdr:row>
      <xdr:rowOff>57150</xdr:rowOff>
    </xdr:from>
    <xdr:to>
      <xdr:col>4</xdr:col>
      <xdr:colOff>209550</xdr:colOff>
      <xdr:row>14</xdr:row>
      <xdr:rowOff>180975</xdr:rowOff>
    </xdr:to>
    <xdr:cxnSp macro="">
      <xdr:nvCxnSpPr>
        <xdr:cNvPr id="114" name="Straight Arrow Connector 113"/>
        <xdr:cNvCxnSpPr/>
      </xdr:nvCxnSpPr>
      <xdr:spPr>
        <a:xfrm>
          <a:off x="1352550" y="2752725"/>
          <a:ext cx="1295400" cy="1238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228600</xdr:colOff>
      <xdr:row>12</xdr:row>
      <xdr:rowOff>133349</xdr:rowOff>
    </xdr:from>
    <xdr:to>
      <xdr:col>2</xdr:col>
      <xdr:colOff>209550</xdr:colOff>
      <xdr:row>17</xdr:row>
      <xdr:rowOff>104774</xdr:rowOff>
    </xdr:to>
    <xdr:sp macro="" textlink="">
      <xdr:nvSpPr>
        <xdr:cNvPr id="115" name="inode_1_14"/>
        <xdr:cNvSpPr/>
      </xdr:nvSpPr>
      <xdr:spPr>
        <a:xfrm>
          <a:off x="228600" y="2447924"/>
          <a:ext cx="1200150" cy="923925"/>
        </a:xfrm>
        <a:prstGeom prst="ellipse">
          <a:avLst/>
        </a:prstGeom>
        <a:solidFill>
          <a:srgbClr val="800000"/>
        </a:solidFill>
        <a:ln w="2476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0</xdr:col>
      <xdr:colOff>258166</xdr:colOff>
      <xdr:row>14</xdr:row>
      <xdr:rowOff>105531</xdr:rowOff>
    </xdr:from>
    <xdr:to>
      <xdr:col>2</xdr:col>
      <xdr:colOff>179983</xdr:colOff>
      <xdr:row>15</xdr:row>
      <xdr:rowOff>132591</xdr:rowOff>
    </xdr:to>
    <xdr:sp macro="_xll.objClick" textlink="">
      <xdr:nvSpPr>
        <xdr:cNvPr id="116" name="iText_1_14"/>
        <xdr:cNvSpPr txBox="1"/>
      </xdr:nvSpPr>
      <xdr:spPr>
        <a:xfrm>
          <a:off x="258166" y="2801106"/>
          <a:ext cx="1141017" cy="217560"/>
        </a:xfrm>
        <a:prstGeom prst="rect">
          <a:avLst/>
        </a:prstGeom>
        <a:solidFill>
          <a:schemeClr val="lt1"/>
        </a:solidFill>
        <a:ln w="9525" cmpd="sng">
          <a:solidFill>
            <a:schemeClr val="lt1">
              <a:shade val="50000"/>
            </a:schemeClr>
          </a:solidFill>
        </a:ln>
        <a:effectLst>
          <a:outerShdw blurRad="63500" dist="37357" dir="2700000" rotWithShape="0">
            <a:scrgbClr r="0" g="0" b="0"/>
          </a:outerShdw>
        </a:effectLst>
      </xdr:spPr>
      <xdr:style>
        <a:lnRef idx="0">
          <a:scrgbClr r="0" g="0" b="0"/>
        </a:lnRef>
        <a:fillRef idx="0">
          <a:scrgbClr r="0" g="0" b="0"/>
        </a:fillRef>
        <a:effectRef idx="0">
          <a:scrgbClr r="0" g="0" b="0"/>
        </a:effectRef>
        <a:fontRef idx="minor">
          <a:schemeClr val="dk1"/>
        </a:fontRef>
      </xdr:style>
      <xdr:txBody>
        <a:bodyPr vertOverflow="clip" vert="horz" wrap="none" rtlCol="0" anchor="t">
          <a:spAutoFit/>
        </a:bodyPr>
        <a:lstStyle/>
        <a:p>
          <a:pPr algn="ctr"/>
          <a:r>
            <a:rPr lang="en-US" sz="800"/>
            <a:t>Resource Temperature</a:t>
          </a:r>
        </a:p>
      </xdr:txBody>
    </xdr:sp>
    <xdr:clientData/>
  </xdr:twoCellAnchor>
  <xdr:twoCellAnchor>
    <xdr:from>
      <xdr:col>6</xdr:col>
      <xdr:colOff>95250</xdr:colOff>
      <xdr:row>9</xdr:row>
      <xdr:rowOff>85724</xdr:rowOff>
    </xdr:from>
    <xdr:to>
      <xdr:col>7</xdr:col>
      <xdr:colOff>466725</xdr:colOff>
      <xdr:row>15</xdr:row>
      <xdr:rowOff>114299</xdr:rowOff>
    </xdr:to>
    <xdr:cxnSp macro="">
      <xdr:nvCxnSpPr>
        <xdr:cNvPr id="124" name="Straight Arrow Connector 123"/>
        <xdr:cNvCxnSpPr/>
      </xdr:nvCxnSpPr>
      <xdr:spPr>
        <a:xfrm rot="16200000" flipH="1">
          <a:off x="3657600" y="1924049"/>
          <a:ext cx="1171575" cy="9810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304240</xdr:colOff>
      <xdr:row>28</xdr:row>
      <xdr:rowOff>142874</xdr:rowOff>
    </xdr:from>
    <xdr:to>
      <xdr:col>7</xdr:col>
      <xdr:colOff>66676</xdr:colOff>
      <xdr:row>30</xdr:row>
      <xdr:rowOff>143435</xdr:rowOff>
    </xdr:to>
    <xdr:cxnSp macro="">
      <xdr:nvCxnSpPr>
        <xdr:cNvPr id="126" name="Straight Arrow Connector 125"/>
        <xdr:cNvCxnSpPr>
          <a:endCxn id="52" idx="7"/>
        </xdr:cNvCxnSpPr>
      </xdr:nvCxnSpPr>
      <xdr:spPr>
        <a:xfrm rot="5400000">
          <a:off x="3957077" y="5510212"/>
          <a:ext cx="381561" cy="37203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498476</xdr:colOff>
      <xdr:row>20</xdr:row>
      <xdr:rowOff>57150</xdr:rowOff>
    </xdr:from>
    <xdr:to>
      <xdr:col>8</xdr:col>
      <xdr:colOff>9526</xdr:colOff>
      <xdr:row>24</xdr:row>
      <xdr:rowOff>66675</xdr:rowOff>
    </xdr:to>
    <xdr:cxnSp macro="">
      <xdr:nvCxnSpPr>
        <xdr:cNvPr id="128" name="Straight Arrow Connector 127"/>
        <xdr:cNvCxnSpPr/>
      </xdr:nvCxnSpPr>
      <xdr:spPr>
        <a:xfrm rot="5400000" flipH="1" flipV="1">
          <a:off x="4440238" y="4221163"/>
          <a:ext cx="771525" cy="1206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323850</xdr:colOff>
      <xdr:row>5</xdr:row>
      <xdr:rowOff>161925</xdr:rowOff>
    </xdr:from>
    <xdr:to>
      <xdr:col>2</xdr:col>
      <xdr:colOff>323850</xdr:colOff>
      <xdr:row>10</xdr:row>
      <xdr:rowOff>123825</xdr:rowOff>
    </xdr:to>
    <xdr:sp macro="" textlink="">
      <xdr:nvSpPr>
        <xdr:cNvPr id="132" name="inode_1_16"/>
        <xdr:cNvSpPr/>
      </xdr:nvSpPr>
      <xdr:spPr>
        <a:xfrm>
          <a:off x="323850" y="1143000"/>
          <a:ext cx="1219200" cy="914400"/>
        </a:xfrm>
        <a:prstGeom prst="ellipse">
          <a:avLst/>
        </a:prstGeom>
        <a:solidFill>
          <a:srgbClr val="800000"/>
        </a:solidFill>
        <a:ln w="2476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0</xdr:col>
      <xdr:colOff>448412</xdr:colOff>
      <xdr:row>7</xdr:row>
      <xdr:rowOff>129345</xdr:rowOff>
    </xdr:from>
    <xdr:to>
      <xdr:col>2</xdr:col>
      <xdr:colOff>199286</xdr:colOff>
      <xdr:row>8</xdr:row>
      <xdr:rowOff>156405</xdr:rowOff>
    </xdr:to>
    <xdr:sp macro="_xll.objClick" textlink="">
      <xdr:nvSpPr>
        <xdr:cNvPr id="133" name="iText_1_16"/>
        <xdr:cNvSpPr txBox="1"/>
      </xdr:nvSpPr>
      <xdr:spPr>
        <a:xfrm>
          <a:off x="448412" y="1491420"/>
          <a:ext cx="970074" cy="217560"/>
        </a:xfrm>
        <a:prstGeom prst="rect">
          <a:avLst/>
        </a:prstGeom>
        <a:solidFill>
          <a:schemeClr val="lt1"/>
        </a:solidFill>
        <a:ln w="9525" cmpd="sng">
          <a:solidFill>
            <a:schemeClr val="lt1">
              <a:shade val="50000"/>
            </a:schemeClr>
          </a:solidFill>
        </a:ln>
        <a:effectLst>
          <a:outerShdw blurRad="63500" dist="37357" dir="2700000" rotWithShape="0">
            <a:scrgbClr r="0" g="0" b="0"/>
          </a:outerShdw>
        </a:effectLst>
      </xdr:spPr>
      <xdr:style>
        <a:lnRef idx="0">
          <a:scrgbClr r="0" g="0" b="0"/>
        </a:lnRef>
        <a:fillRef idx="0">
          <a:scrgbClr r="0" g="0" b="0"/>
        </a:fillRef>
        <a:effectRef idx="0">
          <a:scrgbClr r="0" g="0" b="0"/>
        </a:effectRef>
        <a:fontRef idx="minor">
          <a:schemeClr val="dk1"/>
        </a:fontRef>
      </xdr:style>
      <xdr:txBody>
        <a:bodyPr vertOverflow="clip" vert="horz" wrap="none" rtlCol="0" anchor="t">
          <a:spAutoFit/>
        </a:bodyPr>
        <a:lstStyle/>
        <a:p>
          <a:pPr algn="ctr"/>
          <a:r>
            <a:rPr lang="en-US" sz="800"/>
            <a:t>Resource Potential</a:t>
          </a:r>
        </a:p>
      </xdr:txBody>
    </xdr:sp>
    <xdr:clientData/>
  </xdr:twoCellAnchor>
  <xdr:twoCellAnchor>
    <xdr:from>
      <xdr:col>2</xdr:col>
      <xdr:colOff>323850</xdr:colOff>
      <xdr:row>7</xdr:row>
      <xdr:rowOff>57150</xdr:rowOff>
    </xdr:from>
    <xdr:to>
      <xdr:col>4</xdr:col>
      <xdr:colOff>161924</xdr:colOff>
      <xdr:row>8</xdr:row>
      <xdr:rowOff>47625</xdr:rowOff>
    </xdr:to>
    <xdr:cxnSp macro="">
      <xdr:nvCxnSpPr>
        <xdr:cNvPr id="135" name="Straight Arrow Connector 134"/>
        <xdr:cNvCxnSpPr>
          <a:stCxn id="132" idx="6"/>
          <a:endCxn id="22" idx="1"/>
        </xdr:cNvCxnSpPr>
      </xdr:nvCxnSpPr>
      <xdr:spPr>
        <a:xfrm flipV="1">
          <a:off x="1543050" y="1419225"/>
          <a:ext cx="1057274" cy="1809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85724</xdr:colOff>
      <xdr:row>24</xdr:row>
      <xdr:rowOff>66675</xdr:rowOff>
    </xdr:from>
    <xdr:to>
      <xdr:col>9</xdr:col>
      <xdr:colOff>95249</xdr:colOff>
      <xdr:row>28</xdr:row>
      <xdr:rowOff>152400</xdr:rowOff>
    </xdr:to>
    <xdr:sp macro="" textlink="">
      <xdr:nvSpPr>
        <xdr:cNvPr id="136" name="inode_1_2"/>
        <xdr:cNvSpPr/>
      </xdr:nvSpPr>
      <xdr:spPr>
        <a:xfrm>
          <a:off x="4352924" y="4667250"/>
          <a:ext cx="1228725" cy="857250"/>
        </a:xfrm>
        <a:prstGeom prst="rect">
          <a:avLst/>
        </a:prstGeom>
        <a:solidFill>
          <a:srgbClr val="008000"/>
        </a:solidFill>
        <a:ln w="2476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7</xdr:col>
      <xdr:colOff>180713</xdr:colOff>
      <xdr:row>25</xdr:row>
      <xdr:rowOff>186494</xdr:rowOff>
    </xdr:from>
    <xdr:to>
      <xdr:col>9</xdr:col>
      <xdr:colOff>259</xdr:colOff>
      <xdr:row>27</xdr:row>
      <xdr:rowOff>23054</xdr:rowOff>
    </xdr:to>
    <xdr:sp macro="_xll.objClick" textlink="">
      <xdr:nvSpPr>
        <xdr:cNvPr id="137" name="iText_1_2"/>
        <xdr:cNvSpPr txBox="1"/>
      </xdr:nvSpPr>
      <xdr:spPr>
        <a:xfrm>
          <a:off x="4447913" y="4987094"/>
          <a:ext cx="1038746" cy="217560"/>
        </a:xfrm>
        <a:prstGeom prst="rect">
          <a:avLst/>
        </a:prstGeom>
        <a:solidFill>
          <a:schemeClr val="lt1"/>
        </a:solidFill>
        <a:ln w="9525" cmpd="sng">
          <a:solidFill>
            <a:schemeClr val="lt1">
              <a:shade val="50000"/>
            </a:schemeClr>
          </a:solidFill>
        </a:ln>
        <a:effectLst>
          <a:outerShdw blurRad="63500" dist="37357" dir="2700000" rotWithShape="0">
            <a:scrgbClr r="0" g="0" b="0"/>
          </a:outerShdw>
        </a:effectLst>
      </xdr:spPr>
      <xdr:style>
        <a:lnRef idx="0">
          <a:scrgbClr r="0" g="0" b="0"/>
        </a:lnRef>
        <a:fillRef idx="0">
          <a:scrgbClr r="0" g="0" b="0"/>
        </a:fillRef>
        <a:effectRef idx="0">
          <a:scrgbClr r="0" g="0" b="0"/>
        </a:effectRef>
        <a:fontRef idx="minor">
          <a:schemeClr val="dk1"/>
        </a:fontRef>
      </xdr:style>
      <xdr:txBody>
        <a:bodyPr vertOverflow="clip" vert="horz" wrap="none" rtlCol="0" anchor="t">
          <a:spAutoFit/>
        </a:bodyPr>
        <a:lstStyle/>
        <a:p>
          <a:pPr algn="ctr"/>
          <a:r>
            <a:rPr lang="en-US" sz="800"/>
            <a:t>Year of Construction</a:t>
          </a:r>
        </a:p>
      </xdr:txBody>
    </xdr:sp>
    <xdr:clientData/>
  </xdr:twoCellAnchor>
  <xdr:twoCellAnchor editAs="absolute">
    <xdr:from>
      <xdr:col>0</xdr:col>
      <xdr:colOff>371475</xdr:colOff>
      <xdr:row>22</xdr:row>
      <xdr:rowOff>123825</xdr:rowOff>
    </xdr:from>
    <xdr:to>
      <xdr:col>2</xdr:col>
      <xdr:colOff>66675</xdr:colOff>
      <xdr:row>27</xdr:row>
      <xdr:rowOff>76200</xdr:rowOff>
    </xdr:to>
    <xdr:sp macro="" textlink="">
      <xdr:nvSpPr>
        <xdr:cNvPr id="138" name="inode_1_15"/>
        <xdr:cNvSpPr/>
      </xdr:nvSpPr>
      <xdr:spPr>
        <a:xfrm>
          <a:off x="371475" y="4343400"/>
          <a:ext cx="914400" cy="914400"/>
        </a:xfrm>
        <a:prstGeom prst="rect">
          <a:avLst/>
        </a:prstGeom>
        <a:solidFill>
          <a:srgbClr val="008000"/>
        </a:solidFill>
        <a:ln w="2476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0</xdr:col>
      <xdr:colOff>448955</xdr:colOff>
      <xdr:row>24</xdr:row>
      <xdr:rowOff>91244</xdr:rowOff>
    </xdr:from>
    <xdr:to>
      <xdr:col>1</xdr:col>
      <xdr:colOff>598794</xdr:colOff>
      <xdr:row>25</xdr:row>
      <xdr:rowOff>108779</xdr:rowOff>
    </xdr:to>
    <xdr:sp macro="_xll.objClick" textlink="">
      <xdr:nvSpPr>
        <xdr:cNvPr id="139" name="iText_1_15"/>
        <xdr:cNvSpPr txBox="1"/>
      </xdr:nvSpPr>
      <xdr:spPr>
        <a:xfrm>
          <a:off x="448955" y="4691819"/>
          <a:ext cx="759439" cy="217560"/>
        </a:xfrm>
        <a:prstGeom prst="rect">
          <a:avLst/>
        </a:prstGeom>
        <a:solidFill>
          <a:schemeClr val="lt1"/>
        </a:solidFill>
        <a:ln w="9525" cmpd="sng">
          <a:solidFill>
            <a:schemeClr val="lt1">
              <a:shade val="50000"/>
            </a:schemeClr>
          </a:solidFill>
        </a:ln>
        <a:effectLst>
          <a:outerShdw blurRad="63500" dist="37357" dir="2700000" rotWithShape="0">
            <a:scrgbClr r="0" g="0" b="0"/>
          </a:outerShdw>
        </a:effectLst>
      </xdr:spPr>
      <xdr:style>
        <a:lnRef idx="0">
          <a:scrgbClr r="0" g="0" b="0"/>
        </a:lnRef>
        <a:fillRef idx="0">
          <a:scrgbClr r="0" g="0" b="0"/>
        </a:fillRef>
        <a:effectRef idx="0">
          <a:scrgbClr r="0" g="0" b="0"/>
        </a:effectRef>
        <a:fontRef idx="minor">
          <a:schemeClr val="dk1"/>
        </a:fontRef>
      </xdr:style>
      <xdr:txBody>
        <a:bodyPr vertOverflow="clip" vert="horz" wrap="none" rtlCol="0" anchor="t">
          <a:spAutoFit/>
        </a:bodyPr>
        <a:lstStyle/>
        <a:p>
          <a:pPr algn="ctr"/>
          <a:r>
            <a:rPr lang="en-US" sz="800"/>
            <a:t>Drilling Depth</a:t>
          </a:r>
        </a:p>
      </xdr:txBody>
    </xdr:sp>
    <xdr:clientData/>
  </xdr:twoCellAnchor>
  <xdr:twoCellAnchor>
    <xdr:from>
      <xdr:col>1</xdr:col>
      <xdr:colOff>218282</xdr:colOff>
      <xdr:row>17</xdr:row>
      <xdr:rowOff>105567</xdr:rowOff>
    </xdr:from>
    <xdr:to>
      <xdr:col>1</xdr:col>
      <xdr:colOff>219870</xdr:colOff>
      <xdr:row>22</xdr:row>
      <xdr:rowOff>124618</xdr:rowOff>
    </xdr:to>
    <xdr:cxnSp macro="">
      <xdr:nvCxnSpPr>
        <xdr:cNvPr id="141" name="Straight Arrow Connector 140"/>
        <xdr:cNvCxnSpPr>
          <a:stCxn id="115" idx="4"/>
          <a:endCxn id="138" idx="0"/>
        </xdr:cNvCxnSpPr>
      </xdr:nvCxnSpPr>
      <xdr:spPr>
        <a:xfrm rot="5400000">
          <a:off x="342900" y="3857624"/>
          <a:ext cx="971551" cy="1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66675</xdr:colOff>
      <xdr:row>25</xdr:row>
      <xdr:rowOff>9525</xdr:rowOff>
    </xdr:from>
    <xdr:to>
      <xdr:col>5</xdr:col>
      <xdr:colOff>361950</xdr:colOff>
      <xdr:row>30</xdr:row>
      <xdr:rowOff>47625</xdr:rowOff>
    </xdr:to>
    <xdr:cxnSp macro="">
      <xdr:nvCxnSpPr>
        <xdr:cNvPr id="143" name="Straight Arrow Connector 142"/>
        <xdr:cNvCxnSpPr>
          <a:stCxn id="138" idx="3"/>
        </xdr:cNvCxnSpPr>
      </xdr:nvCxnSpPr>
      <xdr:spPr>
        <a:xfrm>
          <a:off x="1285875" y="4800600"/>
          <a:ext cx="212407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419100</xdr:colOff>
      <xdr:row>4</xdr:row>
      <xdr:rowOff>114300</xdr:rowOff>
    </xdr:from>
    <xdr:to>
      <xdr:col>10</xdr:col>
      <xdr:colOff>114300</xdr:colOff>
      <xdr:row>9</xdr:row>
      <xdr:rowOff>76200</xdr:rowOff>
    </xdr:to>
    <xdr:sp macro="" textlink="">
      <xdr:nvSpPr>
        <xdr:cNvPr id="147" name="inode_1_17"/>
        <xdr:cNvSpPr/>
      </xdr:nvSpPr>
      <xdr:spPr>
        <a:xfrm>
          <a:off x="5295900" y="904875"/>
          <a:ext cx="914400" cy="914400"/>
        </a:xfrm>
        <a:prstGeom prst="rect">
          <a:avLst/>
        </a:prstGeom>
        <a:solidFill>
          <a:srgbClr val="008000"/>
        </a:solidFill>
        <a:ln w="2476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8</xdr:col>
      <xdr:colOff>577756</xdr:colOff>
      <xdr:row>6</xdr:row>
      <xdr:rowOff>81720</xdr:rowOff>
    </xdr:from>
    <xdr:to>
      <xdr:col>9</xdr:col>
      <xdr:colOff>565243</xdr:colOff>
      <xdr:row>7</xdr:row>
      <xdr:rowOff>108780</xdr:rowOff>
    </xdr:to>
    <xdr:sp macro="_xll.objClick" textlink="">
      <xdr:nvSpPr>
        <xdr:cNvPr id="148" name="iText_1_17"/>
        <xdr:cNvSpPr txBox="1"/>
      </xdr:nvSpPr>
      <xdr:spPr>
        <a:xfrm>
          <a:off x="5454556" y="1253295"/>
          <a:ext cx="597087" cy="217560"/>
        </a:xfrm>
        <a:prstGeom prst="rect">
          <a:avLst/>
        </a:prstGeom>
        <a:solidFill>
          <a:schemeClr val="lt1"/>
        </a:solidFill>
        <a:ln w="9525" cmpd="sng">
          <a:solidFill>
            <a:schemeClr val="lt1">
              <a:shade val="50000"/>
            </a:schemeClr>
          </a:solidFill>
        </a:ln>
        <a:effectLst>
          <a:outerShdw blurRad="63500" dist="37357" dir="2700000" rotWithShape="0">
            <a:scrgbClr r="0" g="0" b="0"/>
          </a:outerShdw>
        </a:effectLst>
      </xdr:spPr>
      <xdr:style>
        <a:lnRef idx="0">
          <a:scrgbClr r="0" g="0" b="0"/>
        </a:lnRef>
        <a:fillRef idx="0">
          <a:scrgbClr r="0" g="0" b="0"/>
        </a:fillRef>
        <a:effectRef idx="0">
          <a:scrgbClr r="0" g="0" b="0"/>
        </a:effectRef>
        <a:fontRef idx="minor">
          <a:schemeClr val="dk1"/>
        </a:fontRef>
      </xdr:style>
      <xdr:txBody>
        <a:bodyPr vertOverflow="clip" vert="horz" wrap="none" rtlCol="0" anchor="t">
          <a:spAutoFit/>
        </a:bodyPr>
        <a:lstStyle/>
        <a:p>
          <a:pPr algn="ctr"/>
          <a:r>
            <a:rPr lang="en-US" sz="800"/>
            <a:t># of Wells</a:t>
          </a:r>
        </a:p>
      </xdr:txBody>
    </xdr:sp>
    <xdr:clientData/>
  </xdr:twoCellAnchor>
  <xdr:twoCellAnchor>
    <xdr:from>
      <xdr:col>6</xdr:col>
      <xdr:colOff>114300</xdr:colOff>
      <xdr:row>6</xdr:row>
      <xdr:rowOff>76200</xdr:rowOff>
    </xdr:from>
    <xdr:to>
      <xdr:col>8</xdr:col>
      <xdr:colOff>419100</xdr:colOff>
      <xdr:row>7</xdr:row>
      <xdr:rowOff>0</xdr:rowOff>
    </xdr:to>
    <xdr:cxnSp macro="">
      <xdr:nvCxnSpPr>
        <xdr:cNvPr id="150" name="Straight Arrow Connector 149"/>
        <xdr:cNvCxnSpPr>
          <a:endCxn id="147" idx="1"/>
        </xdr:cNvCxnSpPr>
      </xdr:nvCxnSpPr>
      <xdr:spPr>
        <a:xfrm>
          <a:off x="3771900" y="1247775"/>
          <a:ext cx="1524000" cy="1143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438151</xdr:colOff>
      <xdr:row>9</xdr:row>
      <xdr:rowOff>57149</xdr:rowOff>
    </xdr:from>
    <xdr:to>
      <xdr:col>9</xdr:col>
      <xdr:colOff>523877</xdr:colOff>
      <xdr:row>32</xdr:row>
      <xdr:rowOff>85724</xdr:rowOff>
    </xdr:to>
    <xdr:cxnSp macro="">
      <xdr:nvCxnSpPr>
        <xdr:cNvPr id="155" name="Elbow Connector 154"/>
        <xdr:cNvCxnSpPr>
          <a:endCxn id="52" idx="6"/>
        </xdr:cNvCxnSpPr>
      </xdr:nvCxnSpPr>
      <xdr:spPr>
        <a:xfrm rot="5400000">
          <a:off x="2847976" y="3047999"/>
          <a:ext cx="4410075" cy="1914526"/>
        </a:xfrm>
        <a:prstGeom prst="bentConnector2">
          <a:avLst/>
        </a:prstGeom>
        <a:ln>
          <a:prstDash val="lgDash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419100</xdr:colOff>
      <xdr:row>12</xdr:row>
      <xdr:rowOff>114300</xdr:rowOff>
    </xdr:from>
    <xdr:to>
      <xdr:col>12</xdr:col>
      <xdr:colOff>114300</xdr:colOff>
      <xdr:row>17</xdr:row>
      <xdr:rowOff>76200</xdr:rowOff>
    </xdr:to>
    <xdr:sp macro="" textlink="">
      <xdr:nvSpPr>
        <xdr:cNvPr id="162" name="inode_1_18"/>
        <xdr:cNvSpPr/>
      </xdr:nvSpPr>
      <xdr:spPr>
        <a:xfrm>
          <a:off x="6515100" y="2428875"/>
          <a:ext cx="914400" cy="914400"/>
        </a:xfrm>
        <a:prstGeom prst="ellipse">
          <a:avLst/>
        </a:prstGeom>
        <a:solidFill>
          <a:srgbClr val="800000"/>
        </a:solidFill>
        <a:ln w="2476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10</xdr:col>
      <xdr:colOff>578173</xdr:colOff>
      <xdr:row>14</xdr:row>
      <xdr:rowOff>81720</xdr:rowOff>
    </xdr:from>
    <xdr:to>
      <xdr:col>11</xdr:col>
      <xdr:colOff>564826</xdr:colOff>
      <xdr:row>15</xdr:row>
      <xdr:rowOff>108780</xdr:rowOff>
    </xdr:to>
    <xdr:sp macro="_xll.objClick" textlink="">
      <xdr:nvSpPr>
        <xdr:cNvPr id="163" name="iText_1_18"/>
        <xdr:cNvSpPr txBox="1"/>
      </xdr:nvSpPr>
      <xdr:spPr>
        <a:xfrm>
          <a:off x="6674173" y="2777295"/>
          <a:ext cx="596253" cy="217560"/>
        </a:xfrm>
        <a:prstGeom prst="rect">
          <a:avLst/>
        </a:prstGeom>
        <a:solidFill>
          <a:schemeClr val="lt1"/>
        </a:solidFill>
        <a:ln w="9525" cmpd="sng">
          <a:solidFill>
            <a:schemeClr val="lt1">
              <a:shade val="50000"/>
            </a:schemeClr>
          </a:solidFill>
        </a:ln>
        <a:effectLst>
          <a:outerShdw blurRad="63500" dist="37357" dir="2700000" rotWithShape="0">
            <a:scrgbClr r="0" g="0" b="0"/>
          </a:outerShdw>
        </a:effectLst>
      </xdr:spPr>
      <xdr:style>
        <a:lnRef idx="0">
          <a:scrgbClr r="0" g="0" b="0"/>
        </a:lnRef>
        <a:fillRef idx="0">
          <a:scrgbClr r="0" g="0" b="0"/>
        </a:fillRef>
        <a:effectRef idx="0">
          <a:scrgbClr r="0" g="0" b="0"/>
        </a:effectRef>
        <a:fontRef idx="minor">
          <a:schemeClr val="dk1"/>
        </a:fontRef>
      </xdr:style>
      <xdr:txBody>
        <a:bodyPr vertOverflow="clip" vert="horz" wrap="none" rtlCol="0" anchor="t">
          <a:spAutoFit/>
        </a:bodyPr>
        <a:lstStyle/>
        <a:p>
          <a:pPr algn="ctr"/>
          <a:r>
            <a:rPr lang="en-US" sz="800"/>
            <a:t>Flow Rate</a:t>
          </a:r>
        </a:p>
      </xdr:txBody>
    </xdr:sp>
    <xdr:clientData/>
  </xdr:twoCellAnchor>
  <xdr:twoCellAnchor>
    <xdr:from>
      <xdr:col>10</xdr:col>
      <xdr:colOff>28576</xdr:colOff>
      <xdr:row>9</xdr:row>
      <xdr:rowOff>85725</xdr:rowOff>
    </xdr:from>
    <xdr:to>
      <xdr:col>11</xdr:col>
      <xdr:colOff>19053</xdr:colOff>
      <xdr:row>12</xdr:row>
      <xdr:rowOff>161925</xdr:rowOff>
    </xdr:to>
    <xdr:cxnSp macro="">
      <xdr:nvCxnSpPr>
        <xdr:cNvPr id="167" name="Straight Arrow Connector 166"/>
        <xdr:cNvCxnSpPr/>
      </xdr:nvCxnSpPr>
      <xdr:spPr>
        <a:xfrm rot="16200000" flipV="1">
          <a:off x="6100765" y="1852611"/>
          <a:ext cx="647700" cy="6000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16</xdr:col>
      <xdr:colOff>247650</xdr:colOff>
      <xdr:row>7</xdr:row>
      <xdr:rowOff>123825</xdr:rowOff>
    </xdr:from>
    <xdr:to>
      <xdr:col>17</xdr:col>
      <xdr:colOff>552450</xdr:colOff>
      <xdr:row>12</xdr:row>
      <xdr:rowOff>85725</xdr:rowOff>
    </xdr:to>
    <xdr:sp macro="" textlink="">
      <xdr:nvSpPr>
        <xdr:cNvPr id="174" name="inode_1_19"/>
        <xdr:cNvSpPr/>
      </xdr:nvSpPr>
      <xdr:spPr>
        <a:xfrm>
          <a:off x="10001250" y="1485900"/>
          <a:ext cx="914400" cy="914400"/>
        </a:xfrm>
        <a:prstGeom prst="roundRect">
          <a:avLst/>
        </a:prstGeom>
        <a:solidFill>
          <a:srgbClr val="000080"/>
        </a:solidFill>
        <a:ln w="2476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16</xdr:col>
      <xdr:colOff>272006</xdr:colOff>
      <xdr:row>9</xdr:row>
      <xdr:rowOff>91245</xdr:rowOff>
    </xdr:from>
    <xdr:to>
      <xdr:col>17</xdr:col>
      <xdr:colOff>528092</xdr:colOff>
      <xdr:row>10</xdr:row>
      <xdr:rowOff>118305</xdr:rowOff>
    </xdr:to>
    <xdr:sp macro="_xll.objClick" textlink="">
      <xdr:nvSpPr>
        <xdr:cNvPr id="175" name="iText_1_19"/>
        <xdr:cNvSpPr txBox="1"/>
      </xdr:nvSpPr>
      <xdr:spPr>
        <a:xfrm>
          <a:off x="10025606" y="1834320"/>
          <a:ext cx="865686" cy="217560"/>
        </a:xfrm>
        <a:prstGeom prst="rect">
          <a:avLst/>
        </a:prstGeom>
        <a:solidFill>
          <a:schemeClr val="lt1"/>
        </a:solidFill>
        <a:ln w="9525" cmpd="sng">
          <a:solidFill>
            <a:schemeClr val="lt1">
              <a:shade val="50000"/>
            </a:schemeClr>
          </a:solidFill>
        </a:ln>
        <a:effectLst>
          <a:outerShdw blurRad="63500" dist="37357" dir="2700000" rotWithShape="0">
            <a:scrgbClr r="0" g="0" b="0"/>
          </a:outerShdw>
        </a:effectLst>
      </xdr:spPr>
      <xdr:style>
        <a:lnRef idx="0">
          <a:scrgbClr r="0" g="0" b="0"/>
        </a:lnRef>
        <a:fillRef idx="0">
          <a:scrgbClr r="0" g="0" b="0"/>
        </a:fillRef>
        <a:effectRef idx="0">
          <a:scrgbClr r="0" g="0" b="0"/>
        </a:effectRef>
        <a:fontRef idx="minor">
          <a:schemeClr val="dk1"/>
        </a:fontRef>
      </xdr:style>
      <xdr:txBody>
        <a:bodyPr vertOverflow="clip" vert="horz" wrap="none" rtlCol="0" anchor="t">
          <a:spAutoFit/>
        </a:bodyPr>
        <a:lstStyle/>
        <a:p>
          <a:pPr algn="ctr"/>
          <a:r>
            <a:rPr lang="en-US" sz="800"/>
            <a:t>Exploration Jobs</a:t>
          </a:r>
        </a:p>
      </xdr:txBody>
    </xdr:sp>
    <xdr:clientData/>
  </xdr:twoCellAnchor>
  <xdr:twoCellAnchor editAs="absolute">
    <xdr:from>
      <xdr:col>16</xdr:col>
      <xdr:colOff>247650</xdr:colOff>
      <xdr:row>15</xdr:row>
      <xdr:rowOff>19050</xdr:rowOff>
    </xdr:from>
    <xdr:to>
      <xdr:col>17</xdr:col>
      <xdr:colOff>552450</xdr:colOff>
      <xdr:row>19</xdr:row>
      <xdr:rowOff>171450</xdr:rowOff>
    </xdr:to>
    <xdr:sp macro="" textlink="">
      <xdr:nvSpPr>
        <xdr:cNvPr id="179" name="inode_1_20"/>
        <xdr:cNvSpPr/>
      </xdr:nvSpPr>
      <xdr:spPr>
        <a:xfrm>
          <a:off x="10001250" y="2905125"/>
          <a:ext cx="914400" cy="914400"/>
        </a:xfrm>
        <a:prstGeom prst="roundRect">
          <a:avLst/>
        </a:prstGeom>
        <a:solidFill>
          <a:srgbClr val="000080"/>
        </a:solidFill>
        <a:ln w="2476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16</xdr:col>
      <xdr:colOff>362864</xdr:colOff>
      <xdr:row>16</xdr:row>
      <xdr:rowOff>176969</xdr:rowOff>
    </xdr:from>
    <xdr:to>
      <xdr:col>17</xdr:col>
      <xdr:colOff>437234</xdr:colOff>
      <xdr:row>18</xdr:row>
      <xdr:rowOff>13529</xdr:rowOff>
    </xdr:to>
    <xdr:sp macro="_xll.objClick" textlink="">
      <xdr:nvSpPr>
        <xdr:cNvPr id="180" name="iText_1_20"/>
        <xdr:cNvSpPr txBox="1"/>
      </xdr:nvSpPr>
      <xdr:spPr>
        <a:xfrm>
          <a:off x="10116464" y="3253544"/>
          <a:ext cx="683970" cy="217560"/>
        </a:xfrm>
        <a:prstGeom prst="rect">
          <a:avLst/>
        </a:prstGeom>
        <a:solidFill>
          <a:schemeClr val="lt1"/>
        </a:solidFill>
        <a:ln w="9525" cmpd="sng">
          <a:solidFill>
            <a:schemeClr val="lt1">
              <a:shade val="50000"/>
            </a:schemeClr>
          </a:solidFill>
        </a:ln>
        <a:effectLst>
          <a:outerShdw blurRad="63500" dist="37357" dir="2700000" rotWithShape="0">
            <a:scrgbClr r="0" g="0" b="0"/>
          </a:outerShdw>
        </a:effectLst>
      </xdr:spPr>
      <xdr:style>
        <a:lnRef idx="0">
          <a:scrgbClr r="0" g="0" b="0"/>
        </a:lnRef>
        <a:fillRef idx="0">
          <a:scrgbClr r="0" g="0" b="0"/>
        </a:fillRef>
        <a:effectRef idx="0">
          <a:scrgbClr r="0" g="0" b="0"/>
        </a:effectRef>
        <a:fontRef idx="minor">
          <a:schemeClr val="dk1"/>
        </a:fontRef>
      </xdr:style>
      <xdr:txBody>
        <a:bodyPr vertOverflow="clip" vert="horz" wrap="none" rtlCol="0" anchor="t">
          <a:spAutoFit/>
        </a:bodyPr>
        <a:lstStyle/>
        <a:p>
          <a:pPr algn="ctr"/>
          <a:r>
            <a:rPr lang="en-US" sz="800"/>
            <a:t>Drilling Jobs</a:t>
          </a:r>
        </a:p>
      </xdr:txBody>
    </xdr:sp>
    <xdr:clientData/>
  </xdr:twoCellAnchor>
  <xdr:twoCellAnchor editAs="absolute">
    <xdr:from>
      <xdr:col>16</xdr:col>
      <xdr:colOff>104775</xdr:colOff>
      <xdr:row>21</xdr:row>
      <xdr:rowOff>171449</xdr:rowOff>
    </xdr:from>
    <xdr:to>
      <xdr:col>18</xdr:col>
      <xdr:colOff>123825</xdr:colOff>
      <xdr:row>26</xdr:row>
      <xdr:rowOff>133349</xdr:rowOff>
    </xdr:to>
    <xdr:sp macro="" textlink="">
      <xdr:nvSpPr>
        <xdr:cNvPr id="184" name="inode_1_21"/>
        <xdr:cNvSpPr/>
      </xdr:nvSpPr>
      <xdr:spPr>
        <a:xfrm>
          <a:off x="9858375" y="4200524"/>
          <a:ext cx="1238250" cy="923925"/>
        </a:xfrm>
        <a:prstGeom prst="roundRect">
          <a:avLst/>
        </a:prstGeom>
        <a:solidFill>
          <a:srgbClr val="000080"/>
        </a:solidFill>
        <a:ln w="2476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16</xdr:col>
      <xdr:colOff>142778</xdr:colOff>
      <xdr:row>23</xdr:row>
      <xdr:rowOff>143631</xdr:rowOff>
    </xdr:from>
    <xdr:to>
      <xdr:col>18</xdr:col>
      <xdr:colOff>85820</xdr:colOff>
      <xdr:row>24</xdr:row>
      <xdr:rowOff>170691</xdr:rowOff>
    </xdr:to>
    <xdr:sp macro="_xll.objClick" textlink="">
      <xdr:nvSpPr>
        <xdr:cNvPr id="185" name="iText_1_21"/>
        <xdr:cNvSpPr txBox="1"/>
      </xdr:nvSpPr>
      <xdr:spPr>
        <a:xfrm>
          <a:off x="9896378" y="4553706"/>
          <a:ext cx="1162242" cy="217560"/>
        </a:xfrm>
        <a:prstGeom prst="rect">
          <a:avLst/>
        </a:prstGeom>
        <a:solidFill>
          <a:schemeClr val="lt1"/>
        </a:solidFill>
        <a:ln w="9525" cmpd="sng">
          <a:solidFill>
            <a:schemeClr val="lt1">
              <a:shade val="50000"/>
            </a:schemeClr>
          </a:solidFill>
        </a:ln>
        <a:effectLst>
          <a:outerShdw blurRad="63500" dist="37357" dir="2700000" rotWithShape="0">
            <a:scrgbClr r="0" g="0" b="0"/>
          </a:outerShdw>
        </a:effectLst>
      </xdr:spPr>
      <xdr:style>
        <a:lnRef idx="0">
          <a:scrgbClr r="0" g="0" b="0"/>
        </a:lnRef>
        <a:fillRef idx="0">
          <a:scrgbClr r="0" g="0" b="0"/>
        </a:fillRef>
        <a:effectRef idx="0">
          <a:scrgbClr r="0" g="0" b="0"/>
        </a:effectRef>
        <a:fontRef idx="minor">
          <a:schemeClr val="dk1"/>
        </a:fontRef>
      </xdr:style>
      <xdr:txBody>
        <a:bodyPr vertOverflow="clip" vert="horz" wrap="none" rtlCol="0" anchor="t">
          <a:spAutoFit/>
        </a:bodyPr>
        <a:lstStyle/>
        <a:p>
          <a:pPr algn="ctr"/>
          <a:r>
            <a:rPr lang="en-US" sz="800"/>
            <a:t>Plant Construction Jobs</a:t>
          </a:r>
        </a:p>
      </xdr:txBody>
    </xdr:sp>
    <xdr:clientData/>
  </xdr:twoCellAnchor>
  <xdr:twoCellAnchor editAs="absolute">
    <xdr:from>
      <xdr:col>16</xdr:col>
      <xdr:colOff>304800</xdr:colOff>
      <xdr:row>28</xdr:row>
      <xdr:rowOff>171450</xdr:rowOff>
    </xdr:from>
    <xdr:to>
      <xdr:col>18</xdr:col>
      <xdr:colOff>0</xdr:colOff>
      <xdr:row>33</xdr:row>
      <xdr:rowOff>133350</xdr:rowOff>
    </xdr:to>
    <xdr:sp macro="" textlink="">
      <xdr:nvSpPr>
        <xdr:cNvPr id="189" name="inode_1_22"/>
        <xdr:cNvSpPr/>
      </xdr:nvSpPr>
      <xdr:spPr>
        <a:xfrm>
          <a:off x="10058400" y="5543550"/>
          <a:ext cx="914400" cy="914400"/>
        </a:xfrm>
        <a:prstGeom prst="roundRect">
          <a:avLst/>
        </a:prstGeom>
        <a:solidFill>
          <a:srgbClr val="000080"/>
        </a:solidFill>
        <a:ln w="2476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16</xdr:col>
      <xdr:colOff>454832</xdr:colOff>
      <xdr:row>30</xdr:row>
      <xdr:rowOff>138869</xdr:rowOff>
    </xdr:from>
    <xdr:to>
      <xdr:col>17</xdr:col>
      <xdr:colOff>459567</xdr:colOff>
      <xdr:row>31</xdr:row>
      <xdr:rowOff>165929</xdr:rowOff>
    </xdr:to>
    <xdr:sp macro="_xll.objClick" textlink="">
      <xdr:nvSpPr>
        <xdr:cNvPr id="190" name="iText_1_22"/>
        <xdr:cNvSpPr txBox="1"/>
      </xdr:nvSpPr>
      <xdr:spPr>
        <a:xfrm>
          <a:off x="10208432" y="5891969"/>
          <a:ext cx="614335" cy="217560"/>
        </a:xfrm>
        <a:prstGeom prst="rect">
          <a:avLst/>
        </a:prstGeom>
        <a:solidFill>
          <a:schemeClr val="lt1"/>
        </a:solidFill>
        <a:ln w="9525" cmpd="sng">
          <a:solidFill>
            <a:schemeClr val="lt1">
              <a:shade val="50000"/>
            </a:schemeClr>
          </a:solidFill>
        </a:ln>
        <a:effectLst>
          <a:outerShdw blurRad="63500" dist="37357" dir="2700000" rotWithShape="0">
            <a:scrgbClr r="0" g="0" b="0"/>
          </a:outerShdw>
        </a:effectLst>
      </xdr:spPr>
      <xdr:style>
        <a:lnRef idx="0">
          <a:scrgbClr r="0" g="0" b="0"/>
        </a:lnRef>
        <a:fillRef idx="0">
          <a:scrgbClr r="0" g="0" b="0"/>
        </a:fillRef>
        <a:effectRef idx="0">
          <a:scrgbClr r="0" g="0" b="0"/>
        </a:effectRef>
        <a:fontRef idx="minor">
          <a:schemeClr val="dk1"/>
        </a:fontRef>
      </xdr:style>
      <xdr:txBody>
        <a:bodyPr vertOverflow="clip" vert="horz" wrap="none" rtlCol="0" anchor="t">
          <a:spAutoFit/>
        </a:bodyPr>
        <a:lstStyle/>
        <a:p>
          <a:pPr algn="ctr"/>
          <a:r>
            <a:rPr lang="en-US" sz="800"/>
            <a:t>O&amp;M Jobs</a:t>
          </a:r>
        </a:p>
      </xdr:txBody>
    </xdr:sp>
    <xdr:clientData/>
  </xdr:twoCellAnchor>
  <xdr:twoCellAnchor editAs="absolute">
    <xdr:from>
      <xdr:col>22</xdr:col>
      <xdr:colOff>190500</xdr:colOff>
      <xdr:row>17</xdr:row>
      <xdr:rowOff>28573</xdr:rowOff>
    </xdr:from>
    <xdr:to>
      <xdr:col>24</xdr:col>
      <xdr:colOff>485775</xdr:colOff>
      <xdr:row>24</xdr:row>
      <xdr:rowOff>104775</xdr:rowOff>
    </xdr:to>
    <xdr:sp macro="" textlink="">
      <xdr:nvSpPr>
        <xdr:cNvPr id="194" name="inode_1_23"/>
        <xdr:cNvSpPr/>
      </xdr:nvSpPr>
      <xdr:spPr>
        <a:xfrm>
          <a:off x="13601700" y="3295648"/>
          <a:ext cx="1514475" cy="1409702"/>
        </a:xfrm>
        <a:custGeom>
          <a:avLst/>
          <a:gdLst>
            <a:gd name="connsiteX0" fmla="*/ 0 w 127000"/>
            <a:gd name="connsiteY0" fmla="*/ 0 h 254000"/>
            <a:gd name="connsiteX1" fmla="*/ 127000 w 127000"/>
            <a:gd name="connsiteY1" fmla="*/ 127000 h 254000"/>
            <a:gd name="connsiteX2" fmla="*/ 0 w 127000"/>
            <a:gd name="connsiteY2" fmla="*/ 254000 h 254000"/>
            <a:gd name="connsiteX0" fmla="*/ 127000 w 254000"/>
            <a:gd name="connsiteY0" fmla="*/ 0 h 254000"/>
            <a:gd name="connsiteX1" fmla="*/ 254000 w 254000"/>
            <a:gd name="connsiteY1" fmla="*/ 127000 h 254000"/>
            <a:gd name="connsiteX2" fmla="*/ 127000 w 254000"/>
            <a:gd name="connsiteY2" fmla="*/ 254000 h 254000"/>
            <a:gd name="connsiteX3" fmla="*/ 0 w 254000"/>
            <a:gd name="connsiteY3" fmla="*/ 126999 h 254000"/>
            <a:gd name="connsiteX0" fmla="*/ 127000 w 254000"/>
            <a:gd name="connsiteY0" fmla="*/ 1 h 254001"/>
            <a:gd name="connsiteX1" fmla="*/ 254000 w 254000"/>
            <a:gd name="connsiteY1" fmla="*/ 127001 h 254001"/>
            <a:gd name="connsiteX2" fmla="*/ 127000 w 254000"/>
            <a:gd name="connsiteY2" fmla="*/ 254001 h 254001"/>
            <a:gd name="connsiteX3" fmla="*/ 0 w 254000"/>
            <a:gd name="connsiteY3" fmla="*/ 127000 h 254001"/>
            <a:gd name="connsiteX4" fmla="*/ 127000 w 254000"/>
            <a:gd name="connsiteY4" fmla="*/ 0 h 25400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4000" h="254001">
              <a:moveTo>
                <a:pt x="127000" y="1"/>
              </a:moveTo>
              <a:lnTo>
                <a:pt x="254000" y="127001"/>
              </a:lnTo>
              <a:lnTo>
                <a:pt x="127000" y="254001"/>
              </a:lnTo>
              <a:lnTo>
                <a:pt x="0" y="127000"/>
              </a:lnTo>
              <a:lnTo>
                <a:pt x="127000" y="0"/>
              </a:lnTo>
              <a:close/>
            </a:path>
          </a:pathLst>
        </a:custGeom>
        <a:solidFill>
          <a:srgbClr val="000080"/>
        </a:solidFill>
        <a:ln w="2476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22</xdr:col>
      <xdr:colOff>465554</xdr:colOff>
      <xdr:row>20</xdr:row>
      <xdr:rowOff>53144</xdr:rowOff>
    </xdr:from>
    <xdr:to>
      <xdr:col>24</xdr:col>
      <xdr:colOff>210721</xdr:colOff>
      <xdr:row>21</xdr:row>
      <xdr:rowOff>80204</xdr:rowOff>
    </xdr:to>
    <xdr:sp macro="_xll.objClick" textlink="">
      <xdr:nvSpPr>
        <xdr:cNvPr id="195" name="iText_1_23"/>
        <xdr:cNvSpPr txBox="1"/>
      </xdr:nvSpPr>
      <xdr:spPr>
        <a:xfrm>
          <a:off x="13876754" y="3891719"/>
          <a:ext cx="964367" cy="217560"/>
        </a:xfrm>
        <a:prstGeom prst="rect">
          <a:avLst/>
        </a:prstGeom>
        <a:solidFill>
          <a:schemeClr val="lt1"/>
        </a:solidFill>
        <a:ln w="9525" cmpd="sng">
          <a:solidFill>
            <a:schemeClr val="lt1">
              <a:shade val="50000"/>
            </a:schemeClr>
          </a:solidFill>
        </a:ln>
        <a:effectLst>
          <a:outerShdw blurRad="63500" dist="37357" dir="2700000" rotWithShape="0">
            <a:scrgbClr r="0" g="0" b="0"/>
          </a:outerShdw>
        </a:effectLst>
      </xdr:spPr>
      <xdr:style>
        <a:lnRef idx="0">
          <a:scrgbClr r="0" g="0" b="0"/>
        </a:lnRef>
        <a:fillRef idx="0">
          <a:scrgbClr r="0" g="0" b="0"/>
        </a:fillRef>
        <a:effectRef idx="0">
          <a:scrgbClr r="0" g="0" b="0"/>
        </a:effectRef>
        <a:fontRef idx="minor">
          <a:schemeClr val="dk1"/>
        </a:fontRef>
      </xdr:style>
      <xdr:txBody>
        <a:bodyPr vertOverflow="clip" vert="horz" wrap="none" rtlCol="0" anchor="t">
          <a:spAutoFit/>
        </a:bodyPr>
        <a:lstStyle/>
        <a:p>
          <a:pPr algn="ctr"/>
          <a:r>
            <a:rPr lang="en-US" sz="800"/>
            <a:t> Economic Impacts</a:t>
          </a:r>
        </a:p>
      </xdr:txBody>
    </xdr:sp>
    <xdr:clientData/>
  </xdr:twoCellAnchor>
  <xdr:twoCellAnchor>
    <xdr:from>
      <xdr:col>17</xdr:col>
      <xdr:colOff>457200</xdr:colOff>
      <xdr:row>12</xdr:row>
      <xdr:rowOff>47625</xdr:rowOff>
    </xdr:from>
    <xdr:to>
      <xdr:col>22</xdr:col>
      <xdr:colOff>428625</xdr:colOff>
      <xdr:row>19</xdr:row>
      <xdr:rowOff>95250</xdr:rowOff>
    </xdr:to>
    <xdr:cxnSp macro="">
      <xdr:nvCxnSpPr>
        <xdr:cNvPr id="197" name="Straight Arrow Connector 196"/>
        <xdr:cNvCxnSpPr/>
      </xdr:nvCxnSpPr>
      <xdr:spPr>
        <a:xfrm>
          <a:off x="10820400" y="2362200"/>
          <a:ext cx="3019425" cy="13811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457200</xdr:colOff>
      <xdr:row>18</xdr:row>
      <xdr:rowOff>57150</xdr:rowOff>
    </xdr:from>
    <xdr:to>
      <xdr:col>22</xdr:col>
      <xdr:colOff>209550</xdr:colOff>
      <xdr:row>20</xdr:row>
      <xdr:rowOff>133350</xdr:rowOff>
    </xdr:to>
    <xdr:cxnSp macro="">
      <xdr:nvCxnSpPr>
        <xdr:cNvPr id="199" name="Straight Arrow Connector 198"/>
        <xdr:cNvCxnSpPr/>
      </xdr:nvCxnSpPr>
      <xdr:spPr>
        <a:xfrm>
          <a:off x="10820400" y="3514725"/>
          <a:ext cx="2800350" cy="4572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85820</xdr:colOff>
      <xdr:row>22</xdr:row>
      <xdr:rowOff>9525</xdr:rowOff>
    </xdr:from>
    <xdr:to>
      <xdr:col>22</xdr:col>
      <xdr:colOff>447675</xdr:colOff>
      <xdr:row>24</xdr:row>
      <xdr:rowOff>61911</xdr:rowOff>
    </xdr:to>
    <xdr:cxnSp macro="">
      <xdr:nvCxnSpPr>
        <xdr:cNvPr id="201" name="Straight Arrow Connector 200"/>
        <xdr:cNvCxnSpPr>
          <a:stCxn id="185" idx="3"/>
        </xdr:cNvCxnSpPr>
      </xdr:nvCxnSpPr>
      <xdr:spPr>
        <a:xfrm flipV="1">
          <a:off x="11058620" y="4229100"/>
          <a:ext cx="2800255" cy="43338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22</xdr:row>
      <xdr:rowOff>161925</xdr:rowOff>
    </xdr:from>
    <xdr:to>
      <xdr:col>22</xdr:col>
      <xdr:colOff>581025</xdr:colOff>
      <xdr:row>31</xdr:row>
      <xdr:rowOff>66675</xdr:rowOff>
    </xdr:to>
    <xdr:cxnSp macro="">
      <xdr:nvCxnSpPr>
        <xdr:cNvPr id="203" name="Straight Arrow Connector 202"/>
        <xdr:cNvCxnSpPr>
          <a:stCxn id="189" idx="3"/>
        </xdr:cNvCxnSpPr>
      </xdr:nvCxnSpPr>
      <xdr:spPr>
        <a:xfrm flipV="1">
          <a:off x="10972800" y="4381500"/>
          <a:ext cx="3019425" cy="16192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304238</xdr:colOff>
      <xdr:row>17</xdr:row>
      <xdr:rowOff>57150</xdr:rowOff>
    </xdr:from>
    <xdr:to>
      <xdr:col>16</xdr:col>
      <xdr:colOff>228599</xdr:colOff>
      <xdr:row>34</xdr:row>
      <xdr:rowOff>28014</xdr:rowOff>
    </xdr:to>
    <xdr:cxnSp macro="">
      <xdr:nvCxnSpPr>
        <xdr:cNvPr id="207" name="Elbow Connector 206"/>
        <xdr:cNvCxnSpPr>
          <a:stCxn id="52" idx="5"/>
        </xdr:cNvCxnSpPr>
      </xdr:nvCxnSpPr>
      <xdr:spPr>
        <a:xfrm rot="5400000" flipH="1" flipV="1">
          <a:off x="5367337" y="1918726"/>
          <a:ext cx="3209364" cy="6020361"/>
        </a:xfrm>
        <a:prstGeom prst="bentConnector4">
          <a:avLst>
            <a:gd name="adj1" fmla="val -7123"/>
            <a:gd name="adj2" fmla="val 64402"/>
          </a:avLst>
        </a:prstGeom>
        <a:ln w="19050">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466725</xdr:colOff>
      <xdr:row>17</xdr:row>
      <xdr:rowOff>171450</xdr:rowOff>
    </xdr:from>
    <xdr:to>
      <xdr:col>16</xdr:col>
      <xdr:colOff>142778</xdr:colOff>
      <xdr:row>24</xdr:row>
      <xdr:rowOff>61911</xdr:rowOff>
    </xdr:to>
    <xdr:cxnSp macro="">
      <xdr:nvCxnSpPr>
        <xdr:cNvPr id="217" name="Straight Arrow Connector 216"/>
        <xdr:cNvCxnSpPr>
          <a:endCxn id="185" idx="1"/>
        </xdr:cNvCxnSpPr>
      </xdr:nvCxnSpPr>
      <xdr:spPr>
        <a:xfrm>
          <a:off x="5343525" y="3438525"/>
          <a:ext cx="4552853" cy="122396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161925</xdr:colOff>
      <xdr:row>15</xdr:row>
      <xdr:rowOff>95250</xdr:rowOff>
    </xdr:from>
    <xdr:to>
      <xdr:col>8</xdr:col>
      <xdr:colOff>466725</xdr:colOff>
      <xdr:row>20</xdr:row>
      <xdr:rowOff>57150</xdr:rowOff>
    </xdr:to>
    <xdr:sp macro="" textlink="">
      <xdr:nvSpPr>
        <xdr:cNvPr id="218" name="inode_1_7"/>
        <xdr:cNvSpPr/>
      </xdr:nvSpPr>
      <xdr:spPr>
        <a:xfrm>
          <a:off x="4429125" y="2981325"/>
          <a:ext cx="914400" cy="914400"/>
        </a:xfrm>
        <a:prstGeom prst="ellipse">
          <a:avLst/>
        </a:prstGeom>
        <a:solidFill>
          <a:srgbClr val="800000"/>
        </a:solidFill>
        <a:ln w="2476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7</xdr:col>
      <xdr:colOff>296472</xdr:colOff>
      <xdr:row>17</xdr:row>
      <xdr:rowOff>62669</xdr:rowOff>
    </xdr:from>
    <xdr:to>
      <xdr:col>8</xdr:col>
      <xdr:colOff>332177</xdr:colOff>
      <xdr:row>18</xdr:row>
      <xdr:rowOff>89729</xdr:rowOff>
    </xdr:to>
    <xdr:sp macro="_xll.objClick" textlink="">
      <xdr:nvSpPr>
        <xdr:cNvPr id="219" name="iText_1_7"/>
        <xdr:cNvSpPr txBox="1"/>
      </xdr:nvSpPr>
      <xdr:spPr>
        <a:xfrm>
          <a:off x="4563672" y="3329744"/>
          <a:ext cx="645305" cy="217560"/>
        </a:xfrm>
        <a:prstGeom prst="rect">
          <a:avLst/>
        </a:prstGeom>
        <a:solidFill>
          <a:schemeClr val="lt1"/>
        </a:solidFill>
        <a:ln w="9525" cmpd="sng">
          <a:solidFill>
            <a:schemeClr val="lt1">
              <a:shade val="50000"/>
            </a:schemeClr>
          </a:solidFill>
        </a:ln>
        <a:effectLst>
          <a:outerShdw blurRad="63500" dist="37357" dir="2700000" rotWithShape="0">
            <a:scrgbClr r="0" g="0" b="0"/>
          </a:outerShdw>
        </a:effectLst>
      </xdr:spPr>
      <xdr:style>
        <a:lnRef idx="0">
          <a:scrgbClr r="0" g="0" b="0"/>
        </a:lnRef>
        <a:fillRef idx="0">
          <a:scrgbClr r="0" g="0" b="0"/>
        </a:fillRef>
        <a:effectRef idx="0">
          <a:scrgbClr r="0" g="0" b="0"/>
        </a:effectRef>
        <a:fontRef idx="minor">
          <a:schemeClr val="dk1"/>
        </a:fontRef>
      </xdr:style>
      <xdr:txBody>
        <a:bodyPr vertOverflow="clip" vert="horz" wrap="none" rtlCol="0" anchor="t">
          <a:spAutoFit/>
        </a:bodyPr>
        <a:lstStyle/>
        <a:p>
          <a:pPr algn="ctr"/>
          <a:r>
            <a:rPr lang="en-US" sz="800"/>
            <a:t>Plant Costs</a:t>
          </a:r>
        </a:p>
      </xdr:txBody>
    </xdr:sp>
    <xdr:clientData/>
  </xdr:twoCellAnchor>
  <xdr:twoCellAnchor editAs="absolute">
    <xdr:from>
      <xdr:col>5</xdr:col>
      <xdr:colOff>508000</xdr:colOff>
      <xdr:row>15</xdr:row>
      <xdr:rowOff>22225</xdr:rowOff>
    </xdr:from>
    <xdr:to>
      <xdr:col>7</xdr:col>
      <xdr:colOff>203200</xdr:colOff>
      <xdr:row>17</xdr:row>
      <xdr:rowOff>9525</xdr:rowOff>
    </xdr:to>
    <xdr:cxnSp macro="_xll.objClick">
      <xdr:nvCxnSpPr>
        <xdr:cNvPr id="220" name="iarc_1_2"/>
        <xdr:cNvCxnSpPr/>
      </xdr:nvCxnSpPr>
      <xdr:spPr>
        <a:xfrm>
          <a:off x="3556000" y="2908300"/>
          <a:ext cx="914400" cy="368300"/>
        </a:xfrm>
        <a:prstGeom prst="line">
          <a:avLst/>
        </a:prstGeom>
        <a:ln w="24765">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485775</xdr:colOff>
      <xdr:row>13</xdr:row>
      <xdr:rowOff>28575</xdr:rowOff>
    </xdr:from>
    <xdr:to>
      <xdr:col>16</xdr:col>
      <xdr:colOff>285750</xdr:colOff>
      <xdr:row>31</xdr:row>
      <xdr:rowOff>180975</xdr:rowOff>
    </xdr:to>
    <xdr:cxnSp macro="">
      <xdr:nvCxnSpPr>
        <xdr:cNvPr id="222" name="Elbow Connector 221"/>
        <xdr:cNvCxnSpPr/>
      </xdr:nvCxnSpPr>
      <xdr:spPr>
        <a:xfrm>
          <a:off x="3533775" y="2533650"/>
          <a:ext cx="6505575" cy="3581400"/>
        </a:xfrm>
        <a:prstGeom prst="bentConnector3">
          <a:avLst>
            <a:gd name="adj1" fmla="val 42972"/>
          </a:avLst>
        </a:prstGeom>
        <a:ln>
          <a:prstDash val="sysDash"/>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85725</xdr:colOff>
      <xdr:row>0</xdr:row>
      <xdr:rowOff>125412</xdr:rowOff>
    </xdr:from>
    <xdr:to>
      <xdr:col>16</xdr:col>
      <xdr:colOff>247650</xdr:colOff>
      <xdr:row>8</xdr:row>
      <xdr:rowOff>142875</xdr:rowOff>
    </xdr:to>
    <xdr:sp macro="" textlink="">
      <xdr:nvSpPr>
        <xdr:cNvPr id="253" name="Freeform 252"/>
        <xdr:cNvSpPr/>
      </xdr:nvSpPr>
      <xdr:spPr>
        <a:xfrm>
          <a:off x="1304925" y="125412"/>
          <a:ext cx="8696325" cy="1570038"/>
        </a:xfrm>
        <a:custGeom>
          <a:avLst/>
          <a:gdLst>
            <a:gd name="connsiteX0" fmla="*/ 0 w 8696325"/>
            <a:gd name="connsiteY0" fmla="*/ 1179513 h 1570038"/>
            <a:gd name="connsiteX1" fmla="*/ 3590925 w 8696325"/>
            <a:gd name="connsiteY1" fmla="*/ 65088 h 1570038"/>
            <a:gd name="connsiteX2" fmla="*/ 8696325 w 8696325"/>
            <a:gd name="connsiteY2" fmla="*/ 1570038 h 1570038"/>
          </a:gdLst>
          <a:ahLst/>
          <a:cxnLst>
            <a:cxn ang="0">
              <a:pos x="connsiteX0" y="connsiteY0"/>
            </a:cxn>
            <a:cxn ang="0">
              <a:pos x="connsiteX1" y="connsiteY1"/>
            </a:cxn>
            <a:cxn ang="0">
              <a:pos x="connsiteX2" y="connsiteY2"/>
            </a:cxn>
          </a:cxnLst>
          <a:rect l="l" t="t" r="r" b="b"/>
          <a:pathLst>
            <a:path w="8696325" h="1570038">
              <a:moveTo>
                <a:pt x="0" y="1179513"/>
              </a:moveTo>
              <a:cubicBezTo>
                <a:pt x="1070768" y="589756"/>
                <a:pt x="2141537" y="0"/>
                <a:pt x="3590925" y="65088"/>
              </a:cubicBezTo>
              <a:cubicBezTo>
                <a:pt x="5040313" y="130176"/>
                <a:pt x="7851775" y="1327151"/>
                <a:pt x="8696325" y="1570038"/>
              </a:cubicBezTo>
            </a:path>
          </a:pathLst>
        </a:cu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15</xdr:col>
      <xdr:colOff>19050</xdr:colOff>
      <xdr:row>7</xdr:row>
      <xdr:rowOff>57150</xdr:rowOff>
    </xdr:from>
    <xdr:to>
      <xdr:col>16</xdr:col>
      <xdr:colOff>257175</xdr:colOff>
      <xdr:row>8</xdr:row>
      <xdr:rowOff>171450</xdr:rowOff>
    </xdr:to>
    <xdr:cxnSp macro="">
      <xdr:nvCxnSpPr>
        <xdr:cNvPr id="255" name="Straight Arrow Connector 254"/>
        <xdr:cNvCxnSpPr/>
      </xdr:nvCxnSpPr>
      <xdr:spPr>
        <a:xfrm>
          <a:off x="9163050" y="1390650"/>
          <a:ext cx="847725" cy="304800"/>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466724</xdr:colOff>
      <xdr:row>23</xdr:row>
      <xdr:rowOff>95250</xdr:rowOff>
    </xdr:from>
    <xdr:to>
      <xdr:col>4</xdr:col>
      <xdr:colOff>476249</xdr:colOff>
      <xdr:row>29</xdr:row>
      <xdr:rowOff>152400</xdr:rowOff>
    </xdr:to>
    <xdr:sp macro="" textlink="">
      <xdr:nvSpPr>
        <xdr:cNvPr id="65" name="inode_1_18"/>
        <xdr:cNvSpPr/>
      </xdr:nvSpPr>
      <xdr:spPr>
        <a:xfrm>
          <a:off x="1685924" y="4505325"/>
          <a:ext cx="1228725" cy="1209675"/>
        </a:xfrm>
        <a:prstGeom prst="ellipse">
          <a:avLst/>
        </a:prstGeom>
        <a:solidFill>
          <a:srgbClr val="800000"/>
        </a:solidFill>
        <a:ln w="2476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xdr:col>
      <xdr:colOff>495301</xdr:colOff>
      <xdr:row>25</xdr:row>
      <xdr:rowOff>85724</xdr:rowOff>
    </xdr:from>
    <xdr:to>
      <xdr:col>4</xdr:col>
      <xdr:colOff>428625</xdr:colOff>
      <xdr:row>27</xdr:row>
      <xdr:rowOff>66675</xdr:rowOff>
    </xdr:to>
    <xdr:sp macro="" textlink="">
      <xdr:nvSpPr>
        <xdr:cNvPr id="66" name="TextBox 65"/>
        <xdr:cNvSpPr txBox="1"/>
      </xdr:nvSpPr>
      <xdr:spPr>
        <a:xfrm>
          <a:off x="1714501" y="4905374"/>
          <a:ext cx="1152524" cy="3619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Drilling Progress</a:t>
          </a:r>
        </a:p>
        <a:p>
          <a:endParaRPr lang="en-US" sz="1100"/>
        </a:p>
      </xdr:txBody>
    </xdr:sp>
    <xdr:clientData/>
  </xdr:twoCellAnchor>
  <xdr:twoCellAnchor editAs="absolute">
    <xdr:from>
      <xdr:col>26</xdr:col>
      <xdr:colOff>419099</xdr:colOff>
      <xdr:row>19</xdr:row>
      <xdr:rowOff>57150</xdr:rowOff>
    </xdr:from>
    <xdr:to>
      <xdr:col>29</xdr:col>
      <xdr:colOff>171450</xdr:colOff>
      <xdr:row>24</xdr:row>
      <xdr:rowOff>47625</xdr:rowOff>
    </xdr:to>
    <xdr:sp macro="" textlink="">
      <xdr:nvSpPr>
        <xdr:cNvPr id="67" name="inode_1_17"/>
        <xdr:cNvSpPr/>
      </xdr:nvSpPr>
      <xdr:spPr>
        <a:xfrm>
          <a:off x="16268699" y="3705225"/>
          <a:ext cx="1581151" cy="942975"/>
        </a:xfrm>
        <a:prstGeom prst="rect">
          <a:avLst/>
        </a:prstGeom>
        <a:solidFill>
          <a:srgbClr val="008000"/>
        </a:solidFill>
        <a:ln w="2476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26</xdr:col>
      <xdr:colOff>542925</xdr:colOff>
      <xdr:row>20</xdr:row>
      <xdr:rowOff>76201</xdr:rowOff>
    </xdr:from>
    <xdr:to>
      <xdr:col>29</xdr:col>
      <xdr:colOff>19051</xdr:colOff>
      <xdr:row>22</xdr:row>
      <xdr:rowOff>171451</xdr:rowOff>
    </xdr:to>
    <xdr:sp macro="" textlink="">
      <xdr:nvSpPr>
        <xdr:cNvPr id="68" name="TextBox 67"/>
        <xdr:cNvSpPr txBox="1"/>
      </xdr:nvSpPr>
      <xdr:spPr>
        <a:xfrm>
          <a:off x="16392525" y="3895726"/>
          <a:ext cx="1304926"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Decision or Model Assumption</a:t>
          </a:r>
        </a:p>
        <a:p>
          <a:endParaRPr lang="en-US" sz="1100"/>
        </a:p>
      </xdr:txBody>
    </xdr:sp>
    <xdr:clientData/>
  </xdr:twoCellAnchor>
  <xdr:twoCellAnchor editAs="absolute">
    <xdr:from>
      <xdr:col>27</xdr:col>
      <xdr:colOff>123825</xdr:colOff>
      <xdr:row>12</xdr:row>
      <xdr:rowOff>171450</xdr:rowOff>
    </xdr:from>
    <xdr:to>
      <xdr:col>28</xdr:col>
      <xdr:colOff>428625</xdr:colOff>
      <xdr:row>17</xdr:row>
      <xdr:rowOff>133350</xdr:rowOff>
    </xdr:to>
    <xdr:sp macro="" textlink="">
      <xdr:nvSpPr>
        <xdr:cNvPr id="69" name="inode_1_18"/>
        <xdr:cNvSpPr/>
      </xdr:nvSpPr>
      <xdr:spPr>
        <a:xfrm>
          <a:off x="16583025" y="2486025"/>
          <a:ext cx="914400" cy="914400"/>
        </a:xfrm>
        <a:prstGeom prst="ellipse">
          <a:avLst/>
        </a:prstGeom>
        <a:solidFill>
          <a:srgbClr val="800000"/>
        </a:solidFill>
        <a:ln w="2476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27</xdr:col>
      <xdr:colOff>219076</xdr:colOff>
      <xdr:row>15</xdr:row>
      <xdr:rowOff>28575</xdr:rowOff>
    </xdr:from>
    <xdr:to>
      <xdr:col>28</xdr:col>
      <xdr:colOff>304800</xdr:colOff>
      <xdr:row>16</xdr:row>
      <xdr:rowOff>95250</xdr:rowOff>
    </xdr:to>
    <xdr:sp macro="" textlink="">
      <xdr:nvSpPr>
        <xdr:cNvPr id="70" name="TextBox 69"/>
        <xdr:cNvSpPr txBox="1"/>
      </xdr:nvSpPr>
      <xdr:spPr>
        <a:xfrm>
          <a:off x="16678276" y="2819400"/>
          <a:ext cx="695324"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Chance</a:t>
          </a:r>
        </a:p>
      </xdr:txBody>
    </xdr:sp>
    <xdr:clientData/>
  </xdr:twoCellAnchor>
  <xdr:twoCellAnchor editAs="absolute">
    <xdr:from>
      <xdr:col>27</xdr:col>
      <xdr:colOff>190500</xdr:colOff>
      <xdr:row>0</xdr:row>
      <xdr:rowOff>47625</xdr:rowOff>
    </xdr:from>
    <xdr:to>
      <xdr:col>28</xdr:col>
      <xdr:colOff>495300</xdr:colOff>
      <xdr:row>4</xdr:row>
      <xdr:rowOff>171450</xdr:rowOff>
    </xdr:to>
    <xdr:sp macro="" textlink="">
      <xdr:nvSpPr>
        <xdr:cNvPr id="71" name="inode_1_19"/>
        <xdr:cNvSpPr/>
      </xdr:nvSpPr>
      <xdr:spPr>
        <a:xfrm>
          <a:off x="16649700" y="47625"/>
          <a:ext cx="914400" cy="914400"/>
        </a:xfrm>
        <a:prstGeom prst="roundRect">
          <a:avLst/>
        </a:prstGeom>
        <a:solidFill>
          <a:srgbClr val="000080"/>
        </a:solidFill>
        <a:ln w="2476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27</xdr:col>
      <xdr:colOff>200025</xdr:colOff>
      <xdr:row>1</xdr:row>
      <xdr:rowOff>123824</xdr:rowOff>
    </xdr:from>
    <xdr:to>
      <xdr:col>28</xdr:col>
      <xdr:colOff>495300</xdr:colOff>
      <xdr:row>3</xdr:row>
      <xdr:rowOff>57149</xdr:rowOff>
    </xdr:to>
    <xdr:sp macro="" textlink="">
      <xdr:nvSpPr>
        <xdr:cNvPr id="72" name="TextBox 71"/>
        <xdr:cNvSpPr txBox="1"/>
      </xdr:nvSpPr>
      <xdr:spPr>
        <a:xfrm>
          <a:off x="16659225" y="314324"/>
          <a:ext cx="904875" cy="314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Calculation</a:t>
          </a:r>
        </a:p>
      </xdr:txBody>
    </xdr:sp>
    <xdr:clientData/>
  </xdr:twoCellAnchor>
  <xdr:twoCellAnchor editAs="absolute">
    <xdr:from>
      <xdr:col>26</xdr:col>
      <xdr:colOff>438150</xdr:colOff>
      <xdr:row>5</xdr:row>
      <xdr:rowOff>66675</xdr:rowOff>
    </xdr:from>
    <xdr:to>
      <xdr:col>29</xdr:col>
      <xdr:colOff>123825</xdr:colOff>
      <xdr:row>11</xdr:row>
      <xdr:rowOff>85725</xdr:rowOff>
    </xdr:to>
    <xdr:sp macro="" textlink="">
      <xdr:nvSpPr>
        <xdr:cNvPr id="73" name="inode_1_23"/>
        <xdr:cNvSpPr/>
      </xdr:nvSpPr>
      <xdr:spPr>
        <a:xfrm>
          <a:off x="16287750" y="1047750"/>
          <a:ext cx="1514475" cy="1162050"/>
        </a:xfrm>
        <a:custGeom>
          <a:avLst/>
          <a:gdLst>
            <a:gd name="connsiteX0" fmla="*/ 0 w 127000"/>
            <a:gd name="connsiteY0" fmla="*/ 0 h 254000"/>
            <a:gd name="connsiteX1" fmla="*/ 127000 w 127000"/>
            <a:gd name="connsiteY1" fmla="*/ 127000 h 254000"/>
            <a:gd name="connsiteX2" fmla="*/ 0 w 127000"/>
            <a:gd name="connsiteY2" fmla="*/ 254000 h 254000"/>
            <a:gd name="connsiteX0" fmla="*/ 127000 w 254000"/>
            <a:gd name="connsiteY0" fmla="*/ 0 h 254000"/>
            <a:gd name="connsiteX1" fmla="*/ 254000 w 254000"/>
            <a:gd name="connsiteY1" fmla="*/ 127000 h 254000"/>
            <a:gd name="connsiteX2" fmla="*/ 127000 w 254000"/>
            <a:gd name="connsiteY2" fmla="*/ 254000 h 254000"/>
            <a:gd name="connsiteX3" fmla="*/ 0 w 254000"/>
            <a:gd name="connsiteY3" fmla="*/ 126999 h 254000"/>
            <a:gd name="connsiteX0" fmla="*/ 127000 w 254000"/>
            <a:gd name="connsiteY0" fmla="*/ 1 h 254001"/>
            <a:gd name="connsiteX1" fmla="*/ 254000 w 254000"/>
            <a:gd name="connsiteY1" fmla="*/ 127001 h 254001"/>
            <a:gd name="connsiteX2" fmla="*/ 127000 w 254000"/>
            <a:gd name="connsiteY2" fmla="*/ 254001 h 254001"/>
            <a:gd name="connsiteX3" fmla="*/ 0 w 254000"/>
            <a:gd name="connsiteY3" fmla="*/ 127000 h 254001"/>
            <a:gd name="connsiteX4" fmla="*/ 127000 w 254000"/>
            <a:gd name="connsiteY4" fmla="*/ 0 h 25400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4000" h="254001">
              <a:moveTo>
                <a:pt x="127000" y="1"/>
              </a:moveTo>
              <a:lnTo>
                <a:pt x="254000" y="127001"/>
              </a:lnTo>
              <a:lnTo>
                <a:pt x="127000" y="254001"/>
              </a:lnTo>
              <a:lnTo>
                <a:pt x="0" y="127000"/>
              </a:lnTo>
              <a:lnTo>
                <a:pt x="127000" y="0"/>
              </a:lnTo>
              <a:close/>
            </a:path>
          </a:pathLst>
        </a:custGeom>
        <a:solidFill>
          <a:srgbClr val="000080"/>
        </a:solidFill>
        <a:ln w="2476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27</xdr:col>
      <xdr:colOff>285750</xdr:colOff>
      <xdr:row>7</xdr:row>
      <xdr:rowOff>142875</xdr:rowOff>
    </xdr:from>
    <xdr:to>
      <xdr:col>28</xdr:col>
      <xdr:colOff>285750</xdr:colOff>
      <xdr:row>9</xdr:row>
      <xdr:rowOff>19049</xdr:rowOff>
    </xdr:to>
    <xdr:sp macro="" textlink="">
      <xdr:nvSpPr>
        <xdr:cNvPr id="74" name="TextBox 73"/>
        <xdr:cNvSpPr txBox="1"/>
      </xdr:nvSpPr>
      <xdr:spPr>
        <a:xfrm>
          <a:off x="16744950" y="1524000"/>
          <a:ext cx="609600" cy="2571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Payoff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2647950</xdr:colOff>
      <xdr:row>5</xdr:row>
      <xdr:rowOff>95251</xdr:rowOff>
    </xdr:from>
    <xdr:to>
      <xdr:col>0</xdr:col>
      <xdr:colOff>11210925</xdr:colOff>
      <xdr:row>26</xdr:row>
      <xdr:rowOff>123826</xdr:rowOff>
    </xdr:to>
    <xdr:sp macro="" textlink="">
      <xdr:nvSpPr>
        <xdr:cNvPr id="4" name="Text Box 1"/>
        <xdr:cNvSpPr txBox="1">
          <a:spLocks noChangeArrowheads="1"/>
        </xdr:cNvSpPr>
      </xdr:nvSpPr>
      <xdr:spPr bwMode="auto">
        <a:xfrm>
          <a:off x="2647950" y="1562101"/>
          <a:ext cx="8562975" cy="4029075"/>
        </a:xfrm>
        <a:prstGeom prst="rect">
          <a:avLst/>
        </a:prstGeom>
        <a:solidFill>
          <a:schemeClr val="bg1"/>
        </a:solidFill>
        <a:ln w="12700">
          <a:solidFill>
            <a:srgbClr val="000000"/>
          </a:solidFill>
          <a:miter lim="800000"/>
          <a:headEnd/>
          <a:tailEnd/>
        </a:ln>
      </xdr:spPr>
      <xdr:txBody>
        <a:bodyPr vertOverflow="clip" wrap="square" lIns="182880" tIns="228600" rIns="274320" bIns="228600" anchor="t" upright="1"/>
        <a:lstStyle/>
        <a:p>
          <a:pPr rtl="0"/>
          <a:r>
            <a:rPr lang="en-US" sz="1000" b="0" i="0" u="none" strike="noStrike" baseline="0">
              <a:solidFill>
                <a:srgbClr val="000000"/>
              </a:solidFill>
              <a:latin typeface="Arial" pitchFamily="34" charset="0"/>
              <a:cs typeface="Arial" pitchFamily="34" charset="0"/>
            </a:rPr>
            <a:t>This demonstration model is designed to estimate the economic impacts of </a:t>
          </a:r>
          <a:r>
            <a:rPr lang="en-US" sz="1100" b="0" i="0">
              <a:latin typeface="+mn-lt"/>
              <a:ea typeface="+mn-ea"/>
              <a:cs typeface="+mn-cs"/>
            </a:rPr>
            <a:t>developing geothermal</a:t>
          </a:r>
          <a:r>
            <a:rPr lang="en-US" sz="1100" b="0" i="0" baseline="0">
              <a:latin typeface="+mn-lt"/>
              <a:ea typeface="+mn-ea"/>
              <a:cs typeface="+mn-cs"/>
            </a:rPr>
            <a:t> </a:t>
          </a:r>
          <a:r>
            <a:rPr lang="en-US" sz="1100" b="0" i="0">
              <a:latin typeface="+mn-lt"/>
              <a:ea typeface="+mn-ea"/>
              <a:cs typeface="+mn-cs"/>
            </a:rPr>
            <a:t>electric generation facilities.  The economic impacts identified include annual jobs, earnings, output and value added for the construction period and once the plant  is up and running.  A user defined "add-in" location (e.g., county or region) option is also available.    </a:t>
          </a:r>
          <a:endParaRPr lang="en-US" sz="1000"/>
        </a:p>
        <a:p>
          <a:pPr rtl="0"/>
          <a:endParaRPr lang="en-US" sz="1100" b="0" i="0">
            <a:latin typeface="+mn-lt"/>
            <a:ea typeface="+mn-ea"/>
            <a:cs typeface="+mn-cs"/>
          </a:endParaRPr>
        </a:p>
        <a:p>
          <a:pPr rtl="0"/>
          <a:r>
            <a:rPr lang="en-US" sz="1100" b="1" i="0">
              <a:latin typeface="+mn-lt"/>
              <a:ea typeface="+mn-ea"/>
              <a:cs typeface="+mn-cs"/>
            </a:rPr>
            <a:t>Steps to complete an economic impact analysis:</a:t>
          </a:r>
        </a:p>
        <a:p>
          <a:pPr rtl="0"/>
          <a:endParaRPr lang="en-US" sz="1100" b="0" i="0">
            <a:latin typeface="+mn-lt"/>
            <a:ea typeface="+mn-ea"/>
            <a:cs typeface="+mn-cs"/>
          </a:endParaRPr>
        </a:p>
        <a:p>
          <a:pPr rtl="0"/>
          <a:r>
            <a:rPr lang="en-US" sz="1100" b="0" i="0">
              <a:latin typeface="+mn-lt"/>
              <a:ea typeface="+mn-ea"/>
              <a:cs typeface="+mn-cs"/>
            </a:rPr>
            <a:t>   1.  Enter project descriptive data</a:t>
          </a:r>
          <a:endParaRPr lang="en-US" sz="1000"/>
        </a:p>
        <a:p>
          <a:pPr rtl="0"/>
          <a:r>
            <a:rPr lang="en-US" sz="1100" b="0" i="0">
              <a:latin typeface="+mn-lt"/>
              <a:ea typeface="+mn-ea"/>
              <a:cs typeface="+mn-cs"/>
            </a:rPr>
            <a:t>   2.  Choose to accept default project cost data (based on project description and average cost data for geothermal plants)</a:t>
          </a:r>
          <a:endParaRPr lang="en-US" sz="1000"/>
        </a:p>
        <a:p>
          <a:pPr rtl="0"/>
          <a:r>
            <a:rPr lang="en-US" sz="1100" b="0" i="0">
              <a:latin typeface="+mn-lt"/>
              <a:ea typeface="+mn-ea"/>
              <a:cs typeface="+mn-cs"/>
            </a:rPr>
            <a:t>         or review and enter new project data.  </a:t>
          </a:r>
          <a:endParaRPr lang="en-US" sz="1000"/>
        </a:p>
        <a:p>
          <a:r>
            <a:rPr lang="en-US" sz="1100" b="0" i="0">
              <a:latin typeface="+mn-lt"/>
              <a:ea typeface="+mn-ea"/>
              <a:cs typeface="+mn-cs"/>
            </a:rPr>
            <a:t>   3.  </a:t>
          </a:r>
          <a:r>
            <a:rPr lang="en-US" sz="1100" b="0">
              <a:effectLst/>
              <a:latin typeface="+mn-lt"/>
              <a:ea typeface="+mn-ea"/>
              <a:cs typeface="+mn-cs"/>
            </a:rPr>
            <a:t>If you chose "Simple" analysis ,</a:t>
          </a:r>
          <a:r>
            <a:rPr lang="en-US" sz="1100" b="0" baseline="0">
              <a:effectLst/>
              <a:latin typeface="+mn-lt"/>
              <a:ea typeface="+mn-ea"/>
              <a:cs typeface="+mn-cs"/>
            </a:rPr>
            <a:t> after entering</a:t>
          </a:r>
          <a:r>
            <a:rPr lang="en-US" sz="1100" b="0">
              <a:effectLst/>
              <a:latin typeface="+mn-lt"/>
              <a:ea typeface="+mn-ea"/>
              <a:cs typeface="+mn-cs"/>
            </a:rPr>
            <a:t> Project Descriptive Data,</a:t>
          </a:r>
          <a:r>
            <a:rPr lang="en-US" sz="1100" b="0" baseline="0">
              <a:effectLst/>
              <a:latin typeface="+mn-lt"/>
              <a:ea typeface="+mn-ea"/>
              <a:cs typeface="+mn-cs"/>
            </a:rPr>
            <a:t> </a:t>
          </a:r>
          <a:r>
            <a:rPr lang="en-US" sz="1100" b="0">
              <a:effectLst/>
              <a:latin typeface="+mn-lt"/>
              <a:ea typeface="+mn-ea"/>
              <a:cs typeface="+mn-cs"/>
            </a:rPr>
            <a:t>go directly to SUMMARY RESULTS to view, save, and/or print results.</a:t>
          </a:r>
          <a:endParaRPr lang="en-US">
            <a:effectLst/>
          </a:endParaRPr>
        </a:p>
        <a:p>
          <a:r>
            <a:rPr lang="en-US" sz="1100" b="0">
              <a:effectLst/>
              <a:latin typeface="+mn-lt"/>
              <a:ea typeface="+mn-ea"/>
              <a:cs typeface="+mn-cs"/>
            </a:rPr>
            <a:t>   4.  If you chose "Advanced" analysis , after entering</a:t>
          </a:r>
          <a:r>
            <a:rPr lang="en-US" sz="1100" b="0" baseline="0">
              <a:effectLst/>
              <a:latin typeface="+mn-lt"/>
              <a:ea typeface="+mn-ea"/>
              <a:cs typeface="+mn-cs"/>
            </a:rPr>
            <a:t> Project Descriptive Data, review and edit default data and other detailed input parameters, then </a:t>
          </a:r>
          <a:r>
            <a:rPr lang="en-US" sz="1100" b="0">
              <a:effectLst/>
              <a:latin typeface="+mn-lt"/>
              <a:ea typeface="+mn-ea"/>
              <a:cs typeface="+mn-cs"/>
            </a:rPr>
            <a:t> go to SUMMARY RESULTS to view, save, and/or print results.                </a:t>
          </a:r>
          <a:endParaRPr lang="en-US">
            <a:effectLst/>
          </a:endParaRPr>
        </a:p>
        <a:p>
          <a:pPr rtl="0"/>
          <a:r>
            <a:rPr lang="en-US" sz="1100" b="0" i="0">
              <a:latin typeface="+mn-lt"/>
              <a:ea typeface="+mn-ea"/>
              <a:cs typeface="+mn-cs"/>
            </a:rPr>
            <a:t>                   </a:t>
          </a:r>
          <a:endParaRPr lang="en-US" sz="1000"/>
        </a:p>
        <a:p>
          <a:pPr algn="l" rtl="0">
            <a:defRPr sz="1000"/>
          </a:pPr>
          <a:endParaRPr lang="en-US" sz="1000" b="0" i="0" u="none" strike="noStrike" baseline="0">
            <a:solidFill>
              <a:srgbClr val="000000"/>
            </a:solidFill>
            <a:latin typeface="Arial" pitchFamily="34" charset="0"/>
            <a:cs typeface="Arial" pitchFamily="34" charset="0"/>
          </a:endParaRPr>
        </a:p>
        <a:p>
          <a:pPr algn="l" rtl="0">
            <a:defRPr sz="1000"/>
          </a:pPr>
          <a:r>
            <a:rPr lang="en-US" sz="1000" b="1" i="0" u="none" strike="noStrike" baseline="0">
              <a:solidFill>
                <a:srgbClr val="000000"/>
              </a:solidFill>
              <a:latin typeface="Arial" pitchFamily="34" charset="0"/>
              <a:cs typeface="Arial" pitchFamily="34" charset="0"/>
            </a:rPr>
            <a:t>To begin analysis press Start button</a:t>
          </a:r>
          <a:endParaRPr lang="en-US" sz="1000" b="0" i="0" u="none" strike="noStrike" baseline="0">
            <a:solidFill>
              <a:srgbClr val="000000"/>
            </a:solidFill>
            <a:latin typeface="Arial" pitchFamily="34" charset="0"/>
            <a:cs typeface="Arial" pitchFamily="34" charset="0"/>
          </a:endParaRPr>
        </a:p>
        <a:p>
          <a:pPr algn="l" rtl="0">
            <a:defRPr sz="1000"/>
          </a:pPr>
          <a:r>
            <a:rPr lang="en-US" sz="1000" b="0" i="0" u="none" strike="noStrike" baseline="0">
              <a:solidFill>
                <a:srgbClr val="000000"/>
              </a:solidFill>
              <a:latin typeface="Helv"/>
            </a:rPr>
            <a:t>   </a:t>
          </a:r>
        </a:p>
        <a:p>
          <a:pPr algn="l" rtl="0">
            <a:defRPr sz="1000"/>
          </a:pPr>
          <a:endParaRPr lang="en-US" sz="1000" b="0" i="0" u="none" strike="noStrike" baseline="0">
            <a:solidFill>
              <a:srgbClr val="000000"/>
            </a:solidFill>
            <a:latin typeface="Helv"/>
          </a:endParaRPr>
        </a:p>
        <a:p>
          <a:pPr algn="l" rtl="0">
            <a:defRPr sz="1000"/>
          </a:pPr>
          <a:r>
            <a:rPr lang="en-US" sz="1000" b="0" i="0" u="none" strike="noStrike" baseline="0">
              <a:solidFill>
                <a:srgbClr val="000000"/>
              </a:solidFill>
              <a:latin typeface="Helv"/>
            </a:rPr>
            <a:t>          </a:t>
          </a:r>
        </a:p>
        <a:p>
          <a:pPr algn="l" rtl="0">
            <a:defRPr sz="1000"/>
          </a:pPr>
          <a:r>
            <a:rPr lang="en-US" sz="1000" b="0" i="0" u="none" strike="noStrike" baseline="0">
              <a:solidFill>
                <a:srgbClr val="000000"/>
              </a:solidFill>
              <a:latin typeface="Helv"/>
            </a:rPr>
            <a:t>                                                                                        </a:t>
          </a:r>
          <a:r>
            <a:rPr lang="en-US" sz="1000" b="1" i="0" u="none" strike="noStrike" baseline="0">
              <a:solidFill>
                <a:srgbClr val="000000"/>
              </a:solidFill>
              <a:latin typeface="Helv"/>
            </a:rPr>
            <a:t> </a:t>
          </a: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xdr:txBody>
    </xdr:sp>
    <xdr:clientData/>
  </xdr:twoCellAnchor>
  <mc:AlternateContent xmlns:mc="http://schemas.openxmlformats.org/markup-compatibility/2006">
    <mc:Choice xmlns:a14="http://schemas.microsoft.com/office/drawing/2010/main" Requires="a14">
      <xdr:twoCellAnchor>
        <xdr:from>
          <xdr:col>0</xdr:col>
          <xdr:colOff>5524500</xdr:colOff>
          <xdr:row>20</xdr:row>
          <xdr:rowOff>123825</xdr:rowOff>
        </xdr:from>
        <xdr:to>
          <xdr:col>0</xdr:col>
          <xdr:colOff>7172325</xdr:colOff>
          <xdr:row>23</xdr:row>
          <xdr:rowOff>85725</xdr:rowOff>
        </xdr:to>
        <xdr:sp macro="" textlink="">
          <xdr:nvSpPr>
            <xdr:cNvPr id="27650" name="Button 2" hidden="1">
              <a:extLst>
                <a:ext uri="{63B3BB69-23CF-44E3-9099-C40C66FF867C}">
                  <a14:compatExt spid="_x0000_s2765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Start</a:t>
              </a:r>
              <a:r>
                <a:rPr lang="en-US" sz="1400" b="0" i="0" u="none" strike="noStrike" baseline="0">
                  <a:solidFill>
                    <a:srgbClr val="000000"/>
                  </a:solidFill>
                  <a:latin typeface="Arial"/>
                  <a:cs typeface="Arial"/>
                </a:rPr>
                <a:t> </a:t>
              </a:r>
              <a:endParaRPr lang="en-US" sz="1000" b="0" i="0" u="none" strike="noStrike" baseline="0">
                <a:solidFill>
                  <a:srgbClr val="000000"/>
                </a:solidFill>
                <a:latin typeface="Arial"/>
                <a:cs typeface="Arial"/>
              </a:endParaRPr>
            </a:p>
            <a:p>
              <a:pPr algn="ctr" rtl="0">
                <a:defRPr sz="1000"/>
              </a:pPr>
              <a:r>
                <a:rPr lang="en-US" sz="1000" b="0" i="0" u="none" strike="noStrike" baseline="0">
                  <a:solidFill>
                    <a:srgbClr val="000000"/>
                  </a:solidFill>
                  <a:latin typeface="Arial"/>
                  <a:cs typeface="Arial"/>
                </a:rPr>
                <a:t>Economic Impact Analysis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27</xdr:row>
          <xdr:rowOff>57150</xdr:rowOff>
        </xdr:from>
        <xdr:to>
          <xdr:col>4</xdr:col>
          <xdr:colOff>1152525</xdr:colOff>
          <xdr:row>29</xdr:row>
          <xdr:rowOff>76200</xdr:rowOff>
        </xdr:to>
        <xdr:sp macro="" textlink="">
          <xdr:nvSpPr>
            <xdr:cNvPr id="15771" name="Button 411" hidden="1">
              <a:extLst>
                <a:ext uri="{63B3BB69-23CF-44E3-9099-C40C66FF867C}">
                  <a14:compatExt spid="_x0000_s157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Go To Summary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104775</xdr:colOff>
          <xdr:row>30</xdr:row>
          <xdr:rowOff>76200</xdr:rowOff>
        </xdr:from>
        <xdr:to>
          <xdr:col>4</xdr:col>
          <xdr:colOff>1152525</xdr:colOff>
          <xdr:row>32</xdr:row>
          <xdr:rowOff>104775</xdr:rowOff>
        </xdr:to>
        <xdr:sp macro="" textlink="">
          <xdr:nvSpPr>
            <xdr:cNvPr id="15828" name="Button 468" hidden="1">
              <a:extLst>
                <a:ext uri="{63B3BB69-23CF-44E3-9099-C40C66FF867C}">
                  <a14:compatExt spid="_x0000_s158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Project Cost and O&amp;M </a:t>
              </a:r>
            </a:p>
            <a:p>
              <a:pPr algn="ctr" rtl="0">
                <a:defRPr sz="1000"/>
              </a:pPr>
              <a:r>
                <a:rPr lang="en-US" sz="1000" b="0" i="0" u="none" strike="noStrike" baseline="0">
                  <a:solidFill>
                    <a:srgbClr val="000000"/>
                  </a:solidFill>
                  <a:latin typeface="Arial"/>
                  <a:cs typeface="Arial"/>
                </a:rPr>
                <a:t>Default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206</xdr:row>
          <xdr:rowOff>66675</xdr:rowOff>
        </xdr:from>
        <xdr:to>
          <xdr:col>4</xdr:col>
          <xdr:colOff>1076325</xdr:colOff>
          <xdr:row>208</xdr:row>
          <xdr:rowOff>85725</xdr:rowOff>
        </xdr:to>
        <xdr:sp macro="" textlink="">
          <xdr:nvSpPr>
            <xdr:cNvPr id="15830" name="Button 470" hidden="1">
              <a:extLst>
                <a:ext uri="{63B3BB69-23CF-44E3-9099-C40C66FF867C}">
                  <a14:compatExt spid="_x0000_s158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Go To Summary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209</xdr:row>
          <xdr:rowOff>66675</xdr:rowOff>
        </xdr:from>
        <xdr:to>
          <xdr:col>4</xdr:col>
          <xdr:colOff>1085850</xdr:colOff>
          <xdr:row>211</xdr:row>
          <xdr:rowOff>95250</xdr:rowOff>
        </xdr:to>
        <xdr:sp macro="" textlink="">
          <xdr:nvSpPr>
            <xdr:cNvPr id="15831" name="Button 471" hidden="1">
              <a:extLst>
                <a:ext uri="{63B3BB69-23CF-44E3-9099-C40C66FF867C}">
                  <a14:compatExt spid="_x0000_s158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Project Cost and O&amp;M </a:t>
              </a:r>
            </a:p>
            <a:p>
              <a:pPr algn="ctr" rtl="0">
                <a:defRPr sz="1000"/>
              </a:pPr>
              <a:r>
                <a:rPr lang="en-US" sz="1000" b="0" i="0" u="none" strike="noStrike" baseline="0">
                  <a:solidFill>
                    <a:srgbClr val="000000"/>
                  </a:solidFill>
                  <a:latin typeface="Arial"/>
                  <a:cs typeface="Arial"/>
                </a:rPr>
                <a:t>Default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203</xdr:row>
          <xdr:rowOff>66675</xdr:rowOff>
        </xdr:from>
        <xdr:to>
          <xdr:col>4</xdr:col>
          <xdr:colOff>1076325</xdr:colOff>
          <xdr:row>205</xdr:row>
          <xdr:rowOff>85725</xdr:rowOff>
        </xdr:to>
        <xdr:sp macro="" textlink="">
          <xdr:nvSpPr>
            <xdr:cNvPr id="15877" name="Button 517" hidden="1">
              <a:extLst>
                <a:ext uri="{63B3BB69-23CF-44E3-9099-C40C66FF867C}">
                  <a14:compatExt spid="_x0000_s158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Go To 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1304925</xdr:colOff>
          <xdr:row>30</xdr:row>
          <xdr:rowOff>85725</xdr:rowOff>
        </xdr:from>
        <xdr:to>
          <xdr:col>6</xdr:col>
          <xdr:colOff>495300</xdr:colOff>
          <xdr:row>32</xdr:row>
          <xdr:rowOff>114300</xdr:rowOff>
        </xdr:to>
        <xdr:sp macro="" textlink="">
          <xdr:nvSpPr>
            <xdr:cNvPr id="15878" name="Button 518" hidden="1">
              <a:extLst>
                <a:ext uri="{63B3BB69-23CF-44E3-9099-C40C66FF867C}">
                  <a14:compatExt spid="_x0000_s158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Other Input Parameters Default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1228725</xdr:colOff>
          <xdr:row>209</xdr:row>
          <xdr:rowOff>66675</xdr:rowOff>
        </xdr:from>
        <xdr:to>
          <xdr:col>6</xdr:col>
          <xdr:colOff>419100</xdr:colOff>
          <xdr:row>211</xdr:row>
          <xdr:rowOff>95250</xdr:rowOff>
        </xdr:to>
        <xdr:sp macro="" textlink="">
          <xdr:nvSpPr>
            <xdr:cNvPr id="15879" name="Button 519" hidden="1">
              <a:extLst>
                <a:ext uri="{63B3BB69-23CF-44E3-9099-C40C66FF867C}">
                  <a14:compatExt spid="_x0000_s158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Other Input Parameters Default Values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295275</xdr:colOff>
          <xdr:row>0</xdr:row>
          <xdr:rowOff>142875</xdr:rowOff>
        </xdr:from>
        <xdr:to>
          <xdr:col>5</xdr:col>
          <xdr:colOff>1990725</xdr:colOff>
          <xdr:row>3</xdr:row>
          <xdr:rowOff>152400</xdr:rowOff>
        </xdr:to>
        <xdr:sp macro="" textlink="">
          <xdr:nvSpPr>
            <xdr:cNvPr id="39974" name="Button 38" hidden="1">
              <a:extLst>
                <a:ext uri="{63B3BB69-23CF-44E3-9099-C40C66FF867C}">
                  <a14:compatExt spid="_x0000_s399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Project Data Summary </a:t>
              </a:r>
            </a:p>
            <a:p>
              <a:pPr algn="ctr" rtl="0">
                <a:defRPr sz="1000"/>
              </a:pPr>
              <a:r>
                <a:rPr lang="en-US" sz="1000" b="0" i="0" u="none" strike="noStrike" baseline="0">
                  <a:solidFill>
                    <a:srgbClr val="000000"/>
                  </a:solidFill>
                  <a:latin typeface="Arial"/>
                  <a:cs typeface="Arial"/>
                </a:rPr>
                <a:t>and Summary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314325</xdr:colOff>
          <xdr:row>5</xdr:row>
          <xdr:rowOff>19050</xdr:rowOff>
        </xdr:from>
        <xdr:to>
          <xdr:col>5</xdr:col>
          <xdr:colOff>2019300</xdr:colOff>
          <xdr:row>9</xdr:row>
          <xdr:rowOff>85725</xdr:rowOff>
        </xdr:to>
        <xdr:sp macro="" textlink="">
          <xdr:nvSpPr>
            <xdr:cNvPr id="39975" name="Button 39" hidden="1">
              <a:extLst>
                <a:ext uri="{63B3BB69-23CF-44E3-9099-C40C66FF867C}">
                  <a14:compatExt spid="_x0000_s399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Detailed Project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323850</xdr:colOff>
          <xdr:row>10</xdr:row>
          <xdr:rowOff>152400</xdr:rowOff>
        </xdr:from>
        <xdr:to>
          <xdr:col>5</xdr:col>
          <xdr:colOff>2028825</xdr:colOff>
          <xdr:row>15</xdr:row>
          <xdr:rowOff>9525</xdr:rowOff>
        </xdr:to>
        <xdr:sp macro="" textlink="">
          <xdr:nvSpPr>
            <xdr:cNvPr id="39976" name="Button 40" hidden="1">
              <a:extLst>
                <a:ext uri="{63B3BB69-23CF-44E3-9099-C40C66FF867C}">
                  <a14:compatExt spid="_x0000_s399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 All Project Data and Summary Results</a:t>
              </a:r>
            </a:p>
            <a:p>
              <a:pPr algn="ctr" rtl="0">
                <a:defRPr sz="1000"/>
              </a:pPr>
              <a:r>
                <a:rPr lang="en-US" sz="1000" b="0" i="0" u="none" strike="noStrike" baseline="0">
                  <a:solidFill>
                    <a:srgbClr val="000000"/>
                  </a:solidFill>
                  <a:latin typeface="Arial"/>
                  <a:cs typeface="Arial"/>
                </a:rPr>
                <a:t>to a new spreadsheet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333375</xdr:colOff>
          <xdr:row>16</xdr:row>
          <xdr:rowOff>95250</xdr:rowOff>
        </xdr:from>
        <xdr:to>
          <xdr:col>5</xdr:col>
          <xdr:colOff>2019300</xdr:colOff>
          <xdr:row>19</xdr:row>
          <xdr:rowOff>66675</xdr:rowOff>
        </xdr:to>
        <xdr:sp macro="" textlink="">
          <xdr:nvSpPr>
            <xdr:cNvPr id="39977" name="Button 41" hidden="1">
              <a:extLst>
                <a:ext uri="{63B3BB69-23CF-44E3-9099-C40C66FF867C}">
                  <a14:compatExt spid="_x0000_s399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a:t>
              </a:r>
            </a:p>
            <a:p>
              <a:pPr algn="ctr" rtl="0">
                <a:defRPr sz="1000"/>
              </a:pPr>
              <a:r>
                <a:rPr lang="en-US" sz="1000" b="0" i="0" u="none" strike="noStrike" baseline="0">
                  <a:solidFill>
                    <a:srgbClr val="000000"/>
                  </a:solidFill>
                  <a:latin typeface="Arial"/>
                  <a:cs typeface="Arial"/>
                </a:rPr>
                <a:t>Project Description </a:t>
              </a:r>
            </a:p>
            <a:p>
              <a:pPr algn="ctr" rtl="0">
                <a:defRPr sz="1000"/>
              </a:pPr>
              <a:r>
                <a:rPr lang="en-US" sz="1000" b="0" i="0" u="none" strike="noStrike" baseline="0">
                  <a:solidFill>
                    <a:srgbClr val="000000"/>
                  </a:solidFill>
                  <a:latin typeface="Arial"/>
                  <a:cs typeface="Arial"/>
                </a:rPr>
                <a:t>and Cost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11</xdr:col>
      <xdr:colOff>9525</xdr:colOff>
      <xdr:row>45</xdr:row>
      <xdr:rowOff>57150</xdr:rowOff>
    </xdr:from>
    <xdr:to>
      <xdr:col>22</xdr:col>
      <xdr:colOff>9525</xdr:colOff>
      <xdr:row>60</xdr:row>
      <xdr:rowOff>57150</xdr:rowOff>
    </xdr:to>
    <xdr:pic>
      <xdr:nvPicPr>
        <xdr:cNvPr id="19460"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8324850" y="6886575"/>
          <a:ext cx="9220200" cy="2828925"/>
        </a:xfrm>
        <a:prstGeom prst="rect">
          <a:avLst/>
        </a:prstGeom>
        <a:noFill/>
      </xdr:spPr>
    </xdr:pic>
    <xdr:clientData/>
  </xdr:twoCellAnchor>
  <xdr:twoCellAnchor editAs="oneCell">
    <xdr:from>
      <xdr:col>10</xdr:col>
      <xdr:colOff>819150</xdr:colOff>
      <xdr:row>65</xdr:row>
      <xdr:rowOff>123825</xdr:rowOff>
    </xdr:from>
    <xdr:to>
      <xdr:col>21</xdr:col>
      <xdr:colOff>828675</xdr:colOff>
      <xdr:row>76</xdr:row>
      <xdr:rowOff>38100</xdr:rowOff>
    </xdr:to>
    <xdr:pic>
      <xdr:nvPicPr>
        <xdr:cNvPr id="19462" name="Picture 6"/>
        <xdr:cNvPicPr>
          <a:picLocks noChangeAspect="1" noChangeArrowheads="1"/>
        </xdr:cNvPicPr>
      </xdr:nvPicPr>
      <xdr:blipFill>
        <a:blip xmlns:r="http://schemas.openxmlformats.org/officeDocument/2006/relationships" r:embed="rId2" cstate="print"/>
        <a:srcRect/>
        <a:stretch>
          <a:fillRect/>
        </a:stretch>
      </xdr:blipFill>
      <xdr:spPr bwMode="auto">
        <a:xfrm>
          <a:off x="8296275" y="10287000"/>
          <a:ext cx="9229725" cy="1838325"/>
        </a:xfrm>
        <a:prstGeom prst="rect">
          <a:avLst/>
        </a:prstGeom>
        <a:noFill/>
      </xdr:spPr>
    </xdr:pic>
    <xdr:clientData/>
  </xdr:twoCellAnchor>
  <xdr:twoCellAnchor editAs="oneCell">
    <xdr:from>
      <xdr:col>9</xdr:col>
      <xdr:colOff>38100</xdr:colOff>
      <xdr:row>0</xdr:row>
      <xdr:rowOff>142875</xdr:rowOff>
    </xdr:from>
    <xdr:to>
      <xdr:col>20</xdr:col>
      <xdr:colOff>66675</xdr:colOff>
      <xdr:row>7</xdr:row>
      <xdr:rowOff>133350</xdr:rowOff>
    </xdr:to>
    <xdr:pic>
      <xdr:nvPicPr>
        <xdr:cNvPr id="19464" name="Picture 8"/>
        <xdr:cNvPicPr>
          <a:picLocks noChangeAspect="1" noChangeArrowheads="1"/>
        </xdr:cNvPicPr>
      </xdr:nvPicPr>
      <xdr:blipFill>
        <a:blip xmlns:r="http://schemas.openxmlformats.org/officeDocument/2006/relationships" r:embed="rId3" cstate="print"/>
        <a:srcRect/>
        <a:stretch>
          <a:fillRect/>
        </a:stretch>
      </xdr:blipFill>
      <xdr:spPr bwMode="auto">
        <a:xfrm>
          <a:off x="6677025" y="142875"/>
          <a:ext cx="9248775" cy="1352550"/>
        </a:xfrm>
        <a:prstGeom prst="rect">
          <a:avLst/>
        </a:prstGeom>
        <a:noFill/>
      </xdr:spPr>
    </xdr:pic>
    <xdr:clientData/>
  </xdr:twoCellAnchor>
  <xdr:twoCellAnchor editAs="oneCell">
    <xdr:from>
      <xdr:col>8</xdr:col>
      <xdr:colOff>828675</xdr:colOff>
      <xdr:row>33</xdr:row>
      <xdr:rowOff>142875</xdr:rowOff>
    </xdr:from>
    <xdr:to>
      <xdr:col>19</xdr:col>
      <xdr:colOff>790575</xdr:colOff>
      <xdr:row>41</xdr:row>
      <xdr:rowOff>19050</xdr:rowOff>
    </xdr:to>
    <xdr:pic>
      <xdr:nvPicPr>
        <xdr:cNvPr id="19466" name="Picture 10"/>
        <xdr:cNvPicPr>
          <a:picLocks noChangeAspect="1" noChangeArrowheads="1"/>
        </xdr:cNvPicPr>
      </xdr:nvPicPr>
      <xdr:blipFill>
        <a:blip xmlns:r="http://schemas.openxmlformats.org/officeDocument/2006/relationships" r:embed="rId4" cstate="print"/>
        <a:srcRect/>
        <a:stretch>
          <a:fillRect/>
        </a:stretch>
      </xdr:blipFill>
      <xdr:spPr bwMode="auto">
        <a:xfrm>
          <a:off x="8305800" y="5543550"/>
          <a:ext cx="9248775" cy="1400175"/>
        </a:xfrm>
        <a:prstGeom prst="rect">
          <a:avLst/>
        </a:prstGeom>
        <a:noFill/>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495300</xdr:colOff>
      <xdr:row>17</xdr:row>
      <xdr:rowOff>28575</xdr:rowOff>
    </xdr:from>
    <xdr:to>
      <xdr:col>20</xdr:col>
      <xdr:colOff>285750</xdr:colOff>
      <xdr:row>35</xdr:row>
      <xdr:rowOff>118188</xdr:rowOff>
    </xdr:to>
    <xdr:pic>
      <xdr:nvPicPr>
        <xdr:cNvPr id="11"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20145375" y="3429000"/>
          <a:ext cx="6429375" cy="3528138"/>
        </a:xfrm>
        <a:prstGeom prst="rect">
          <a:avLst/>
        </a:prstGeom>
        <a:noFill/>
      </xdr:spPr>
    </xdr:pic>
    <xdr:clientData/>
  </xdr:twoCellAnchor>
  <xdr:twoCellAnchor>
    <xdr:from>
      <xdr:col>10</xdr:col>
      <xdr:colOff>295274</xdr:colOff>
      <xdr:row>1</xdr:row>
      <xdr:rowOff>0</xdr:rowOff>
    </xdr:from>
    <xdr:to>
      <xdr:col>21</xdr:col>
      <xdr:colOff>523875</xdr:colOff>
      <xdr:row>15</xdr:row>
      <xdr:rowOff>123825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228600</xdr:colOff>
      <xdr:row>0</xdr:row>
      <xdr:rowOff>57150</xdr:rowOff>
    </xdr:from>
    <xdr:to>
      <xdr:col>5</xdr:col>
      <xdr:colOff>247650</xdr:colOff>
      <xdr:row>11</xdr:row>
      <xdr:rowOff>133350</xdr:rowOff>
    </xdr:to>
    <xdr:pic>
      <xdr:nvPicPr>
        <xdr:cNvPr id="15" name="Picture 7"/>
        <xdr:cNvPicPr>
          <a:picLocks noChangeAspect="1" noChangeArrowheads="1"/>
        </xdr:cNvPicPr>
      </xdr:nvPicPr>
      <xdr:blipFill>
        <a:blip xmlns:r="http://schemas.openxmlformats.org/officeDocument/2006/relationships" r:embed="rId3" cstate="print"/>
        <a:srcRect/>
        <a:stretch>
          <a:fillRect/>
        </a:stretch>
      </xdr:blipFill>
      <xdr:spPr bwMode="auto">
        <a:xfrm>
          <a:off x="9591675" y="57150"/>
          <a:ext cx="4943475" cy="2362200"/>
        </a:xfrm>
        <a:prstGeom prst="rect">
          <a:avLst/>
        </a:prstGeom>
        <a:noFill/>
      </xdr:spPr>
    </xdr:pic>
    <xdr:clientData/>
  </xdr:twoCellAnchor>
  <xdr:twoCellAnchor>
    <xdr:from>
      <xdr:col>15</xdr:col>
      <xdr:colOff>704850</xdr:colOff>
      <xdr:row>89</xdr:row>
      <xdr:rowOff>114300</xdr:rowOff>
    </xdr:from>
    <xdr:to>
      <xdr:col>22</xdr:col>
      <xdr:colOff>466725</xdr:colOff>
      <xdr:row>104</xdr:row>
      <xdr:rowOff>0</xdr:rowOff>
    </xdr:to>
    <xdr:graphicFrame macro="">
      <xdr:nvGraphicFramePr>
        <xdr:cNvPr id="16"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609599</xdr:colOff>
      <xdr:row>89</xdr:row>
      <xdr:rowOff>114300</xdr:rowOff>
    </xdr:from>
    <xdr:to>
      <xdr:col>32</xdr:col>
      <xdr:colOff>485774</xdr:colOff>
      <xdr:row>103</xdr:row>
      <xdr:rowOff>171450</xdr:rowOff>
    </xdr:to>
    <xdr:graphicFrame macro="">
      <xdr:nvGraphicFramePr>
        <xdr:cNvPr id="17" name="Chart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45</xdr:col>
      <xdr:colOff>428624</xdr:colOff>
      <xdr:row>3</xdr:row>
      <xdr:rowOff>114300</xdr:rowOff>
    </xdr:from>
    <xdr:to>
      <xdr:col>51</xdr:col>
      <xdr:colOff>228600</xdr:colOff>
      <xdr:row>19</xdr:row>
      <xdr:rowOff>104775</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45</xdr:col>
      <xdr:colOff>485774</xdr:colOff>
      <xdr:row>96</xdr:row>
      <xdr:rowOff>114300</xdr:rowOff>
    </xdr:from>
    <xdr:to>
      <xdr:col>54</xdr:col>
      <xdr:colOff>285750</xdr:colOff>
      <xdr:row>116</xdr:row>
      <xdr:rowOff>85725</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314325</xdr:colOff>
      <xdr:row>47</xdr:row>
      <xdr:rowOff>57149</xdr:rowOff>
    </xdr:from>
    <xdr:to>
      <xdr:col>6</xdr:col>
      <xdr:colOff>819150</xdr:colOff>
      <xdr:row>66</xdr:row>
      <xdr:rowOff>152399</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39</xdr:col>
      <xdr:colOff>942975</xdr:colOff>
      <xdr:row>24</xdr:row>
      <xdr:rowOff>28575</xdr:rowOff>
    </xdr:from>
    <xdr:to>
      <xdr:col>45</xdr:col>
      <xdr:colOff>409575</xdr:colOff>
      <xdr:row>38</xdr:row>
      <xdr:rowOff>28575</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85724</xdr:colOff>
      <xdr:row>5</xdr:row>
      <xdr:rowOff>100011</xdr:rowOff>
    </xdr:from>
    <xdr:to>
      <xdr:col>16</xdr:col>
      <xdr:colOff>419099</xdr:colOff>
      <xdr:row>22</xdr:row>
      <xdr:rowOff>171449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123825</xdr:colOff>
      <xdr:row>79</xdr:row>
      <xdr:rowOff>9525</xdr:rowOff>
    </xdr:from>
    <xdr:to>
      <xdr:col>12</xdr:col>
      <xdr:colOff>95250</xdr:colOff>
      <xdr:row>93</xdr:row>
      <xdr:rowOff>85725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219075</xdr:colOff>
      <xdr:row>79</xdr:row>
      <xdr:rowOff>9525</xdr:rowOff>
    </xdr:from>
    <xdr:to>
      <xdr:col>5</xdr:col>
      <xdr:colOff>28575</xdr:colOff>
      <xdr:row>93</xdr:row>
      <xdr:rowOff>85725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85724</xdr:colOff>
      <xdr:row>5</xdr:row>
      <xdr:rowOff>100011</xdr:rowOff>
    </xdr:from>
    <xdr:to>
      <xdr:col>16</xdr:col>
      <xdr:colOff>419099</xdr:colOff>
      <xdr:row>22</xdr:row>
      <xdr:rowOff>171449</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123825</xdr:colOff>
      <xdr:row>79</xdr:row>
      <xdr:rowOff>9525</xdr:rowOff>
    </xdr:from>
    <xdr:to>
      <xdr:col>12</xdr:col>
      <xdr:colOff>95250</xdr:colOff>
      <xdr:row>93</xdr:row>
      <xdr:rowOff>85725</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219075</xdr:colOff>
      <xdr:row>79</xdr:row>
      <xdr:rowOff>9525</xdr:rowOff>
    </xdr:from>
    <xdr:to>
      <xdr:col>5</xdr:col>
      <xdr:colOff>28575</xdr:colOff>
      <xdr:row>93</xdr:row>
      <xdr:rowOff>85725</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195696</xdr:colOff>
      <xdr:row>24</xdr:row>
      <xdr:rowOff>47625</xdr:rowOff>
    </xdr:from>
    <xdr:to>
      <xdr:col>25</xdr:col>
      <xdr:colOff>114300</xdr:colOff>
      <xdr:row>50</xdr:row>
      <xdr:rowOff>114300</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16</xdr:col>
      <xdr:colOff>409575</xdr:colOff>
      <xdr:row>11</xdr:row>
      <xdr:rowOff>0</xdr:rowOff>
    </xdr:from>
    <xdr:to>
      <xdr:col>25</xdr:col>
      <xdr:colOff>180975</xdr:colOff>
      <xdr:row>27</xdr:row>
      <xdr:rowOff>152400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9</xdr:col>
      <xdr:colOff>361950</xdr:colOff>
      <xdr:row>16</xdr:row>
      <xdr:rowOff>142875</xdr:rowOff>
    </xdr:from>
    <xdr:to>
      <xdr:col>16</xdr:col>
      <xdr:colOff>695325</xdr:colOff>
      <xdr:row>33</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51</xdr:row>
      <xdr:rowOff>57150</xdr:rowOff>
    </xdr:from>
    <xdr:to>
      <xdr:col>20</xdr:col>
      <xdr:colOff>123825</xdr:colOff>
      <xdr:row>65</xdr:row>
      <xdr:rowOff>133350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390525</xdr:colOff>
      <xdr:row>16</xdr:row>
      <xdr:rowOff>123825</xdr:rowOff>
    </xdr:from>
    <xdr:to>
      <xdr:col>16</xdr:col>
      <xdr:colOff>723900</xdr:colOff>
      <xdr:row>33</xdr:row>
      <xdr:rowOff>114300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295275</xdr:colOff>
      <xdr:row>51</xdr:row>
      <xdr:rowOff>57150</xdr:rowOff>
    </xdr:from>
    <xdr:to>
      <xdr:col>20</xdr:col>
      <xdr:colOff>123825</xdr:colOff>
      <xdr:row>65</xdr:row>
      <xdr:rowOff>133350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9</xdr:col>
      <xdr:colOff>390525</xdr:colOff>
      <xdr:row>12</xdr:row>
      <xdr:rowOff>19050</xdr:rowOff>
    </xdr:from>
    <xdr:to>
      <xdr:col>17</xdr:col>
      <xdr:colOff>85725</xdr:colOff>
      <xdr:row>26</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276225</xdr:colOff>
      <xdr:row>46</xdr:row>
      <xdr:rowOff>19050</xdr:rowOff>
    </xdr:from>
    <xdr:to>
      <xdr:col>16</xdr:col>
      <xdr:colOff>581025</xdr:colOff>
      <xdr:row>60</xdr:row>
      <xdr:rowOff>95250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552450</xdr:colOff>
      <xdr:row>28</xdr:row>
      <xdr:rowOff>76199</xdr:rowOff>
    </xdr:from>
    <xdr:to>
      <xdr:col>17</xdr:col>
      <xdr:colOff>323850</xdr:colOff>
      <xdr:row>43</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9</xdr:col>
      <xdr:colOff>504825</xdr:colOff>
      <xdr:row>27</xdr:row>
      <xdr:rowOff>28575</xdr:rowOff>
    </xdr:from>
    <xdr:to>
      <xdr:col>16</xdr:col>
      <xdr:colOff>809625</xdr:colOff>
      <xdr:row>41</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438150</xdr:colOff>
      <xdr:row>11</xdr:row>
      <xdr:rowOff>76200</xdr:rowOff>
    </xdr:from>
    <xdr:to>
      <xdr:col>16</xdr:col>
      <xdr:colOff>742950</xdr:colOff>
      <xdr:row>25</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428625</xdr:colOff>
      <xdr:row>47</xdr:row>
      <xdr:rowOff>85725</xdr:rowOff>
    </xdr:from>
    <xdr:to>
      <xdr:col>16</xdr:col>
      <xdr:colOff>733425</xdr:colOff>
      <xdr:row>61</xdr:row>
      <xdr:rowOff>161925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Owner/Application%20Data/Microsoft/Excel/Drilling%20cost%20curves%201-2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lCalc_1"/>
      <sheetName val="PTModule"/>
      <sheetName val="JEDI INfluence diagram"/>
      <sheetName val="JEDI geo input output summary"/>
      <sheetName val="Plant Cost DB"/>
      <sheetName val="Material Costs"/>
      <sheetName val="Job Rates and Wages"/>
      <sheetName val="Fluid Density"/>
      <sheetName val="Brine effectiveness"/>
      <sheetName val="Drill Cost Curves"/>
      <sheetName val="MIT CH 6  Table 6.6 AFE"/>
      <sheetName val="MIT A.6.3"/>
      <sheetName val="BLS PPI Oil Gas Drilling"/>
      <sheetName val="MIT Drilling cost index"/>
      <sheetName val="Jorn Plant Data"/>
      <sheetName val="Binary  plant costs"/>
      <sheetName val="Flash Plant Costs"/>
      <sheetName val="CERA PCCI power plant index"/>
      <sheetName val="Sierra Production Well"/>
      <sheetName val="Sierra SlimWell"/>
      <sheetName val="Sierra Corehole"/>
      <sheetName val=" Sierra Geo Contractual"/>
      <sheetName val="Binary O&amp;M"/>
      <sheetName val="SAM Binary"/>
      <sheetName val="Flash O&amp;M"/>
      <sheetName val="Drilling Contractor Questions"/>
    </sheetNames>
    <sheetDataSet>
      <sheetData sheetId="0" refreshError="1"/>
      <sheetData sheetId="1" refreshError="1"/>
      <sheetData sheetId="2" refreshError="1"/>
      <sheetData sheetId="3">
        <row r="9">
          <cell r="B9">
            <v>2010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19">
          <cell r="B19">
            <v>2000</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omments" Target="../comments1.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10.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hyperlink" Target="https://www.whitehouse.gov/omb/budget/Historicals%20Table%2010.1&#8212;GROSS%20DOMESTIC%20PRODUCT%20AND%20DEFLATORS%20USED%20IN%20THE%20HISTORICAL%20TABLES:%201940&#8211;2021.%20Accessed%20Nov.%202016." TargetMode="Externa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19.bin"/><Relationship Id="rId4" Type="http://schemas.openxmlformats.org/officeDocument/2006/relationships/comments" Target="../comments11.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A46"/>
  <sheetViews>
    <sheetView workbookViewId="0"/>
  </sheetViews>
  <sheetFormatPr defaultRowHeight="15" x14ac:dyDescent="0.25"/>
  <sheetData>
    <row r="1" spans="1:27" x14ac:dyDescent="0.25">
      <c r="A1" t="s">
        <v>221</v>
      </c>
      <c r="B1" t="s">
        <v>267</v>
      </c>
      <c r="E1" t="s">
        <v>224</v>
      </c>
      <c r="F1">
        <v>2</v>
      </c>
    </row>
    <row r="2" spans="1:27" x14ac:dyDescent="0.25">
      <c r="A2" t="s">
        <v>222</v>
      </c>
      <c r="B2" t="e">
        <f>'Influence diagram'!#REF!</f>
        <v>#REF!</v>
      </c>
      <c r="E2" t="s">
        <v>225</v>
      </c>
      <c r="F2" t="e">
        <f t="array" aca="1" ref="F2:J2" ca="1">PTreeInflEvaluate($A$1,$B$3, SUM($7:$16384))</f>
        <v>#NAME?</v>
      </c>
      <c r="G2" t="e">
        <f ca="1"/>
        <v>#NAME?</v>
      </c>
      <c r="H2" t="e">
        <f ca="1"/>
        <v>#NAME?</v>
      </c>
      <c r="I2" t="e">
        <f ca="1"/>
        <v>#NAME?</v>
      </c>
      <c r="J2" t="e">
        <f ca="1"/>
        <v>#NAME?</v>
      </c>
    </row>
    <row r="3" spans="1:27" x14ac:dyDescent="0.25">
      <c r="A3" t="s">
        <v>223</v>
      </c>
      <c r="B3" t="s">
        <v>268</v>
      </c>
    </row>
    <row r="5" spans="1:27" x14ac:dyDescent="0.25">
      <c r="A5" t="s">
        <v>226</v>
      </c>
      <c r="B5">
        <v>23</v>
      </c>
    </row>
    <row r="7" spans="1:27" x14ac:dyDescent="0.25">
      <c r="A7" t="s">
        <v>266</v>
      </c>
      <c r="D7" t="s">
        <v>227</v>
      </c>
    </row>
    <row r="8" spans="1:27" x14ac:dyDescent="0.25">
      <c r="A8" t="s">
        <v>228</v>
      </c>
      <c r="B8">
        <v>2</v>
      </c>
      <c r="D8" t="s">
        <v>228</v>
      </c>
      <c r="E8">
        <v>23</v>
      </c>
    </row>
    <row r="10" spans="1:27" x14ac:dyDescent="0.25">
      <c r="D10" t="s">
        <v>229</v>
      </c>
      <c r="E10">
        <v>1</v>
      </c>
      <c r="F10">
        <v>2</v>
      </c>
      <c r="G10">
        <v>3</v>
      </c>
      <c r="H10">
        <v>4</v>
      </c>
      <c r="I10">
        <v>5</v>
      </c>
      <c r="J10">
        <v>6</v>
      </c>
      <c r="K10">
        <v>7</v>
      </c>
      <c r="L10">
        <v>8</v>
      </c>
      <c r="M10">
        <v>9</v>
      </c>
      <c r="N10">
        <v>10</v>
      </c>
      <c r="O10">
        <v>11</v>
      </c>
      <c r="P10">
        <v>12</v>
      </c>
      <c r="Q10">
        <v>13</v>
      </c>
      <c r="R10">
        <v>14</v>
      </c>
      <c r="S10">
        <v>15</v>
      </c>
      <c r="T10">
        <v>16</v>
      </c>
      <c r="U10">
        <v>17</v>
      </c>
      <c r="V10">
        <v>18</v>
      </c>
      <c r="W10">
        <v>19</v>
      </c>
      <c r="X10">
        <v>20</v>
      </c>
      <c r="Y10">
        <v>21</v>
      </c>
      <c r="Z10">
        <v>22</v>
      </c>
      <c r="AA10">
        <v>23</v>
      </c>
    </row>
    <row r="11" spans="1:27" x14ac:dyDescent="0.25">
      <c r="A11" t="s">
        <v>288</v>
      </c>
      <c r="D11" t="s">
        <v>230</v>
      </c>
      <c r="E11" t="s">
        <v>269</v>
      </c>
      <c r="F11" t="s">
        <v>297</v>
      </c>
      <c r="G11" t="s">
        <v>294</v>
      </c>
      <c r="H11" t="s">
        <v>307</v>
      </c>
      <c r="I11" t="s">
        <v>275</v>
      </c>
      <c r="J11" t="s">
        <v>281</v>
      </c>
      <c r="K11" t="s">
        <v>295</v>
      </c>
      <c r="L11" t="s">
        <v>292</v>
      </c>
      <c r="M11" t="s">
        <v>296</v>
      </c>
      <c r="N11" t="s">
        <v>283</v>
      </c>
      <c r="O11" t="s">
        <v>285</v>
      </c>
      <c r="P11" t="s">
        <v>309</v>
      </c>
      <c r="Q11" t="s">
        <v>298</v>
      </c>
      <c r="R11" t="s">
        <v>299</v>
      </c>
      <c r="S11" t="s">
        <v>300</v>
      </c>
      <c r="T11" t="s">
        <v>325</v>
      </c>
      <c r="U11" t="s">
        <v>308</v>
      </c>
      <c r="V11" t="s">
        <v>311</v>
      </c>
      <c r="W11" t="s">
        <v>319</v>
      </c>
      <c r="X11" t="s">
        <v>316</v>
      </c>
      <c r="Y11" t="s">
        <v>320</v>
      </c>
      <c r="Z11" t="s">
        <v>321</v>
      </c>
      <c r="AA11" t="s">
        <v>323</v>
      </c>
    </row>
    <row r="12" spans="1:27" x14ac:dyDescent="0.25">
      <c r="A12" t="s">
        <v>291</v>
      </c>
      <c r="D12" t="s">
        <v>231</v>
      </c>
      <c r="E12">
        <v>0</v>
      </c>
      <c r="F12">
        <v>0</v>
      </c>
      <c r="G12" t="s">
        <v>289</v>
      </c>
      <c r="H12">
        <v>0</v>
      </c>
      <c r="I12">
        <v>0</v>
      </c>
      <c r="J12">
        <v>0</v>
      </c>
      <c r="K12">
        <v>0</v>
      </c>
      <c r="L12">
        <v>0</v>
      </c>
      <c r="M12" t="s">
        <v>287</v>
      </c>
      <c r="N12">
        <v>0</v>
      </c>
      <c r="O12">
        <v>0</v>
      </c>
      <c r="P12">
        <v>0</v>
      </c>
      <c r="Q12">
        <v>0</v>
      </c>
      <c r="R12">
        <v>0</v>
      </c>
      <c r="S12">
        <v>0</v>
      </c>
      <c r="T12">
        <v>0</v>
      </c>
      <c r="U12">
        <v>0</v>
      </c>
      <c r="V12">
        <v>0</v>
      </c>
      <c r="W12">
        <v>0</v>
      </c>
      <c r="X12">
        <v>0</v>
      </c>
      <c r="Y12">
        <v>0</v>
      </c>
      <c r="Z12">
        <v>0</v>
      </c>
      <c r="AA12">
        <v>0</v>
      </c>
    </row>
    <row r="13" spans="1:27" x14ac:dyDescent="0.25">
      <c r="D13" t="s">
        <v>232</v>
      </c>
      <c r="E13">
        <v>0</v>
      </c>
      <c r="F13">
        <v>0</v>
      </c>
      <c r="G13">
        <v>0</v>
      </c>
      <c r="H13">
        <v>0</v>
      </c>
      <c r="I13">
        <v>0</v>
      </c>
      <c r="J13">
        <v>0</v>
      </c>
      <c r="K13" t="s">
        <v>290</v>
      </c>
      <c r="L13">
        <v>0</v>
      </c>
      <c r="M13">
        <v>0</v>
      </c>
      <c r="N13">
        <v>0</v>
      </c>
      <c r="O13">
        <v>0</v>
      </c>
      <c r="P13">
        <v>0</v>
      </c>
      <c r="Q13">
        <v>0</v>
      </c>
      <c r="R13">
        <v>0</v>
      </c>
      <c r="S13">
        <v>0</v>
      </c>
      <c r="T13">
        <v>0</v>
      </c>
      <c r="U13">
        <v>0</v>
      </c>
      <c r="V13">
        <v>0</v>
      </c>
      <c r="W13">
        <v>0</v>
      </c>
      <c r="X13">
        <v>0</v>
      </c>
      <c r="Y13">
        <v>0</v>
      </c>
      <c r="Z13">
        <v>0</v>
      </c>
      <c r="AA13">
        <v>0</v>
      </c>
    </row>
    <row r="14" spans="1:27" x14ac:dyDescent="0.25">
      <c r="D14" t="s">
        <v>233</v>
      </c>
    </row>
    <row r="15" spans="1:27" x14ac:dyDescent="0.25">
      <c r="D15" t="s">
        <v>234</v>
      </c>
      <c r="E15" t="s">
        <v>30</v>
      </c>
      <c r="F15" t="s">
        <v>302</v>
      </c>
      <c r="G15" t="s">
        <v>272</v>
      </c>
      <c r="H15" t="s">
        <v>274</v>
      </c>
      <c r="I15" t="s">
        <v>276</v>
      </c>
      <c r="J15" t="s">
        <v>278</v>
      </c>
      <c r="K15" t="s">
        <v>324</v>
      </c>
      <c r="L15" t="s">
        <v>282</v>
      </c>
      <c r="M15" t="s">
        <v>286</v>
      </c>
      <c r="N15" t="s">
        <v>284</v>
      </c>
      <c r="O15" t="s">
        <v>278</v>
      </c>
      <c r="P15" t="s">
        <v>278</v>
      </c>
      <c r="Q15" t="s">
        <v>276</v>
      </c>
      <c r="R15" t="s">
        <v>293</v>
      </c>
      <c r="S15" t="s">
        <v>303</v>
      </c>
      <c r="T15" t="s">
        <v>301</v>
      </c>
      <c r="U15" t="s">
        <v>304</v>
      </c>
      <c r="V15" t="s">
        <v>310</v>
      </c>
      <c r="W15" t="s">
        <v>312</v>
      </c>
      <c r="X15" t="s">
        <v>315</v>
      </c>
      <c r="Y15" t="s">
        <v>317</v>
      </c>
      <c r="Z15" t="s">
        <v>318</v>
      </c>
      <c r="AA15" t="s">
        <v>322</v>
      </c>
    </row>
    <row r="16" spans="1:27" x14ac:dyDescent="0.25">
      <c r="D16" t="s">
        <v>236</v>
      </c>
      <c r="E16" t="s">
        <v>270</v>
      </c>
      <c r="F16">
        <v>2010</v>
      </c>
      <c r="G16" t="s">
        <v>273</v>
      </c>
      <c r="H16" t="s">
        <v>270</v>
      </c>
      <c r="I16" t="s">
        <v>270</v>
      </c>
      <c r="J16" t="s">
        <v>277</v>
      </c>
      <c r="K16" t="s">
        <v>277</v>
      </c>
      <c r="L16" t="s">
        <v>270</v>
      </c>
      <c r="M16" t="s">
        <v>270</v>
      </c>
      <c r="N16" t="s">
        <v>270</v>
      </c>
      <c r="O16" t="s">
        <v>277</v>
      </c>
      <c r="P16" t="s">
        <v>277</v>
      </c>
      <c r="Q16" t="s">
        <v>270</v>
      </c>
      <c r="R16" t="s">
        <v>270</v>
      </c>
      <c r="S16" t="s">
        <v>270</v>
      </c>
      <c r="T16" t="s">
        <v>270</v>
      </c>
      <c r="U16" t="s">
        <v>305</v>
      </c>
      <c r="V16" t="s">
        <v>270</v>
      </c>
      <c r="W16" t="s">
        <v>313</v>
      </c>
      <c r="X16" t="s">
        <v>270</v>
      </c>
      <c r="Y16" t="s">
        <v>270</v>
      </c>
      <c r="Z16" t="s">
        <v>270</v>
      </c>
      <c r="AA16" t="s">
        <v>270</v>
      </c>
    </row>
    <row r="17" spans="4:27" x14ac:dyDescent="0.25">
      <c r="D17" t="s">
        <v>237</v>
      </c>
      <c r="E17" t="s">
        <v>271</v>
      </c>
      <c r="F17" t="s">
        <v>271</v>
      </c>
      <c r="G17" t="s">
        <v>140</v>
      </c>
      <c r="H17" t="s">
        <v>271</v>
      </c>
      <c r="I17" t="s">
        <v>271</v>
      </c>
      <c r="J17" t="s">
        <v>279</v>
      </c>
      <c r="K17" t="s">
        <v>280</v>
      </c>
      <c r="L17" t="s">
        <v>271</v>
      </c>
      <c r="M17" t="s">
        <v>271</v>
      </c>
      <c r="N17" t="s">
        <v>271</v>
      </c>
      <c r="O17" t="s">
        <v>279</v>
      </c>
      <c r="P17" t="s">
        <v>279</v>
      </c>
      <c r="Q17" t="s">
        <v>271</v>
      </c>
      <c r="R17" t="s">
        <v>271</v>
      </c>
      <c r="S17" t="s">
        <v>271</v>
      </c>
      <c r="T17" t="s">
        <v>271</v>
      </c>
      <c r="U17" t="s">
        <v>306</v>
      </c>
      <c r="V17" t="s">
        <v>271</v>
      </c>
      <c r="W17" t="s">
        <v>314</v>
      </c>
      <c r="X17" t="s">
        <v>271</v>
      </c>
      <c r="Y17" t="s">
        <v>271</v>
      </c>
      <c r="Z17" t="s">
        <v>271</v>
      </c>
      <c r="AA17" t="s">
        <v>271</v>
      </c>
    </row>
    <row r="18" spans="4:27" x14ac:dyDescent="0.25">
      <c r="D18" t="s">
        <v>238</v>
      </c>
      <c r="J18" t="s">
        <v>280</v>
      </c>
      <c r="O18" t="s">
        <v>280</v>
      </c>
      <c r="P18" t="s">
        <v>280</v>
      </c>
    </row>
    <row r="19" spans="4:27" x14ac:dyDescent="0.25">
      <c r="D19" t="s">
        <v>239</v>
      </c>
    </row>
    <row r="20" spans="4:27" x14ac:dyDescent="0.25">
      <c r="D20" t="s">
        <v>240</v>
      </c>
    </row>
    <row r="21" spans="4:27" x14ac:dyDescent="0.25">
      <c r="D21" t="s">
        <v>241</v>
      </c>
    </row>
    <row r="22" spans="4:27" x14ac:dyDescent="0.25">
      <c r="D22" t="s">
        <v>242</v>
      </c>
    </row>
    <row r="23" spans="4:27" x14ac:dyDescent="0.25">
      <c r="D23" t="s">
        <v>243</v>
      </c>
    </row>
    <row r="24" spans="4:27" x14ac:dyDescent="0.25">
      <c r="D24" t="s">
        <v>244</v>
      </c>
    </row>
    <row r="25" spans="4:27" x14ac:dyDescent="0.25">
      <c r="D25" t="s">
        <v>245</v>
      </c>
    </row>
    <row r="26" spans="4:27" x14ac:dyDescent="0.25">
      <c r="D26" t="s">
        <v>246</v>
      </c>
    </row>
    <row r="27" spans="4:27" x14ac:dyDescent="0.25">
      <c r="D27" t="s">
        <v>247</v>
      </c>
    </row>
    <row r="28" spans="4:27" x14ac:dyDescent="0.25">
      <c r="D28" t="s">
        <v>248</v>
      </c>
    </row>
    <row r="29" spans="4:27" x14ac:dyDescent="0.25">
      <c r="D29" t="s">
        <v>249</v>
      </c>
    </row>
    <row r="30" spans="4:27" x14ac:dyDescent="0.25">
      <c r="D30" t="s">
        <v>250</v>
      </c>
    </row>
    <row r="31" spans="4:27" x14ac:dyDescent="0.25">
      <c r="D31" t="s">
        <v>251</v>
      </c>
    </row>
    <row r="32" spans="4:27" x14ac:dyDescent="0.25">
      <c r="D32" t="s">
        <v>252</v>
      </c>
    </row>
    <row r="33" spans="4:4" x14ac:dyDescent="0.25">
      <c r="D33" t="s">
        <v>253</v>
      </c>
    </row>
    <row r="34" spans="4:4" x14ac:dyDescent="0.25">
      <c r="D34" t="s">
        <v>254</v>
      </c>
    </row>
    <row r="35" spans="4:4" x14ac:dyDescent="0.25">
      <c r="D35" t="s">
        <v>255</v>
      </c>
    </row>
    <row r="36" spans="4:4" x14ac:dyDescent="0.25">
      <c r="D36" t="s">
        <v>256</v>
      </c>
    </row>
    <row r="37" spans="4:4" x14ac:dyDescent="0.25">
      <c r="D37" t="s">
        <v>257</v>
      </c>
    </row>
    <row r="38" spans="4:4" x14ac:dyDescent="0.25">
      <c r="D38" t="s">
        <v>258</v>
      </c>
    </row>
    <row r="39" spans="4:4" x14ac:dyDescent="0.25">
      <c r="D39" t="s">
        <v>259</v>
      </c>
    </row>
    <row r="40" spans="4:4" x14ac:dyDescent="0.25">
      <c r="D40" t="s">
        <v>260</v>
      </c>
    </row>
    <row r="41" spans="4:4" x14ac:dyDescent="0.25">
      <c r="D41" t="s">
        <v>261</v>
      </c>
    </row>
    <row r="42" spans="4:4" x14ac:dyDescent="0.25">
      <c r="D42" t="s">
        <v>262</v>
      </c>
    </row>
    <row r="43" spans="4:4" x14ac:dyDescent="0.25">
      <c r="D43" t="s">
        <v>263</v>
      </c>
    </row>
    <row r="44" spans="4:4" x14ac:dyDescent="0.25">
      <c r="D44" t="s">
        <v>264</v>
      </c>
    </row>
    <row r="45" spans="4:4" x14ac:dyDescent="0.25">
      <c r="D45" t="s">
        <v>265</v>
      </c>
    </row>
    <row r="46" spans="4:4" x14ac:dyDescent="0.25">
      <c r="D46" t="s">
        <v>235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N70"/>
  <sheetViews>
    <sheetView workbookViewId="0">
      <selection activeCell="F2" sqref="F2"/>
    </sheetView>
  </sheetViews>
  <sheetFormatPr defaultRowHeight="15" x14ac:dyDescent="0.25"/>
  <cols>
    <col min="1" max="1" width="208.140625" style="219" customWidth="1"/>
    <col min="2" max="2" width="176.5703125" customWidth="1"/>
  </cols>
  <sheetData>
    <row r="1" spans="1:14" x14ac:dyDescent="0.25">
      <c r="A1" s="744"/>
      <c r="B1" s="294"/>
      <c r="C1" s="305"/>
      <c r="D1" s="305"/>
      <c r="E1" s="305"/>
      <c r="F1" s="305"/>
      <c r="G1" s="305"/>
      <c r="H1" s="305"/>
      <c r="I1" s="305"/>
      <c r="J1" s="305"/>
      <c r="K1" s="305"/>
      <c r="L1" s="305"/>
      <c r="M1" s="305"/>
      <c r="N1" s="305"/>
    </row>
    <row r="2" spans="1:14" ht="23.25" x14ac:dyDescent="0.35">
      <c r="A2" s="1209" t="s">
        <v>726</v>
      </c>
      <c r="B2" s="294"/>
      <c r="C2" s="305"/>
      <c r="D2" s="305"/>
      <c r="E2" s="305"/>
      <c r="F2" s="305"/>
      <c r="G2" s="305"/>
      <c r="H2" s="305"/>
      <c r="I2" s="305"/>
      <c r="J2" s="305"/>
      <c r="K2" s="305"/>
      <c r="L2" s="305"/>
      <c r="M2" s="305"/>
      <c r="N2" s="305"/>
    </row>
    <row r="3" spans="1:14" ht="23.25" x14ac:dyDescent="0.35">
      <c r="A3" s="1210"/>
      <c r="B3" s="295"/>
      <c r="C3" s="305"/>
      <c r="D3" s="305"/>
      <c r="E3" s="305"/>
      <c r="F3" s="305"/>
      <c r="G3" s="305"/>
      <c r="H3" s="305"/>
      <c r="I3" s="305"/>
      <c r="J3" s="305"/>
      <c r="K3" s="305"/>
      <c r="L3" s="305"/>
      <c r="M3" s="305"/>
      <c r="N3" s="305"/>
    </row>
    <row r="4" spans="1:14" ht="23.25" x14ac:dyDescent="0.35">
      <c r="A4" s="1209" t="s">
        <v>1400</v>
      </c>
      <c r="B4" s="296"/>
      <c r="C4" s="305"/>
      <c r="D4" s="305"/>
      <c r="E4" s="305"/>
      <c r="F4" s="305"/>
      <c r="G4" s="305"/>
      <c r="H4" s="305"/>
      <c r="I4" s="305"/>
      <c r="J4" s="305"/>
      <c r="K4" s="305"/>
      <c r="L4" s="305"/>
      <c r="M4" s="305"/>
      <c r="N4" s="305"/>
    </row>
    <row r="5" spans="1:14" ht="23.25" x14ac:dyDescent="0.35">
      <c r="A5" s="1209"/>
      <c r="B5" s="295"/>
      <c r="C5" s="305"/>
      <c r="D5" s="305"/>
      <c r="E5" s="305"/>
      <c r="F5" s="305"/>
      <c r="G5" s="305"/>
      <c r="H5" s="305"/>
      <c r="I5" s="305"/>
      <c r="J5" s="305"/>
      <c r="K5" s="305"/>
      <c r="L5" s="305"/>
      <c r="M5" s="305"/>
      <c r="N5" s="305"/>
    </row>
    <row r="6" spans="1:14" ht="23.25" x14ac:dyDescent="0.35">
      <c r="A6" s="1212" t="s">
        <v>1432</v>
      </c>
      <c r="B6" s="297"/>
      <c r="C6" s="305"/>
      <c r="D6" s="305"/>
      <c r="E6" s="305"/>
      <c r="F6" s="305"/>
      <c r="G6" s="305"/>
      <c r="H6" s="305"/>
      <c r="I6" s="305"/>
      <c r="J6" s="305"/>
      <c r="K6" s="305"/>
      <c r="L6" s="305"/>
      <c r="M6" s="305"/>
      <c r="N6" s="305"/>
    </row>
    <row r="7" spans="1:14" ht="23.25" x14ac:dyDescent="0.35">
      <c r="A7" s="1211"/>
      <c r="B7" s="297"/>
      <c r="C7" s="305"/>
      <c r="D7" s="305"/>
      <c r="E7" s="305"/>
      <c r="F7" s="305"/>
      <c r="G7" s="305"/>
      <c r="H7" s="305"/>
      <c r="I7" s="305"/>
      <c r="J7" s="305"/>
      <c r="K7" s="305"/>
      <c r="L7" s="305"/>
      <c r="M7" s="305"/>
      <c r="N7" s="305"/>
    </row>
    <row r="8" spans="1:14" ht="23.25" x14ac:dyDescent="0.35">
      <c r="A8" s="744"/>
      <c r="B8" s="1219"/>
      <c r="C8" s="305"/>
      <c r="D8" s="305"/>
      <c r="E8" s="305"/>
      <c r="F8" s="305"/>
      <c r="G8" s="305"/>
      <c r="H8" s="305"/>
      <c r="I8" s="305"/>
      <c r="J8" s="305"/>
      <c r="K8" s="305"/>
      <c r="L8" s="305"/>
      <c r="M8" s="305"/>
      <c r="N8" s="305"/>
    </row>
    <row r="9" spans="1:14" ht="18" x14ac:dyDescent="0.25">
      <c r="A9" s="744"/>
      <c r="B9" s="1212"/>
      <c r="C9" s="305"/>
      <c r="D9" s="305"/>
      <c r="E9" s="305"/>
      <c r="F9" s="305"/>
      <c r="G9" s="305"/>
      <c r="H9" s="305"/>
      <c r="I9" s="305"/>
      <c r="J9" s="305"/>
      <c r="K9" s="305"/>
      <c r="L9" s="305"/>
      <c r="M9" s="305"/>
      <c r="N9" s="305"/>
    </row>
    <row r="10" spans="1:14" x14ac:dyDescent="0.25">
      <c r="A10" s="744"/>
      <c r="B10" s="1220"/>
      <c r="C10" s="305"/>
      <c r="D10" s="305"/>
      <c r="E10" s="305"/>
      <c r="F10" s="305"/>
      <c r="G10" s="305"/>
      <c r="H10" s="305"/>
      <c r="I10" s="305"/>
      <c r="J10" s="305"/>
      <c r="K10" s="305"/>
      <c r="L10" s="305"/>
      <c r="M10" s="305"/>
      <c r="N10" s="305"/>
    </row>
    <row r="11" spans="1:14" x14ac:dyDescent="0.25">
      <c r="A11" s="744"/>
      <c r="B11" s="1213"/>
      <c r="C11" s="305"/>
      <c r="D11" s="305"/>
      <c r="E11" s="305"/>
      <c r="F11" s="305"/>
      <c r="G11" s="305"/>
      <c r="H11" s="305"/>
      <c r="I11" s="305"/>
      <c r="J11" s="305"/>
      <c r="K11" s="305"/>
      <c r="L11" s="305"/>
      <c r="M11" s="305"/>
      <c r="N11" s="305"/>
    </row>
    <row r="12" spans="1:14" x14ac:dyDescent="0.25">
      <c r="A12" s="744"/>
      <c r="B12" s="1213"/>
      <c r="C12" s="305"/>
      <c r="D12" s="305"/>
      <c r="E12" s="305"/>
      <c r="F12" s="305"/>
      <c r="G12" s="305"/>
      <c r="H12" s="305"/>
      <c r="I12" s="305"/>
      <c r="J12" s="305"/>
      <c r="K12" s="305"/>
      <c r="L12" s="305"/>
      <c r="M12" s="305"/>
      <c r="N12" s="305"/>
    </row>
    <row r="13" spans="1:14" x14ac:dyDescent="0.25">
      <c r="A13" s="744"/>
      <c r="B13" s="1213"/>
      <c r="C13" s="305"/>
      <c r="D13" s="305"/>
      <c r="E13" s="305"/>
      <c r="F13" s="305"/>
      <c r="G13" s="305"/>
      <c r="H13" s="305"/>
      <c r="I13" s="305"/>
      <c r="J13" s="305"/>
      <c r="K13" s="305"/>
      <c r="L13" s="305"/>
      <c r="M13" s="305"/>
      <c r="N13" s="305"/>
    </row>
    <row r="14" spans="1:14" x14ac:dyDescent="0.25">
      <c r="A14" s="744"/>
      <c r="B14" s="1213"/>
      <c r="C14" s="305"/>
      <c r="D14" s="305"/>
      <c r="E14" s="305"/>
      <c r="F14" s="305"/>
      <c r="G14" s="305"/>
      <c r="H14" s="305"/>
      <c r="I14" s="305"/>
      <c r="J14" s="305"/>
      <c r="K14" s="305"/>
      <c r="L14" s="305"/>
      <c r="M14" s="305"/>
      <c r="N14" s="305"/>
    </row>
    <row r="15" spans="1:14" x14ac:dyDescent="0.25">
      <c r="A15" s="744"/>
      <c r="B15" s="1213"/>
      <c r="C15" s="305"/>
      <c r="D15" s="305"/>
      <c r="E15" s="305"/>
      <c r="F15" s="305"/>
      <c r="G15" s="305"/>
      <c r="H15" s="305"/>
      <c r="I15" s="305"/>
      <c r="J15" s="305"/>
      <c r="K15" s="305"/>
      <c r="L15" s="305"/>
      <c r="M15" s="305"/>
      <c r="N15" s="305"/>
    </row>
    <row r="16" spans="1:14" x14ac:dyDescent="0.25">
      <c r="A16" s="744"/>
      <c r="B16" s="1213"/>
      <c r="C16" s="305"/>
      <c r="D16" s="305"/>
      <c r="E16" s="305"/>
      <c r="F16" s="305"/>
      <c r="G16" s="305"/>
      <c r="H16" s="305"/>
      <c r="I16" s="305"/>
      <c r="J16" s="305"/>
      <c r="K16" s="305"/>
      <c r="L16" s="305"/>
      <c r="M16" s="305"/>
      <c r="N16" s="305"/>
    </row>
    <row r="17" spans="1:14" x14ac:dyDescent="0.25">
      <c r="A17" s="744"/>
      <c r="B17" s="1213"/>
      <c r="C17" s="305"/>
      <c r="D17" s="305"/>
      <c r="E17" s="305"/>
      <c r="F17" s="305"/>
      <c r="G17" s="305"/>
      <c r="H17" s="305"/>
      <c r="I17" s="305"/>
      <c r="J17" s="305"/>
      <c r="K17" s="305"/>
      <c r="L17" s="305"/>
      <c r="M17" s="305"/>
      <c r="N17" s="305"/>
    </row>
    <row r="18" spans="1:14" x14ac:dyDescent="0.25">
      <c r="A18" s="744"/>
      <c r="B18" s="1213"/>
      <c r="C18" s="305"/>
      <c r="D18" s="305"/>
      <c r="E18" s="305"/>
      <c r="F18" s="305"/>
      <c r="G18" s="305"/>
      <c r="H18" s="305"/>
      <c r="I18" s="305"/>
      <c r="J18" s="305"/>
      <c r="K18" s="305"/>
      <c r="L18" s="305"/>
      <c r="M18" s="305"/>
      <c r="N18" s="305"/>
    </row>
    <row r="19" spans="1:14" x14ac:dyDescent="0.25">
      <c r="A19" s="744"/>
      <c r="B19" s="1213"/>
      <c r="C19" s="305"/>
      <c r="D19" s="305"/>
      <c r="E19" s="305"/>
      <c r="F19" s="305"/>
      <c r="G19" s="305"/>
      <c r="H19" s="305"/>
      <c r="I19" s="305"/>
      <c r="J19" s="305"/>
      <c r="K19" s="305"/>
      <c r="L19" s="305"/>
      <c r="M19" s="305"/>
      <c r="N19" s="305"/>
    </row>
    <row r="20" spans="1:14" x14ac:dyDescent="0.25">
      <c r="A20" s="744"/>
      <c r="B20" s="1213"/>
      <c r="C20" s="305"/>
      <c r="D20" s="305"/>
      <c r="E20" s="305"/>
      <c r="F20" s="305"/>
      <c r="G20" s="305"/>
      <c r="H20" s="305"/>
      <c r="I20" s="305"/>
      <c r="J20" s="305"/>
      <c r="K20" s="305"/>
      <c r="L20" s="305"/>
      <c r="M20" s="305"/>
      <c r="N20" s="305"/>
    </row>
    <row r="21" spans="1:14" x14ac:dyDescent="0.25">
      <c r="A21" s="744"/>
      <c r="B21" s="1213"/>
      <c r="C21" s="305"/>
      <c r="D21" s="305"/>
      <c r="E21" s="305"/>
      <c r="F21" s="305"/>
      <c r="G21" s="305"/>
      <c r="H21" s="305"/>
      <c r="I21" s="305"/>
      <c r="J21" s="305"/>
      <c r="K21" s="305"/>
      <c r="L21" s="305"/>
      <c r="M21" s="305"/>
      <c r="N21" s="305"/>
    </row>
    <row r="22" spans="1:14" x14ac:dyDescent="0.25">
      <c r="A22" s="744"/>
      <c r="B22" s="1214"/>
      <c r="C22" s="305"/>
      <c r="D22" s="305"/>
      <c r="E22" s="305"/>
      <c r="F22" s="305"/>
      <c r="G22" s="305"/>
      <c r="H22" s="305"/>
      <c r="I22" s="305"/>
      <c r="J22" s="305"/>
      <c r="K22" s="305"/>
      <c r="L22" s="305"/>
      <c r="M22" s="305"/>
      <c r="N22" s="305"/>
    </row>
    <row r="23" spans="1:14" x14ac:dyDescent="0.25">
      <c r="A23" s="744"/>
      <c r="B23" s="1213"/>
      <c r="C23" s="305"/>
      <c r="D23" s="305"/>
      <c r="E23" s="305"/>
      <c r="F23" s="305"/>
      <c r="G23" s="305"/>
      <c r="H23" s="305"/>
      <c r="I23" s="305"/>
      <c r="J23" s="305"/>
      <c r="K23" s="305"/>
      <c r="L23" s="305"/>
      <c r="M23" s="305"/>
      <c r="N23" s="305"/>
    </row>
    <row r="24" spans="1:14" x14ac:dyDescent="0.25">
      <c r="A24" s="744"/>
      <c r="B24" s="1213"/>
      <c r="C24" s="305"/>
      <c r="D24" s="305"/>
      <c r="E24" s="305"/>
      <c r="F24" s="305"/>
      <c r="G24" s="305"/>
      <c r="H24" s="305"/>
      <c r="I24" s="305"/>
      <c r="J24" s="305"/>
      <c r="K24" s="305"/>
      <c r="L24" s="305"/>
      <c r="M24" s="305"/>
      <c r="N24" s="305"/>
    </row>
    <row r="25" spans="1:14" x14ac:dyDescent="0.25">
      <c r="A25" s="744"/>
      <c r="B25" s="1213"/>
      <c r="C25" s="305"/>
      <c r="D25" s="305"/>
      <c r="E25" s="305"/>
      <c r="F25" s="305"/>
      <c r="G25" s="305"/>
      <c r="H25" s="305"/>
      <c r="I25" s="305"/>
      <c r="J25" s="305"/>
      <c r="K25" s="305"/>
      <c r="L25" s="305"/>
      <c r="M25" s="305"/>
      <c r="N25" s="305"/>
    </row>
    <row r="26" spans="1:14" x14ac:dyDescent="0.25">
      <c r="A26" s="744"/>
      <c r="B26" s="1217"/>
      <c r="C26" s="305"/>
      <c r="D26" s="305"/>
      <c r="E26" s="305"/>
      <c r="F26" s="305"/>
      <c r="G26" s="305"/>
      <c r="H26" s="305"/>
      <c r="I26" s="305"/>
      <c r="J26" s="305"/>
      <c r="K26" s="305"/>
      <c r="L26" s="305"/>
      <c r="M26" s="305"/>
      <c r="N26" s="305"/>
    </row>
    <row r="27" spans="1:14" x14ac:dyDescent="0.25">
      <c r="A27" s="744"/>
      <c r="B27" s="1221"/>
      <c r="C27" s="305"/>
      <c r="D27" s="305"/>
      <c r="E27" s="305"/>
      <c r="F27" s="305"/>
      <c r="G27" s="305"/>
      <c r="H27" s="305"/>
      <c r="I27" s="305"/>
      <c r="J27" s="305"/>
      <c r="K27" s="305"/>
      <c r="L27" s="305"/>
      <c r="M27" s="305"/>
      <c r="N27" s="305"/>
    </row>
    <row r="28" spans="1:14" x14ac:dyDescent="0.25">
      <c r="A28" s="744"/>
      <c r="B28" s="1213"/>
      <c r="C28" s="305"/>
      <c r="D28" s="305"/>
      <c r="E28" s="305"/>
      <c r="F28" s="305"/>
      <c r="G28" s="305"/>
      <c r="H28" s="305"/>
      <c r="I28" s="305"/>
      <c r="J28" s="305"/>
      <c r="K28" s="305"/>
      <c r="L28" s="305"/>
      <c r="M28" s="305"/>
      <c r="N28" s="305"/>
    </row>
    <row r="29" spans="1:14" x14ac:dyDescent="0.25">
      <c r="A29" s="744"/>
      <c r="B29" s="1213"/>
      <c r="C29" s="305"/>
      <c r="D29" s="305"/>
      <c r="E29" s="305"/>
      <c r="F29" s="305"/>
      <c r="G29" s="305"/>
      <c r="H29" s="305"/>
      <c r="I29" s="305"/>
      <c r="J29" s="305"/>
      <c r="K29" s="305"/>
      <c r="L29" s="305"/>
      <c r="M29" s="305"/>
      <c r="N29" s="305"/>
    </row>
    <row r="30" spans="1:14" x14ac:dyDescent="0.25">
      <c r="A30" s="744"/>
      <c r="B30" s="1213"/>
      <c r="C30" s="305"/>
      <c r="D30" s="305"/>
      <c r="E30" s="305"/>
      <c r="F30" s="305"/>
      <c r="G30" s="305"/>
      <c r="H30" s="305"/>
      <c r="I30" s="305"/>
      <c r="J30" s="305"/>
      <c r="K30" s="305"/>
      <c r="L30" s="305"/>
      <c r="M30" s="305"/>
      <c r="N30" s="305"/>
    </row>
    <row r="31" spans="1:14" x14ac:dyDescent="0.25">
      <c r="A31" s="744"/>
      <c r="B31" s="1214"/>
      <c r="C31" s="305"/>
      <c r="D31" s="305"/>
      <c r="E31" s="305"/>
      <c r="F31" s="305"/>
      <c r="G31" s="305"/>
      <c r="H31" s="305"/>
      <c r="I31" s="305"/>
      <c r="J31" s="305"/>
      <c r="K31" s="305"/>
      <c r="L31" s="305"/>
      <c r="M31" s="305"/>
      <c r="N31" s="305"/>
    </row>
    <row r="32" spans="1:14" x14ac:dyDescent="0.25">
      <c r="A32" s="744"/>
      <c r="B32" s="1214"/>
      <c r="C32" s="305"/>
      <c r="D32" s="305"/>
      <c r="E32" s="305"/>
      <c r="F32" s="305"/>
      <c r="G32" s="305"/>
      <c r="H32" s="305"/>
      <c r="I32" s="305"/>
      <c r="J32" s="305"/>
      <c r="K32" s="305"/>
      <c r="L32" s="305"/>
      <c r="M32" s="305"/>
      <c r="N32" s="305"/>
    </row>
    <row r="33" spans="1:14" x14ac:dyDescent="0.25">
      <c r="A33" s="744"/>
      <c r="B33" s="1214"/>
      <c r="C33" s="305"/>
      <c r="D33" s="305"/>
      <c r="E33" s="305"/>
      <c r="F33" s="305"/>
      <c r="G33" s="305"/>
      <c r="H33" s="305"/>
      <c r="I33" s="305"/>
      <c r="J33" s="305"/>
      <c r="K33" s="305"/>
      <c r="L33" s="305"/>
      <c r="M33" s="305"/>
      <c r="N33" s="305"/>
    </row>
    <row r="34" spans="1:14" x14ac:dyDescent="0.25">
      <c r="A34" s="744"/>
      <c r="B34" s="1214"/>
      <c r="C34" s="305"/>
      <c r="D34" s="305"/>
      <c r="E34" s="305"/>
      <c r="F34" s="305"/>
      <c r="G34" s="305"/>
      <c r="H34" s="305"/>
      <c r="I34" s="305"/>
      <c r="J34" s="305"/>
      <c r="K34" s="305"/>
      <c r="L34" s="305"/>
      <c r="M34" s="305"/>
      <c r="N34" s="305"/>
    </row>
    <row r="35" spans="1:14" x14ac:dyDescent="0.25">
      <c r="A35" s="744"/>
      <c r="B35" s="1215"/>
      <c r="C35" s="305"/>
      <c r="D35" s="305"/>
      <c r="E35" s="305"/>
      <c r="F35" s="305"/>
      <c r="G35" s="305"/>
      <c r="H35" s="305"/>
      <c r="I35" s="305"/>
      <c r="J35" s="305"/>
      <c r="K35" s="305"/>
      <c r="L35" s="305"/>
      <c r="M35" s="305"/>
      <c r="N35" s="305"/>
    </row>
    <row r="36" spans="1:14" x14ac:dyDescent="0.25">
      <c r="A36" s="744"/>
      <c r="B36" s="1216"/>
      <c r="C36" s="305"/>
      <c r="D36" s="305"/>
      <c r="E36" s="305"/>
      <c r="F36" s="305"/>
      <c r="G36" s="305"/>
      <c r="H36" s="305"/>
      <c r="I36" s="305"/>
      <c r="J36" s="305"/>
      <c r="K36" s="305"/>
      <c r="L36" s="305"/>
      <c r="M36" s="305"/>
      <c r="N36" s="305"/>
    </row>
    <row r="37" spans="1:14" x14ac:dyDescent="0.25">
      <c r="A37" s="744"/>
      <c r="B37" s="1213"/>
      <c r="C37" s="305"/>
      <c r="D37" s="305"/>
      <c r="E37" s="305"/>
      <c r="F37" s="305"/>
      <c r="G37" s="305"/>
      <c r="H37" s="305"/>
      <c r="I37" s="305"/>
      <c r="J37" s="305"/>
      <c r="K37" s="305"/>
      <c r="L37" s="305"/>
      <c r="M37" s="305"/>
      <c r="N37" s="305"/>
    </row>
    <row r="38" spans="1:14" x14ac:dyDescent="0.25">
      <c r="A38" s="744"/>
      <c r="B38" s="1213"/>
      <c r="C38" s="305"/>
      <c r="D38" s="305"/>
      <c r="E38" s="305"/>
      <c r="F38" s="305"/>
      <c r="G38" s="305"/>
      <c r="H38" s="305"/>
      <c r="I38" s="305"/>
      <c r="J38" s="305"/>
      <c r="K38" s="305"/>
      <c r="L38" s="305"/>
      <c r="M38" s="305"/>
      <c r="N38" s="305"/>
    </row>
    <row r="39" spans="1:14" x14ac:dyDescent="0.25">
      <c r="A39" s="744"/>
      <c r="B39" s="1213"/>
      <c r="C39" s="305"/>
      <c r="D39" s="305"/>
      <c r="E39" s="305"/>
      <c r="F39" s="305"/>
      <c r="G39" s="305"/>
      <c r="H39" s="305"/>
      <c r="I39" s="305"/>
      <c r="J39" s="305"/>
      <c r="K39" s="305"/>
      <c r="L39" s="305"/>
      <c r="M39" s="305"/>
      <c r="N39" s="305"/>
    </row>
    <row r="40" spans="1:14" x14ac:dyDescent="0.25">
      <c r="A40" s="688"/>
      <c r="B40" s="1213"/>
      <c r="C40" s="305"/>
      <c r="D40" s="305"/>
      <c r="E40" s="305"/>
      <c r="F40" s="305"/>
      <c r="G40" s="305"/>
      <c r="H40" s="305"/>
      <c r="I40" s="305"/>
      <c r="J40" s="305"/>
      <c r="K40" s="305"/>
      <c r="L40" s="305"/>
      <c r="M40" s="305"/>
      <c r="N40" s="305"/>
    </row>
    <row r="41" spans="1:14" x14ac:dyDescent="0.25">
      <c r="A41" s="688"/>
      <c r="B41" s="1214"/>
      <c r="C41" s="305"/>
      <c r="D41" s="305"/>
      <c r="E41" s="305"/>
      <c r="F41" s="305"/>
      <c r="G41" s="305"/>
      <c r="H41" s="305"/>
      <c r="I41" s="305"/>
      <c r="J41" s="305"/>
      <c r="K41" s="305"/>
      <c r="L41" s="305"/>
      <c r="M41" s="305"/>
      <c r="N41" s="305"/>
    </row>
    <row r="42" spans="1:14" x14ac:dyDescent="0.25">
      <c r="A42" s="688"/>
      <c r="B42" s="1213"/>
      <c r="C42" s="305"/>
      <c r="D42" s="305"/>
      <c r="E42" s="305"/>
      <c r="F42" s="305"/>
      <c r="G42" s="305"/>
      <c r="H42" s="305"/>
      <c r="I42" s="305"/>
      <c r="J42" s="305"/>
      <c r="K42" s="305"/>
      <c r="L42" s="305"/>
      <c r="M42" s="305"/>
      <c r="N42" s="305"/>
    </row>
    <row r="43" spans="1:14" x14ac:dyDescent="0.25">
      <c r="A43" s="688"/>
      <c r="B43" s="1213"/>
      <c r="C43" s="305"/>
      <c r="D43" s="305"/>
      <c r="E43" s="305"/>
      <c r="F43" s="305"/>
      <c r="G43" s="305"/>
      <c r="H43" s="305"/>
      <c r="I43" s="305"/>
      <c r="J43" s="305"/>
      <c r="K43" s="305"/>
      <c r="L43" s="305"/>
      <c r="M43" s="305"/>
      <c r="N43" s="305"/>
    </row>
    <row r="44" spans="1:14" x14ac:dyDescent="0.25">
      <c r="A44" s="688"/>
      <c r="B44" s="1217"/>
      <c r="C44" s="305"/>
      <c r="D44" s="305"/>
      <c r="E44" s="305"/>
      <c r="F44" s="305"/>
      <c r="G44" s="305"/>
      <c r="H44" s="305"/>
      <c r="I44" s="305"/>
      <c r="J44" s="305"/>
      <c r="K44" s="305"/>
      <c r="L44" s="305"/>
      <c r="M44" s="305"/>
      <c r="N44" s="305"/>
    </row>
    <row r="45" spans="1:14" x14ac:dyDescent="0.25">
      <c r="A45" s="688"/>
      <c r="B45" s="1218"/>
      <c r="C45" s="305"/>
      <c r="D45" s="305"/>
      <c r="E45" s="305"/>
      <c r="F45" s="305"/>
      <c r="G45" s="305"/>
      <c r="H45" s="305"/>
      <c r="I45" s="305"/>
      <c r="J45" s="305"/>
      <c r="K45" s="305"/>
      <c r="L45" s="305"/>
      <c r="M45" s="305"/>
      <c r="N45" s="305"/>
    </row>
    <row r="46" spans="1:14" x14ac:dyDescent="0.25">
      <c r="A46" s="744"/>
      <c r="B46" s="305"/>
      <c r="C46" s="305"/>
      <c r="D46" s="305"/>
      <c r="E46" s="305"/>
      <c r="F46" s="305"/>
      <c r="G46" s="305"/>
      <c r="H46" s="305"/>
      <c r="I46" s="305"/>
      <c r="J46" s="305"/>
      <c r="K46" s="305"/>
      <c r="L46" s="305"/>
      <c r="M46" s="305"/>
      <c r="N46" s="305"/>
    </row>
    <row r="47" spans="1:14" x14ac:dyDescent="0.25">
      <c r="A47" s="744"/>
      <c r="B47" s="305"/>
      <c r="C47" s="305"/>
      <c r="D47" s="305"/>
      <c r="E47" s="305"/>
      <c r="F47" s="305"/>
      <c r="G47" s="305"/>
      <c r="H47" s="305"/>
      <c r="I47" s="305"/>
      <c r="J47" s="305"/>
      <c r="K47" s="305"/>
      <c r="L47" s="305"/>
      <c r="M47" s="305"/>
      <c r="N47" s="305"/>
    </row>
    <row r="48" spans="1:14" x14ac:dyDescent="0.25">
      <c r="A48" s="744"/>
      <c r="B48" s="305"/>
      <c r="C48" s="305"/>
      <c r="D48" s="305"/>
      <c r="E48" s="305"/>
      <c r="F48" s="305"/>
      <c r="G48" s="305"/>
      <c r="H48" s="305"/>
      <c r="I48" s="305"/>
      <c r="J48" s="305"/>
      <c r="K48" s="305"/>
      <c r="L48" s="305"/>
      <c r="M48" s="305"/>
      <c r="N48" s="305"/>
    </row>
    <row r="49" spans="1:14" x14ac:dyDescent="0.25">
      <c r="A49" s="744"/>
      <c r="B49" s="305"/>
      <c r="C49" s="305"/>
      <c r="D49" s="305"/>
      <c r="E49" s="305"/>
      <c r="F49" s="305"/>
      <c r="G49" s="305"/>
      <c r="H49" s="305"/>
      <c r="I49" s="305"/>
      <c r="J49" s="305"/>
      <c r="K49" s="305"/>
      <c r="L49" s="305"/>
      <c r="M49" s="305"/>
      <c r="N49" s="305"/>
    </row>
    <row r="50" spans="1:14" x14ac:dyDescent="0.25">
      <c r="A50" s="744"/>
      <c r="B50" s="305"/>
      <c r="C50" s="305"/>
      <c r="D50" s="305"/>
      <c r="E50" s="305"/>
      <c r="F50" s="305"/>
      <c r="G50" s="305"/>
      <c r="H50" s="305"/>
      <c r="I50" s="305"/>
      <c r="J50" s="305"/>
      <c r="K50" s="305"/>
      <c r="L50" s="305"/>
      <c r="M50" s="305"/>
      <c r="N50" s="305"/>
    </row>
    <row r="51" spans="1:14" x14ac:dyDescent="0.25">
      <c r="A51" s="744"/>
      <c r="B51" s="305"/>
      <c r="C51" s="305"/>
      <c r="D51" s="305"/>
      <c r="E51" s="305"/>
      <c r="F51" s="305"/>
      <c r="G51" s="305"/>
      <c r="H51" s="305"/>
      <c r="I51" s="305"/>
      <c r="J51" s="305"/>
      <c r="K51" s="305"/>
      <c r="L51" s="305"/>
      <c r="M51" s="305"/>
      <c r="N51" s="305"/>
    </row>
    <row r="52" spans="1:14" x14ac:dyDescent="0.25">
      <c r="A52" s="744"/>
      <c r="B52" s="305"/>
      <c r="C52" s="305"/>
      <c r="D52" s="305"/>
      <c r="E52" s="305"/>
      <c r="F52" s="305"/>
      <c r="G52" s="305"/>
      <c r="H52" s="305"/>
      <c r="I52" s="305"/>
      <c r="J52" s="305"/>
      <c r="K52" s="305"/>
      <c r="L52" s="305"/>
      <c r="M52" s="305"/>
      <c r="N52" s="305"/>
    </row>
    <row r="53" spans="1:14" x14ac:dyDescent="0.25">
      <c r="A53" s="744"/>
      <c r="B53" s="305"/>
      <c r="C53" s="305"/>
      <c r="D53" s="305"/>
      <c r="E53" s="305"/>
      <c r="F53" s="305"/>
      <c r="G53" s="305"/>
      <c r="H53" s="305"/>
      <c r="I53" s="305"/>
      <c r="J53" s="305"/>
      <c r="K53" s="305"/>
      <c r="L53" s="305"/>
      <c r="M53" s="305"/>
      <c r="N53" s="305"/>
    </row>
    <row r="54" spans="1:14" x14ac:dyDescent="0.25">
      <c r="A54" s="744"/>
      <c r="B54" s="305"/>
      <c r="C54" s="305"/>
      <c r="D54" s="305"/>
      <c r="E54" s="305"/>
      <c r="F54" s="305"/>
      <c r="G54" s="305"/>
      <c r="H54" s="305"/>
      <c r="I54" s="305"/>
      <c r="J54" s="305"/>
      <c r="K54" s="305"/>
      <c r="L54" s="305"/>
      <c r="M54" s="305"/>
      <c r="N54" s="305"/>
    </row>
    <row r="55" spans="1:14" x14ac:dyDescent="0.25">
      <c r="A55" s="744"/>
      <c r="B55" s="305"/>
      <c r="C55" s="305"/>
      <c r="D55" s="305"/>
      <c r="E55" s="305"/>
      <c r="F55" s="305"/>
      <c r="G55" s="305"/>
      <c r="H55" s="305"/>
      <c r="I55" s="305"/>
      <c r="J55" s="305"/>
      <c r="K55" s="305"/>
      <c r="L55" s="305"/>
      <c r="M55" s="305"/>
      <c r="N55" s="305"/>
    </row>
    <row r="56" spans="1:14" x14ac:dyDescent="0.25">
      <c r="A56" s="744"/>
      <c r="B56" s="305"/>
      <c r="C56" s="305"/>
      <c r="D56" s="305"/>
      <c r="E56" s="305"/>
      <c r="F56" s="305"/>
      <c r="G56" s="305"/>
      <c r="H56" s="305"/>
      <c r="I56" s="305"/>
      <c r="J56" s="305"/>
      <c r="K56" s="305"/>
      <c r="L56" s="305"/>
      <c r="M56" s="305"/>
      <c r="N56" s="305"/>
    </row>
    <row r="57" spans="1:14" x14ac:dyDescent="0.25">
      <c r="A57" s="744"/>
      <c r="B57" s="305"/>
      <c r="C57" s="305"/>
      <c r="D57" s="305"/>
      <c r="E57" s="305"/>
      <c r="F57" s="305"/>
      <c r="G57" s="305"/>
      <c r="H57" s="305"/>
      <c r="I57" s="305"/>
      <c r="J57" s="305"/>
      <c r="K57" s="305"/>
      <c r="L57" s="305"/>
      <c r="M57" s="305"/>
      <c r="N57" s="305"/>
    </row>
    <row r="58" spans="1:14" x14ac:dyDescent="0.25">
      <c r="A58" s="744"/>
      <c r="B58" s="305"/>
      <c r="C58" s="305"/>
      <c r="D58" s="305"/>
      <c r="E58" s="305"/>
      <c r="F58" s="305"/>
      <c r="G58" s="305"/>
      <c r="H58" s="305"/>
      <c r="I58" s="305"/>
      <c r="J58" s="305"/>
      <c r="K58" s="305"/>
      <c r="L58" s="305"/>
      <c r="M58" s="305"/>
      <c r="N58" s="305"/>
    </row>
    <row r="59" spans="1:14" x14ac:dyDescent="0.25">
      <c r="A59" s="744"/>
      <c r="B59" s="305"/>
      <c r="C59" s="305"/>
      <c r="D59" s="305"/>
      <c r="E59" s="305"/>
      <c r="F59" s="305"/>
      <c r="G59" s="305"/>
      <c r="H59" s="305"/>
      <c r="I59" s="305"/>
      <c r="J59" s="305"/>
      <c r="K59" s="305"/>
      <c r="L59" s="305"/>
      <c r="M59" s="305"/>
      <c r="N59" s="305"/>
    </row>
    <row r="60" spans="1:14" x14ac:dyDescent="0.25">
      <c r="A60" s="744"/>
      <c r="B60" s="305"/>
      <c r="C60" s="305"/>
      <c r="D60" s="305"/>
      <c r="E60" s="305"/>
      <c r="F60" s="305"/>
      <c r="G60" s="305"/>
      <c r="H60" s="305"/>
      <c r="I60" s="305"/>
      <c r="J60" s="305"/>
      <c r="K60" s="305"/>
      <c r="L60" s="305"/>
      <c r="M60" s="305"/>
      <c r="N60" s="305"/>
    </row>
    <row r="61" spans="1:14" x14ac:dyDescent="0.25">
      <c r="A61" s="744"/>
      <c r="B61" s="305"/>
    </row>
    <row r="62" spans="1:14" x14ac:dyDescent="0.25">
      <c r="A62" s="744"/>
      <c r="B62" s="305"/>
    </row>
    <row r="63" spans="1:14" x14ac:dyDescent="0.25">
      <c r="A63" s="744"/>
      <c r="B63" s="305"/>
    </row>
    <row r="64" spans="1:14" x14ac:dyDescent="0.25">
      <c r="A64" s="744"/>
      <c r="B64" s="305"/>
    </row>
    <row r="65" spans="1:2" x14ac:dyDescent="0.25">
      <c r="A65" s="744"/>
      <c r="B65" s="305"/>
    </row>
    <row r="66" spans="1:2" x14ac:dyDescent="0.25">
      <c r="A66" s="744"/>
      <c r="B66" s="305"/>
    </row>
    <row r="67" spans="1:2" x14ac:dyDescent="0.25">
      <c r="A67" s="744"/>
      <c r="B67" s="305"/>
    </row>
    <row r="68" spans="1:2" x14ac:dyDescent="0.25">
      <c r="A68" s="744"/>
      <c r="B68" s="305"/>
    </row>
    <row r="69" spans="1:2" x14ac:dyDescent="0.25">
      <c r="A69" s="744"/>
      <c r="B69" s="305"/>
    </row>
    <row r="70" spans="1:2" x14ac:dyDescent="0.25">
      <c r="A70" s="744"/>
      <c r="B70" s="305"/>
    </row>
  </sheetData>
  <sheetProtection password="DFD3" sheet="1" objects="1" scenario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B050"/>
    <pageSetUpPr fitToPage="1"/>
  </sheetPr>
  <dimension ref="A1:AD25"/>
  <sheetViews>
    <sheetView showGridLines="0" zoomScale="75" zoomScaleNormal="75" workbookViewId="0">
      <selection activeCell="B36" sqref="B36:B37"/>
    </sheetView>
  </sheetViews>
  <sheetFormatPr defaultRowHeight="15" x14ac:dyDescent="0.25"/>
  <sheetData>
    <row r="1" spans="1:30" ht="17.25" customHeight="1" x14ac:dyDescent="0.3">
      <c r="W1" s="36"/>
      <c r="X1" s="216"/>
      <c r="Y1" s="36"/>
      <c r="Z1" s="36"/>
      <c r="AA1" s="33"/>
      <c r="AB1" s="33"/>
      <c r="AC1" s="33"/>
      <c r="AD1" s="34"/>
    </row>
    <row r="2" spans="1:30" x14ac:dyDescent="0.25">
      <c r="A2" s="108"/>
      <c r="B2" s="108"/>
      <c r="AA2" s="35"/>
      <c r="AB2" s="36"/>
      <c r="AC2" s="36"/>
      <c r="AD2" s="37"/>
    </row>
    <row r="3" spans="1:30" x14ac:dyDescent="0.25">
      <c r="A3" s="108"/>
      <c r="B3" s="108"/>
      <c r="AA3" s="35"/>
      <c r="AB3" s="36"/>
      <c r="AC3" s="36"/>
      <c r="AD3" s="37"/>
    </row>
    <row r="4" spans="1:30" x14ac:dyDescent="0.25">
      <c r="A4" s="108"/>
      <c r="B4" s="108"/>
      <c r="AA4" s="35"/>
      <c r="AB4" s="36"/>
      <c r="AC4" s="36"/>
      <c r="AD4" s="37"/>
    </row>
    <row r="5" spans="1:30" x14ac:dyDescent="0.25">
      <c r="A5" s="108"/>
      <c r="B5" s="108"/>
      <c r="AA5" s="35"/>
      <c r="AB5" s="36"/>
      <c r="AC5" s="36"/>
      <c r="AD5" s="37"/>
    </row>
    <row r="6" spans="1:30" x14ac:dyDescent="0.25">
      <c r="AA6" s="35"/>
      <c r="AB6" s="36"/>
      <c r="AC6" s="36"/>
      <c r="AD6" s="37"/>
    </row>
    <row r="7" spans="1:30" x14ac:dyDescent="0.25">
      <c r="AA7" s="35"/>
      <c r="AB7" s="36"/>
      <c r="AC7" s="36"/>
      <c r="AD7" s="37"/>
    </row>
    <row r="8" spans="1:30" x14ac:dyDescent="0.25">
      <c r="AA8" s="35"/>
      <c r="AB8" s="36"/>
      <c r="AC8" s="36"/>
      <c r="AD8" s="37"/>
    </row>
    <row r="9" spans="1:30" x14ac:dyDescent="0.25">
      <c r="AA9" s="35"/>
      <c r="AB9" s="36"/>
      <c r="AC9" s="36"/>
      <c r="AD9" s="37"/>
    </row>
    <row r="10" spans="1:30" x14ac:dyDescent="0.25">
      <c r="AA10" s="35"/>
      <c r="AB10" s="36"/>
      <c r="AC10" s="36"/>
      <c r="AD10" s="37"/>
    </row>
    <row r="11" spans="1:30" x14ac:dyDescent="0.25">
      <c r="AA11" s="35"/>
      <c r="AB11" s="36"/>
      <c r="AC11" s="36"/>
      <c r="AD11" s="37"/>
    </row>
    <row r="12" spans="1:30" x14ac:dyDescent="0.25">
      <c r="AA12" s="35"/>
      <c r="AB12" s="36"/>
      <c r="AC12" s="36"/>
      <c r="AD12" s="37"/>
    </row>
    <row r="13" spans="1:30" x14ac:dyDescent="0.25">
      <c r="AA13" s="35"/>
      <c r="AB13" s="36"/>
      <c r="AC13" s="36"/>
      <c r="AD13" s="37"/>
    </row>
    <row r="14" spans="1:30" x14ac:dyDescent="0.25">
      <c r="AA14" s="35"/>
      <c r="AB14" s="36"/>
      <c r="AC14" s="36"/>
      <c r="AD14" s="37"/>
    </row>
    <row r="15" spans="1:30" x14ac:dyDescent="0.25">
      <c r="AA15" s="35"/>
      <c r="AB15" s="36"/>
      <c r="AC15" s="36"/>
      <c r="AD15" s="37"/>
    </row>
    <row r="16" spans="1:30" x14ac:dyDescent="0.25">
      <c r="AA16" s="35"/>
      <c r="AB16" s="36"/>
      <c r="AC16" s="36"/>
      <c r="AD16" s="37"/>
    </row>
    <row r="17" spans="27:30" x14ac:dyDescent="0.25">
      <c r="AA17" s="35"/>
      <c r="AB17" s="36"/>
      <c r="AC17" s="36"/>
      <c r="AD17" s="37"/>
    </row>
    <row r="18" spans="27:30" x14ac:dyDescent="0.25">
      <c r="AA18" s="35"/>
      <c r="AB18" s="36"/>
      <c r="AC18" s="36"/>
      <c r="AD18" s="37"/>
    </row>
    <row r="19" spans="27:30" x14ac:dyDescent="0.25">
      <c r="AA19" s="35"/>
      <c r="AB19" s="36"/>
      <c r="AC19" s="36"/>
      <c r="AD19" s="37"/>
    </row>
    <row r="20" spans="27:30" x14ac:dyDescent="0.25">
      <c r="AA20" s="35"/>
      <c r="AB20" s="36"/>
      <c r="AC20" s="36"/>
      <c r="AD20" s="37"/>
    </row>
    <row r="21" spans="27:30" x14ac:dyDescent="0.25">
      <c r="AA21" s="35"/>
      <c r="AB21" s="36"/>
      <c r="AC21" s="36"/>
      <c r="AD21" s="37"/>
    </row>
    <row r="22" spans="27:30" x14ac:dyDescent="0.25">
      <c r="AA22" s="35"/>
      <c r="AB22" s="36"/>
      <c r="AC22" s="36"/>
      <c r="AD22" s="37"/>
    </row>
    <row r="23" spans="27:30" x14ac:dyDescent="0.25">
      <c r="AA23" s="35"/>
      <c r="AB23" s="36"/>
      <c r="AC23" s="36"/>
      <c r="AD23" s="37"/>
    </row>
    <row r="24" spans="27:30" x14ac:dyDescent="0.25">
      <c r="AA24" s="35"/>
      <c r="AB24" s="36"/>
      <c r="AC24" s="36"/>
      <c r="AD24" s="37"/>
    </row>
    <row r="25" spans="27:30" ht="15.75" thickBot="1" x14ac:dyDescent="0.3">
      <c r="AA25" s="38"/>
      <c r="AB25" s="39"/>
      <c r="AC25" s="39"/>
      <c r="AD25" s="40"/>
    </row>
  </sheetData>
  <sheetProtection password="DFD3" sheet="1" objects="1" scenarios="1"/>
  <pageMargins left="0.7" right="0.7" top="0.75" bottom="0.75" header="0.3" footer="0.3"/>
  <pageSetup scale="54"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00B050"/>
  </sheetPr>
  <dimension ref="A1:N100"/>
  <sheetViews>
    <sheetView workbookViewId="0">
      <selection activeCell="D2" sqref="D2"/>
    </sheetView>
  </sheetViews>
  <sheetFormatPr defaultColWidth="9.140625" defaultRowHeight="15" x14ac:dyDescent="0.25"/>
  <cols>
    <col min="1" max="1" width="9.140625" style="1230"/>
    <col min="2" max="2" width="191.42578125" style="1205" customWidth="1"/>
    <col min="3" max="16384" width="9.140625" style="1205"/>
  </cols>
  <sheetData>
    <row r="1" spans="1:14" x14ac:dyDescent="0.25">
      <c r="A1" s="305"/>
      <c r="B1" s="291"/>
      <c r="C1" s="305"/>
      <c r="D1" s="99"/>
      <c r="E1" s="99"/>
      <c r="F1" s="99"/>
      <c r="G1" s="99"/>
      <c r="H1" s="99"/>
      <c r="I1" s="99"/>
      <c r="J1" s="99"/>
      <c r="K1" s="99"/>
      <c r="L1" s="99"/>
      <c r="M1" s="99"/>
      <c r="N1" s="99"/>
    </row>
    <row r="2" spans="1:14" ht="23.25" x14ac:dyDescent="0.35">
      <c r="A2" s="305"/>
      <c r="B2" s="292" t="s">
        <v>725</v>
      </c>
      <c r="C2" s="305"/>
      <c r="D2" s="99"/>
      <c r="E2" s="99"/>
      <c r="F2" s="99"/>
      <c r="G2" s="99"/>
      <c r="H2" s="99"/>
      <c r="I2" s="99"/>
      <c r="J2" s="99"/>
      <c r="K2" s="99"/>
      <c r="L2" s="99"/>
      <c r="M2" s="99"/>
      <c r="N2" s="99"/>
    </row>
    <row r="3" spans="1:14" x14ac:dyDescent="0.25">
      <c r="A3" s="305"/>
      <c r="B3" s="291"/>
      <c r="C3" s="305"/>
      <c r="D3" s="99"/>
      <c r="E3" s="99"/>
      <c r="F3" s="99"/>
      <c r="G3" s="99"/>
      <c r="H3" s="99"/>
      <c r="I3" s="99"/>
      <c r="J3" s="99"/>
      <c r="K3" s="99"/>
      <c r="L3" s="99"/>
      <c r="M3" s="99"/>
      <c r="N3" s="99"/>
    </row>
    <row r="4" spans="1:14" ht="23.25" x14ac:dyDescent="0.35">
      <c r="A4" s="305"/>
      <c r="B4" s="292" t="s">
        <v>714</v>
      </c>
      <c r="C4" s="305"/>
      <c r="D4" s="99"/>
      <c r="E4" s="99"/>
      <c r="F4" s="99"/>
      <c r="G4" s="99"/>
      <c r="H4" s="99"/>
      <c r="I4" s="99"/>
      <c r="J4" s="99"/>
      <c r="K4" s="99"/>
      <c r="L4" s="99"/>
      <c r="M4" s="99"/>
      <c r="N4" s="99"/>
    </row>
    <row r="5" spans="1:14" ht="23.25" x14ac:dyDescent="0.35">
      <c r="A5" s="305"/>
      <c r="B5" s="292"/>
      <c r="C5" s="305"/>
      <c r="D5" s="99"/>
      <c r="E5" s="99"/>
      <c r="F5" s="99"/>
      <c r="G5" s="99"/>
      <c r="H5" s="99"/>
      <c r="I5" s="99"/>
      <c r="J5" s="99"/>
      <c r="K5" s="99"/>
      <c r="L5" s="99"/>
      <c r="M5" s="99"/>
      <c r="N5" s="99"/>
    </row>
    <row r="6" spans="1:14" ht="20.25" x14ac:dyDescent="0.3">
      <c r="A6" s="305"/>
      <c r="B6" s="293" t="s">
        <v>686</v>
      </c>
      <c r="C6" s="305"/>
      <c r="D6" s="99"/>
      <c r="E6" s="99"/>
      <c r="F6" s="99"/>
      <c r="G6" s="99"/>
      <c r="H6" s="99"/>
      <c r="I6" s="99"/>
      <c r="J6" s="99"/>
      <c r="K6" s="99"/>
      <c r="L6" s="99"/>
      <c r="M6" s="99"/>
      <c r="N6" s="99"/>
    </row>
    <row r="7" spans="1:14" x14ac:dyDescent="0.25">
      <c r="A7" s="305"/>
      <c r="B7" s="291"/>
      <c r="C7" s="305"/>
      <c r="D7" s="99"/>
      <c r="E7" s="99"/>
      <c r="F7" s="99"/>
      <c r="G7" s="99"/>
      <c r="H7" s="99"/>
      <c r="I7" s="99"/>
      <c r="J7" s="99"/>
      <c r="K7" s="99"/>
      <c r="L7" s="99"/>
      <c r="M7" s="99"/>
      <c r="N7" s="99"/>
    </row>
    <row r="8" spans="1:14" x14ac:dyDescent="0.25">
      <c r="A8" s="614"/>
      <c r="B8" s="1234"/>
      <c r="C8" s="614"/>
    </row>
    <row r="9" spans="1:14" x14ac:dyDescent="0.25">
      <c r="A9" s="614"/>
      <c r="B9" s="1235" t="s">
        <v>687</v>
      </c>
      <c r="C9" s="614"/>
    </row>
    <row r="10" spans="1:14" x14ac:dyDescent="0.25">
      <c r="A10" s="614"/>
      <c r="B10" s="1236" t="s">
        <v>1366</v>
      </c>
      <c r="C10" s="614"/>
    </row>
    <row r="11" spans="1:14" x14ac:dyDescent="0.25">
      <c r="A11" s="614"/>
      <c r="B11" s="1236" t="s">
        <v>1143</v>
      </c>
      <c r="C11" s="614"/>
    </row>
    <row r="12" spans="1:14" x14ac:dyDescent="0.25">
      <c r="A12" s="614"/>
      <c r="B12" s="1236" t="s">
        <v>1144</v>
      </c>
      <c r="C12" s="614"/>
    </row>
    <row r="13" spans="1:14" x14ac:dyDescent="0.25">
      <c r="A13" s="614"/>
      <c r="B13" s="1237"/>
      <c r="C13" s="614"/>
    </row>
    <row r="14" spans="1:14" x14ac:dyDescent="0.25">
      <c r="A14" s="614"/>
      <c r="B14" s="1235" t="s">
        <v>694</v>
      </c>
      <c r="C14" s="614"/>
    </row>
    <row r="15" spans="1:14" x14ac:dyDescent="0.25">
      <c r="A15" s="614"/>
      <c r="B15" s="1236" t="s">
        <v>1145</v>
      </c>
      <c r="C15" s="614"/>
    </row>
    <row r="16" spans="1:14" x14ac:dyDescent="0.25">
      <c r="A16" s="614"/>
      <c r="B16" s="1236" t="s">
        <v>1146</v>
      </c>
      <c r="C16" s="614"/>
    </row>
    <row r="17" spans="1:3" x14ac:dyDescent="0.25">
      <c r="A17" s="614"/>
      <c r="B17" s="1236"/>
      <c r="C17" s="614"/>
    </row>
    <row r="18" spans="1:3" x14ac:dyDescent="0.25">
      <c r="A18" s="614"/>
      <c r="B18" s="1235" t="s">
        <v>690</v>
      </c>
      <c r="C18" s="614"/>
    </row>
    <row r="19" spans="1:3" x14ac:dyDescent="0.25">
      <c r="A19" s="614"/>
      <c r="B19" s="1236" t="s">
        <v>1147</v>
      </c>
      <c r="C19" s="614"/>
    </row>
    <row r="20" spans="1:3" x14ac:dyDescent="0.25">
      <c r="A20" s="614"/>
      <c r="B20" s="1236" t="s">
        <v>1148</v>
      </c>
      <c r="C20" s="614"/>
    </row>
    <row r="21" spans="1:3" x14ac:dyDescent="0.25">
      <c r="A21" s="614"/>
      <c r="B21" s="1238"/>
      <c r="C21" s="614"/>
    </row>
    <row r="22" spans="1:3" x14ac:dyDescent="0.25">
      <c r="A22" s="614"/>
      <c r="B22" s="1235" t="s">
        <v>707</v>
      </c>
      <c r="C22" s="614"/>
    </row>
    <row r="23" spans="1:3" x14ac:dyDescent="0.25">
      <c r="A23" s="614"/>
      <c r="B23" s="1235" t="s">
        <v>692</v>
      </c>
      <c r="C23" s="614"/>
    </row>
    <row r="24" spans="1:3" x14ac:dyDescent="0.25">
      <c r="A24" s="614"/>
      <c r="B24" s="1239" t="s">
        <v>1357</v>
      </c>
      <c r="C24" s="614"/>
    </row>
    <row r="25" spans="1:3" x14ac:dyDescent="0.25">
      <c r="A25" s="614"/>
      <c r="B25" s="1240" t="s">
        <v>1358</v>
      </c>
      <c r="C25" s="614"/>
    </row>
    <row r="26" spans="1:3" x14ac:dyDescent="0.25">
      <c r="A26" s="614"/>
      <c r="B26" s="1240" t="s">
        <v>1359</v>
      </c>
      <c r="C26" s="614"/>
    </row>
    <row r="27" spans="1:3" x14ac:dyDescent="0.25">
      <c r="A27" s="614"/>
      <c r="B27" s="1240" t="s">
        <v>1360</v>
      </c>
      <c r="C27" s="614"/>
    </row>
    <row r="28" spans="1:3" x14ac:dyDescent="0.25">
      <c r="A28" s="614"/>
      <c r="B28" s="1237"/>
      <c r="C28" s="614"/>
    </row>
    <row r="29" spans="1:3" x14ac:dyDescent="0.25">
      <c r="A29" s="614"/>
      <c r="B29" s="1235" t="s">
        <v>691</v>
      </c>
      <c r="C29" s="614"/>
    </row>
    <row r="30" spans="1:3" x14ac:dyDescent="0.25">
      <c r="A30" s="614"/>
      <c r="B30" s="1236" t="s">
        <v>1149</v>
      </c>
      <c r="C30" s="614"/>
    </row>
    <row r="31" spans="1:3" x14ac:dyDescent="0.25">
      <c r="A31" s="614"/>
      <c r="B31" s="1236" t="s">
        <v>1334</v>
      </c>
      <c r="C31" s="614"/>
    </row>
    <row r="32" spans="1:3" x14ac:dyDescent="0.25">
      <c r="A32" s="614"/>
      <c r="B32" s="1234"/>
      <c r="C32" s="614"/>
    </row>
    <row r="33" spans="1:3" x14ac:dyDescent="0.25">
      <c r="A33" s="614"/>
      <c r="B33" s="1235" t="s">
        <v>689</v>
      </c>
      <c r="C33" s="614"/>
    </row>
    <row r="34" spans="1:3" x14ac:dyDescent="0.25">
      <c r="A34" s="614"/>
      <c r="B34" s="1237" t="s">
        <v>1361</v>
      </c>
      <c r="C34" s="614"/>
    </row>
    <row r="35" spans="1:3" x14ac:dyDescent="0.25">
      <c r="A35" s="614"/>
      <c r="B35" s="1237" t="s">
        <v>697</v>
      </c>
      <c r="C35" s="614"/>
    </row>
    <row r="36" spans="1:3" x14ac:dyDescent="0.25">
      <c r="A36" s="614"/>
      <c r="B36" s="1237" t="s">
        <v>1362</v>
      </c>
      <c r="C36" s="614"/>
    </row>
    <row r="37" spans="1:3" x14ac:dyDescent="0.25">
      <c r="A37" s="614"/>
      <c r="B37" s="1237" t="s">
        <v>1363</v>
      </c>
      <c r="C37" s="614"/>
    </row>
    <row r="38" spans="1:3" x14ac:dyDescent="0.25">
      <c r="A38" s="614"/>
      <c r="B38" s="1237"/>
      <c r="C38" s="614"/>
    </row>
    <row r="39" spans="1:3" x14ac:dyDescent="0.25">
      <c r="A39" s="614"/>
      <c r="B39" s="1235" t="s">
        <v>702</v>
      </c>
      <c r="C39" s="614"/>
    </row>
    <row r="40" spans="1:3" x14ac:dyDescent="0.25">
      <c r="A40" s="614"/>
      <c r="B40" s="1237" t="s">
        <v>695</v>
      </c>
      <c r="C40" s="614"/>
    </row>
    <row r="41" spans="1:3" x14ac:dyDescent="0.25">
      <c r="A41" s="614"/>
      <c r="B41" s="1237" t="s">
        <v>696</v>
      </c>
      <c r="C41" s="614"/>
    </row>
    <row r="42" spans="1:3" x14ac:dyDescent="0.25">
      <c r="A42" s="614"/>
      <c r="B42" s="1237" t="s">
        <v>713</v>
      </c>
      <c r="C42" s="614"/>
    </row>
    <row r="43" spans="1:3" x14ac:dyDescent="0.25">
      <c r="A43" s="614"/>
      <c r="B43" s="1237"/>
      <c r="C43" s="614"/>
    </row>
    <row r="44" spans="1:3" x14ac:dyDescent="0.25">
      <c r="A44" s="614"/>
      <c r="B44" s="1235" t="s">
        <v>703</v>
      </c>
      <c r="C44" s="614"/>
    </row>
    <row r="45" spans="1:3" x14ac:dyDescent="0.25">
      <c r="A45" s="614"/>
      <c r="B45" s="1237" t="s">
        <v>704</v>
      </c>
      <c r="C45" s="614"/>
    </row>
    <row r="46" spans="1:3" x14ac:dyDescent="0.25">
      <c r="A46" s="614"/>
      <c r="B46" s="1237" t="s">
        <v>1364</v>
      </c>
      <c r="C46" s="614"/>
    </row>
    <row r="47" spans="1:3" x14ac:dyDescent="0.25">
      <c r="A47" s="614"/>
      <c r="B47" s="1237"/>
      <c r="C47" s="614"/>
    </row>
    <row r="48" spans="1:3" x14ac:dyDescent="0.25">
      <c r="A48" s="614"/>
      <c r="B48" s="1235" t="s">
        <v>698</v>
      </c>
      <c r="C48" s="614"/>
    </row>
    <row r="49" spans="1:3" x14ac:dyDescent="0.25">
      <c r="A49" s="614"/>
      <c r="B49" s="1237" t="s">
        <v>699</v>
      </c>
      <c r="C49" s="614"/>
    </row>
    <row r="50" spans="1:3" x14ac:dyDescent="0.25">
      <c r="A50" s="614"/>
      <c r="B50" s="1237" t="s">
        <v>700</v>
      </c>
      <c r="C50" s="614"/>
    </row>
    <row r="51" spans="1:3" x14ac:dyDescent="0.25">
      <c r="A51" s="614"/>
      <c r="B51" s="1237"/>
      <c r="C51" s="614"/>
    </row>
    <row r="52" spans="1:3" x14ac:dyDescent="0.25">
      <c r="A52" s="614"/>
      <c r="B52" s="1235" t="s">
        <v>717</v>
      </c>
      <c r="C52" s="614"/>
    </row>
    <row r="53" spans="1:3" x14ac:dyDescent="0.25">
      <c r="A53" s="614"/>
      <c r="B53" s="1237" t="s">
        <v>718</v>
      </c>
      <c r="C53" s="614"/>
    </row>
    <row r="54" spans="1:3" x14ac:dyDescent="0.25">
      <c r="A54" s="614"/>
      <c r="B54" s="1237" t="s">
        <v>720</v>
      </c>
      <c r="C54" s="614"/>
    </row>
    <row r="55" spans="1:3" x14ac:dyDescent="0.25">
      <c r="A55" s="614"/>
      <c r="B55" s="1237" t="s">
        <v>721</v>
      </c>
      <c r="C55" s="614"/>
    </row>
    <row r="56" spans="1:3" x14ac:dyDescent="0.25">
      <c r="A56" s="614"/>
      <c r="B56" s="1237" t="s">
        <v>722</v>
      </c>
      <c r="C56" s="614"/>
    </row>
    <row r="57" spans="1:3" x14ac:dyDescent="0.25">
      <c r="A57" s="614"/>
      <c r="B57" s="1237" t="s">
        <v>719</v>
      </c>
      <c r="C57" s="614"/>
    </row>
    <row r="58" spans="1:3" x14ac:dyDescent="0.25">
      <c r="A58" s="614"/>
      <c r="B58" s="1237" t="s">
        <v>723</v>
      </c>
      <c r="C58" s="614"/>
    </row>
    <row r="59" spans="1:3" x14ac:dyDescent="0.25">
      <c r="A59" s="614"/>
      <c r="B59" s="1237"/>
      <c r="C59" s="614"/>
    </row>
    <row r="60" spans="1:3" x14ac:dyDescent="0.25">
      <c r="A60" s="614"/>
      <c r="B60" s="1235" t="s">
        <v>708</v>
      </c>
      <c r="C60" s="614"/>
    </row>
    <row r="61" spans="1:3" x14ac:dyDescent="0.25">
      <c r="A61" s="614"/>
      <c r="B61" s="1235" t="s">
        <v>709</v>
      </c>
      <c r="C61" s="614"/>
    </row>
    <row r="62" spans="1:3" x14ac:dyDescent="0.25">
      <c r="A62" s="614"/>
      <c r="B62" s="1237" t="s">
        <v>701</v>
      </c>
      <c r="C62" s="614"/>
    </row>
    <row r="63" spans="1:3" x14ac:dyDescent="0.25">
      <c r="A63" s="614"/>
      <c r="B63" s="1237" t="s">
        <v>706</v>
      </c>
      <c r="C63" s="614"/>
    </row>
    <row r="64" spans="1:3" x14ac:dyDescent="0.25">
      <c r="A64" s="614"/>
      <c r="B64" s="1237" t="s">
        <v>710</v>
      </c>
      <c r="C64" s="614"/>
    </row>
    <row r="65" spans="1:3" x14ac:dyDescent="0.25">
      <c r="A65" s="614"/>
      <c r="B65" s="1237"/>
      <c r="C65" s="614"/>
    </row>
    <row r="66" spans="1:3" x14ac:dyDescent="0.25">
      <c r="A66" s="614"/>
      <c r="B66" s="1235" t="s">
        <v>1350</v>
      </c>
      <c r="C66" s="614"/>
    </row>
    <row r="67" spans="1:3" x14ac:dyDescent="0.25">
      <c r="A67" s="614"/>
      <c r="B67" s="1237" t="s">
        <v>1351</v>
      </c>
      <c r="C67" s="614"/>
    </row>
    <row r="68" spans="1:3" x14ac:dyDescent="0.25">
      <c r="A68" s="614"/>
      <c r="B68" s="1237" t="s">
        <v>1352</v>
      </c>
      <c r="C68" s="614"/>
    </row>
    <row r="69" spans="1:3" x14ac:dyDescent="0.25">
      <c r="A69" s="614"/>
      <c r="B69" s="1237" t="s">
        <v>1353</v>
      </c>
      <c r="C69" s="614"/>
    </row>
    <row r="70" spans="1:3" x14ac:dyDescent="0.25">
      <c r="A70" s="614"/>
      <c r="B70" s="1237"/>
      <c r="C70" s="614"/>
    </row>
    <row r="71" spans="1:3" x14ac:dyDescent="0.25">
      <c r="A71" s="614"/>
      <c r="B71" s="1235" t="s">
        <v>688</v>
      </c>
      <c r="C71" s="614"/>
    </row>
    <row r="72" spans="1:3" x14ac:dyDescent="0.25">
      <c r="A72" s="614"/>
      <c r="B72" s="1237" t="s">
        <v>1354</v>
      </c>
      <c r="C72" s="614"/>
    </row>
    <row r="73" spans="1:3" x14ac:dyDescent="0.25">
      <c r="A73" s="614"/>
      <c r="B73" s="1237" t="s">
        <v>1355</v>
      </c>
      <c r="C73" s="614"/>
    </row>
    <row r="74" spans="1:3" x14ac:dyDescent="0.25">
      <c r="A74" s="614"/>
      <c r="B74" s="1237" t="s">
        <v>1365</v>
      </c>
      <c r="C74" s="614"/>
    </row>
    <row r="75" spans="1:3" x14ac:dyDescent="0.25">
      <c r="A75" s="614"/>
      <c r="B75" s="1237" t="s">
        <v>1356</v>
      </c>
      <c r="C75" s="614"/>
    </row>
    <row r="76" spans="1:3" x14ac:dyDescent="0.25">
      <c r="A76" s="614"/>
      <c r="B76" s="1241"/>
      <c r="C76" s="614"/>
    </row>
    <row r="77" spans="1:3" x14ac:dyDescent="0.25">
      <c r="A77" s="614"/>
      <c r="B77" s="1235" t="s">
        <v>693</v>
      </c>
      <c r="C77" s="614"/>
    </row>
    <row r="78" spans="1:3" x14ac:dyDescent="0.25">
      <c r="A78" s="614"/>
      <c r="B78" s="1237" t="s">
        <v>1421</v>
      </c>
      <c r="C78" s="614"/>
    </row>
    <row r="79" spans="1:3" x14ac:dyDescent="0.25">
      <c r="A79" s="614"/>
      <c r="B79" s="1237" t="s">
        <v>1422</v>
      </c>
      <c r="C79" s="614"/>
    </row>
    <row r="80" spans="1:3" x14ac:dyDescent="0.25">
      <c r="A80" s="614"/>
      <c r="B80" s="614"/>
      <c r="C80" s="614"/>
    </row>
    <row r="81" spans="1:3" x14ac:dyDescent="0.25">
      <c r="A81" s="614"/>
      <c r="B81" s="614"/>
      <c r="C81" s="614"/>
    </row>
    <row r="82" spans="1:3" x14ac:dyDescent="0.25">
      <c r="A82" s="614"/>
      <c r="B82" s="614"/>
      <c r="C82" s="614"/>
    </row>
    <row r="83" spans="1:3" x14ac:dyDescent="0.25">
      <c r="A83" s="614"/>
      <c r="B83" s="614"/>
      <c r="C83" s="614"/>
    </row>
    <row r="84" spans="1:3" x14ac:dyDescent="0.25">
      <c r="A84" s="305"/>
      <c r="B84" s="305"/>
      <c r="C84" s="305"/>
    </row>
    <row r="85" spans="1:3" x14ac:dyDescent="0.25">
      <c r="A85" s="305"/>
      <c r="B85" s="305"/>
      <c r="C85" s="305"/>
    </row>
    <row r="86" spans="1:3" x14ac:dyDescent="0.25">
      <c r="A86" s="305"/>
      <c r="B86" s="305"/>
      <c r="C86" s="305"/>
    </row>
    <row r="87" spans="1:3" x14ac:dyDescent="0.25">
      <c r="A87" s="305"/>
      <c r="B87" s="305"/>
      <c r="C87" s="305"/>
    </row>
    <row r="88" spans="1:3" x14ac:dyDescent="0.25">
      <c r="A88" s="305"/>
      <c r="B88" s="305"/>
      <c r="C88" s="305"/>
    </row>
    <row r="89" spans="1:3" x14ac:dyDescent="0.25">
      <c r="A89" s="305"/>
      <c r="B89" s="305"/>
      <c r="C89" s="305"/>
    </row>
    <row r="90" spans="1:3" x14ac:dyDescent="0.25">
      <c r="A90" s="305"/>
      <c r="B90" s="305"/>
      <c r="C90" s="305"/>
    </row>
    <row r="91" spans="1:3" x14ac:dyDescent="0.25">
      <c r="A91" s="305"/>
      <c r="B91" s="305"/>
      <c r="C91" s="305"/>
    </row>
    <row r="92" spans="1:3" x14ac:dyDescent="0.25">
      <c r="A92" s="305"/>
      <c r="B92" s="305"/>
      <c r="C92" s="305"/>
    </row>
    <row r="93" spans="1:3" x14ac:dyDescent="0.25">
      <c r="A93" s="305"/>
      <c r="B93" s="305"/>
      <c r="C93" s="305"/>
    </row>
    <row r="94" spans="1:3" x14ac:dyDescent="0.25">
      <c r="A94" s="305"/>
      <c r="B94" s="305"/>
      <c r="C94" s="305"/>
    </row>
    <row r="95" spans="1:3" x14ac:dyDescent="0.25">
      <c r="A95" s="305"/>
      <c r="B95" s="305"/>
      <c r="C95" s="305"/>
    </row>
    <row r="96" spans="1:3" x14ac:dyDescent="0.25">
      <c r="A96" s="305"/>
      <c r="B96" s="305"/>
      <c r="C96" s="305"/>
    </row>
    <row r="97" spans="1:3" x14ac:dyDescent="0.25">
      <c r="A97" s="305"/>
      <c r="B97" s="305"/>
      <c r="C97" s="305"/>
    </row>
    <row r="98" spans="1:3" x14ac:dyDescent="0.25">
      <c r="A98" s="305"/>
      <c r="B98" s="305"/>
      <c r="C98" s="305"/>
    </row>
    <row r="99" spans="1:3" x14ac:dyDescent="0.25">
      <c r="A99" s="305"/>
      <c r="B99" s="305"/>
      <c r="C99" s="305"/>
    </row>
    <row r="100" spans="1:3" x14ac:dyDescent="0.25">
      <c r="A100" s="305"/>
      <c r="B100" s="305"/>
      <c r="C100" s="305"/>
    </row>
  </sheetData>
  <sheetProtection password="DFD3"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X45"/>
  <sheetViews>
    <sheetView tabSelected="1" workbookViewId="0">
      <selection activeCell="T3" sqref="T3"/>
    </sheetView>
  </sheetViews>
  <sheetFormatPr defaultRowHeight="15" x14ac:dyDescent="0.25"/>
  <cols>
    <col min="1" max="1" width="208" style="219" customWidth="1"/>
  </cols>
  <sheetData>
    <row r="1" spans="1:24" ht="10.5" customHeight="1" x14ac:dyDescent="0.25">
      <c r="A1" s="744"/>
      <c r="B1" s="298"/>
      <c r="C1" s="842"/>
      <c r="D1" s="842"/>
      <c r="E1" s="842"/>
      <c r="F1" s="842"/>
      <c r="G1" s="842"/>
      <c r="H1" s="842"/>
      <c r="I1" s="842"/>
      <c r="J1" s="842"/>
      <c r="K1" s="842"/>
      <c r="L1" s="842"/>
      <c r="M1" s="842"/>
      <c r="N1" s="842"/>
      <c r="O1" s="842"/>
      <c r="P1" s="842"/>
      <c r="Q1" s="842"/>
      <c r="R1" s="842"/>
      <c r="S1" s="842"/>
      <c r="T1" s="842"/>
      <c r="U1" s="842"/>
      <c r="V1" s="842"/>
      <c r="W1" s="842"/>
      <c r="X1" s="842"/>
    </row>
    <row r="2" spans="1:24" ht="3.75" customHeight="1" x14ac:dyDescent="0.6">
      <c r="A2" s="1206"/>
      <c r="B2" s="298"/>
      <c r="C2" s="842"/>
      <c r="D2" s="842"/>
      <c r="E2" s="842"/>
      <c r="F2" s="842"/>
      <c r="G2" s="842"/>
      <c r="H2" s="1242"/>
      <c r="I2" s="842"/>
      <c r="J2" s="842"/>
      <c r="K2" s="842"/>
      <c r="L2" s="842"/>
      <c r="M2" s="842"/>
      <c r="N2" s="842"/>
      <c r="O2" s="842"/>
      <c r="P2" s="842"/>
      <c r="Q2" s="842"/>
      <c r="R2" s="842"/>
      <c r="S2" s="842"/>
      <c r="T2" s="842"/>
      <c r="U2" s="842"/>
      <c r="V2" s="842"/>
      <c r="W2" s="842"/>
      <c r="X2" s="842"/>
    </row>
    <row r="3" spans="1:24" ht="60" x14ac:dyDescent="0.8">
      <c r="A3" s="1207" t="s">
        <v>726</v>
      </c>
      <c r="B3" s="298"/>
      <c r="C3" s="842"/>
      <c r="D3" s="1243"/>
      <c r="E3" s="842"/>
      <c r="F3" s="842"/>
      <c r="G3" s="842"/>
      <c r="H3" s="842"/>
      <c r="I3" s="842"/>
      <c r="J3" s="842"/>
      <c r="K3" s="842"/>
      <c r="L3" s="842"/>
      <c r="M3" s="842"/>
      <c r="N3" s="842"/>
      <c r="O3" s="842"/>
      <c r="P3" s="842"/>
      <c r="Q3" s="842"/>
      <c r="R3" s="842"/>
      <c r="S3" s="842"/>
      <c r="T3" s="842"/>
      <c r="U3" s="842"/>
      <c r="V3" s="842"/>
      <c r="W3" s="842"/>
      <c r="X3" s="842"/>
    </row>
    <row r="4" spans="1:24" ht="26.25" x14ac:dyDescent="0.4">
      <c r="A4" s="1208" t="s">
        <v>685</v>
      </c>
      <c r="B4" s="298"/>
      <c r="C4" s="842"/>
      <c r="D4" s="1244"/>
      <c r="E4" s="1244"/>
      <c r="F4" s="842"/>
      <c r="G4" s="842"/>
      <c r="H4" s="842"/>
      <c r="I4" s="842"/>
      <c r="J4" s="842"/>
      <c r="K4" s="842"/>
      <c r="L4" s="842"/>
      <c r="M4" s="842"/>
      <c r="N4" s="842"/>
      <c r="O4" s="842"/>
      <c r="P4" s="842"/>
      <c r="Q4" s="842"/>
      <c r="R4" s="842"/>
      <c r="S4" s="842"/>
      <c r="T4" s="842"/>
      <c r="U4" s="842"/>
      <c r="V4" s="842"/>
      <c r="W4" s="842"/>
      <c r="X4" s="842"/>
    </row>
    <row r="5" spans="1:24" x14ac:dyDescent="0.25">
      <c r="A5" s="744"/>
      <c r="B5" s="298"/>
      <c r="C5" s="842"/>
      <c r="D5" s="842"/>
      <c r="E5" s="842"/>
      <c r="F5" s="842"/>
      <c r="G5" s="842"/>
      <c r="H5" s="842"/>
      <c r="I5" s="842"/>
      <c r="J5" s="842"/>
      <c r="K5" s="842"/>
      <c r="L5" s="842"/>
      <c r="M5" s="842"/>
      <c r="N5" s="842"/>
      <c r="O5" s="842"/>
      <c r="P5" s="842"/>
      <c r="Q5" s="842"/>
      <c r="R5" s="842"/>
      <c r="S5" s="842"/>
      <c r="T5" s="842"/>
      <c r="U5" s="842"/>
      <c r="V5" s="842"/>
      <c r="W5" s="842"/>
      <c r="X5" s="842"/>
    </row>
    <row r="6" spans="1:24" x14ac:dyDescent="0.25">
      <c r="A6" s="744"/>
      <c r="B6" s="298"/>
      <c r="C6" s="842"/>
      <c r="D6" s="842"/>
      <c r="E6" s="842"/>
      <c r="F6" s="842"/>
      <c r="G6" s="842"/>
      <c r="H6" s="842"/>
      <c r="I6" s="842"/>
      <c r="J6" s="842"/>
      <c r="K6" s="842"/>
      <c r="L6" s="842"/>
      <c r="M6" s="842"/>
      <c r="N6" s="842"/>
      <c r="O6" s="842"/>
      <c r="P6" s="842"/>
      <c r="Q6" s="842"/>
      <c r="R6" s="842"/>
      <c r="S6" s="842"/>
      <c r="T6" s="842"/>
      <c r="U6" s="842"/>
      <c r="V6" s="842"/>
      <c r="W6" s="842"/>
      <c r="X6" s="842"/>
    </row>
    <row r="7" spans="1:24" x14ac:dyDescent="0.25">
      <c r="A7" s="744"/>
      <c r="B7" s="298"/>
      <c r="C7" s="842"/>
      <c r="D7" s="842"/>
      <c r="E7" s="842"/>
      <c r="F7" s="842"/>
      <c r="G7" s="842"/>
      <c r="H7" s="842"/>
      <c r="I7" s="842"/>
      <c r="J7" s="842"/>
      <c r="K7" s="842"/>
      <c r="L7" s="842"/>
      <c r="M7" s="842"/>
      <c r="N7" s="842"/>
      <c r="O7" s="842"/>
      <c r="P7" s="842"/>
      <c r="Q7" s="842"/>
      <c r="R7" s="842"/>
      <c r="S7" s="842"/>
      <c r="T7" s="842"/>
      <c r="U7" s="842"/>
      <c r="V7" s="842"/>
      <c r="W7" s="842"/>
      <c r="X7" s="842"/>
    </row>
    <row r="8" spans="1:24" x14ac:dyDescent="0.25">
      <c r="A8" s="744"/>
      <c r="B8" s="298"/>
      <c r="C8" s="842"/>
      <c r="D8" s="842"/>
      <c r="E8" s="842"/>
      <c r="F8" s="842"/>
      <c r="G8" s="842"/>
      <c r="H8" s="842"/>
      <c r="I8" s="842"/>
      <c r="J8" s="842"/>
      <c r="K8" s="842"/>
      <c r="L8" s="842"/>
      <c r="M8" s="842"/>
      <c r="N8" s="842"/>
      <c r="O8" s="842"/>
      <c r="P8" s="842"/>
      <c r="Q8" s="842"/>
      <c r="R8" s="842"/>
      <c r="S8" s="842"/>
      <c r="T8" s="842"/>
      <c r="U8" s="842"/>
      <c r="V8" s="842"/>
      <c r="W8" s="842"/>
      <c r="X8" s="842"/>
    </row>
    <row r="9" spans="1:24" x14ac:dyDescent="0.25">
      <c r="A9" s="744"/>
      <c r="B9" s="298"/>
      <c r="C9" s="842"/>
      <c r="D9" s="842"/>
      <c r="E9" s="842"/>
      <c r="F9" s="842"/>
      <c r="G9" s="842"/>
      <c r="H9" s="842"/>
      <c r="I9" s="842"/>
      <c r="J9" s="842"/>
      <c r="K9" s="842"/>
      <c r="L9" s="842"/>
      <c r="M9" s="842"/>
      <c r="N9" s="842"/>
      <c r="O9" s="842"/>
      <c r="P9" s="842"/>
      <c r="Q9" s="842"/>
      <c r="R9" s="842"/>
      <c r="S9" s="842"/>
      <c r="T9" s="842"/>
      <c r="U9" s="842"/>
      <c r="V9" s="842"/>
      <c r="W9" s="842"/>
      <c r="X9" s="842"/>
    </row>
    <row r="10" spans="1:24" x14ac:dyDescent="0.25">
      <c r="A10" s="744"/>
      <c r="B10" s="298"/>
      <c r="C10" s="842"/>
      <c r="D10" s="842"/>
      <c r="E10" s="842"/>
      <c r="F10" s="842"/>
      <c r="G10" s="842"/>
      <c r="H10" s="842"/>
      <c r="I10" s="842"/>
      <c r="J10" s="842"/>
      <c r="K10" s="842"/>
      <c r="L10" s="842"/>
      <c r="M10" s="842"/>
      <c r="N10" s="842"/>
      <c r="O10" s="842"/>
      <c r="P10" s="842"/>
      <c r="Q10" s="842"/>
      <c r="R10" s="842"/>
      <c r="S10" s="842"/>
      <c r="T10" s="842"/>
      <c r="U10" s="842"/>
      <c r="V10" s="842"/>
      <c r="W10" s="842"/>
      <c r="X10" s="842"/>
    </row>
    <row r="11" spans="1:24" x14ac:dyDescent="0.25">
      <c r="A11" s="744"/>
      <c r="B11" s="298"/>
      <c r="C11" s="842"/>
      <c r="D11" s="842"/>
      <c r="E11" s="842"/>
      <c r="F11" s="842"/>
      <c r="G11" s="842"/>
      <c r="H11" s="842"/>
      <c r="I11" s="842"/>
      <c r="J11" s="842"/>
      <c r="K11" s="842"/>
      <c r="L11" s="842"/>
      <c r="M11" s="842"/>
      <c r="N11" s="842"/>
      <c r="O11" s="842"/>
      <c r="P11" s="842"/>
      <c r="Q11" s="842"/>
      <c r="R11" s="842"/>
      <c r="S11" s="842"/>
      <c r="T11" s="842"/>
      <c r="U11" s="842"/>
      <c r="V11" s="842"/>
      <c r="W11" s="842"/>
      <c r="X11" s="842"/>
    </row>
    <row r="12" spans="1:24" x14ac:dyDescent="0.25">
      <c r="A12" s="744"/>
      <c r="B12" s="298"/>
      <c r="C12" s="842"/>
      <c r="D12" s="842"/>
      <c r="E12" s="842"/>
      <c r="F12" s="842"/>
      <c r="G12" s="842"/>
      <c r="H12" s="842"/>
      <c r="I12" s="842"/>
      <c r="J12" s="842"/>
      <c r="K12" s="842"/>
      <c r="L12" s="842"/>
      <c r="M12" s="842"/>
      <c r="N12" s="842"/>
      <c r="O12" s="842"/>
      <c r="P12" s="842"/>
      <c r="Q12" s="842"/>
      <c r="R12" s="842"/>
      <c r="S12" s="842"/>
      <c r="T12" s="842"/>
      <c r="U12" s="842"/>
      <c r="V12" s="842"/>
      <c r="W12" s="842"/>
      <c r="X12" s="842"/>
    </row>
    <row r="13" spans="1:24" x14ac:dyDescent="0.25">
      <c r="A13" s="744"/>
      <c r="B13" s="298"/>
      <c r="C13" s="842"/>
      <c r="D13" s="842"/>
      <c r="E13" s="842"/>
      <c r="F13" s="842"/>
      <c r="G13" s="842"/>
      <c r="H13" s="842"/>
      <c r="I13" s="842"/>
      <c r="J13" s="842"/>
      <c r="K13" s="842"/>
      <c r="L13" s="842"/>
      <c r="M13" s="842"/>
      <c r="N13" s="842"/>
      <c r="O13" s="842"/>
      <c r="P13" s="842"/>
      <c r="Q13" s="842"/>
      <c r="R13" s="842"/>
      <c r="S13" s="842"/>
      <c r="T13" s="842"/>
      <c r="U13" s="842"/>
      <c r="V13" s="842"/>
      <c r="W13" s="842"/>
      <c r="X13" s="842"/>
    </row>
    <row r="14" spans="1:24" x14ac:dyDescent="0.25">
      <c r="A14" s="744"/>
      <c r="B14" s="298"/>
      <c r="C14" s="842"/>
      <c r="D14" s="842"/>
      <c r="E14" s="842"/>
      <c r="F14" s="842"/>
      <c r="G14" s="842"/>
      <c r="H14" s="842"/>
      <c r="I14" s="842"/>
      <c r="J14" s="842"/>
      <c r="K14" s="842"/>
      <c r="L14" s="842"/>
      <c r="M14" s="842"/>
      <c r="N14" s="842"/>
      <c r="O14" s="842"/>
      <c r="P14" s="842"/>
      <c r="Q14" s="842"/>
      <c r="R14" s="842"/>
      <c r="S14" s="842"/>
      <c r="T14" s="842"/>
      <c r="U14" s="842"/>
      <c r="V14" s="842"/>
      <c r="W14" s="842"/>
      <c r="X14" s="842"/>
    </row>
    <row r="15" spans="1:24" x14ac:dyDescent="0.25">
      <c r="A15" s="744"/>
      <c r="B15" s="298"/>
      <c r="C15" s="842"/>
      <c r="D15" s="842"/>
      <c r="E15" s="842"/>
      <c r="F15" s="842"/>
      <c r="G15" s="842"/>
      <c r="H15" s="842"/>
      <c r="I15" s="842"/>
      <c r="J15" s="842"/>
      <c r="K15" s="842"/>
      <c r="L15" s="842"/>
      <c r="M15" s="842"/>
      <c r="N15" s="842"/>
      <c r="O15" s="842"/>
      <c r="P15" s="842"/>
      <c r="Q15" s="842"/>
      <c r="R15" s="842"/>
      <c r="S15" s="842"/>
      <c r="T15" s="842"/>
      <c r="U15" s="842"/>
      <c r="V15" s="842"/>
      <c r="W15" s="842"/>
      <c r="X15" s="842"/>
    </row>
    <row r="16" spans="1:24" x14ac:dyDescent="0.25">
      <c r="A16" s="744"/>
      <c r="B16" s="298"/>
      <c r="C16" s="842"/>
      <c r="D16" s="842"/>
      <c r="E16" s="842"/>
      <c r="F16" s="842"/>
      <c r="G16" s="842"/>
      <c r="H16" s="842"/>
      <c r="I16" s="842"/>
      <c r="J16" s="842"/>
      <c r="K16" s="842"/>
      <c r="L16" s="842"/>
      <c r="M16" s="842"/>
      <c r="N16" s="842"/>
      <c r="O16" s="842"/>
      <c r="P16" s="842"/>
      <c r="Q16" s="842"/>
      <c r="R16" s="842"/>
      <c r="S16" s="842"/>
      <c r="T16" s="842"/>
      <c r="U16" s="842"/>
      <c r="V16" s="842"/>
      <c r="W16" s="842"/>
      <c r="X16" s="842"/>
    </row>
    <row r="17" spans="1:24" x14ac:dyDescent="0.25">
      <c r="A17" s="744"/>
      <c r="B17" s="298"/>
      <c r="C17" s="842"/>
      <c r="D17" s="842"/>
      <c r="E17" s="842"/>
      <c r="F17" s="842"/>
      <c r="G17" s="842"/>
      <c r="H17" s="842"/>
      <c r="I17" s="842"/>
      <c r="J17" s="842"/>
      <c r="K17" s="842"/>
      <c r="L17" s="842"/>
      <c r="M17" s="842"/>
      <c r="N17" s="842"/>
      <c r="O17" s="842"/>
      <c r="P17" s="842"/>
      <c r="Q17" s="842"/>
      <c r="R17" s="842"/>
      <c r="S17" s="842"/>
      <c r="T17" s="842"/>
      <c r="U17" s="842"/>
      <c r="V17" s="842"/>
      <c r="W17" s="842"/>
      <c r="X17" s="842"/>
    </row>
    <row r="18" spans="1:24" x14ac:dyDescent="0.25">
      <c r="A18" s="744"/>
      <c r="B18" s="298"/>
      <c r="C18" s="842"/>
      <c r="D18" s="842"/>
      <c r="E18" s="842"/>
      <c r="F18" s="842"/>
      <c r="G18" s="842"/>
      <c r="H18" s="842"/>
      <c r="I18" s="842"/>
      <c r="J18" s="842"/>
      <c r="K18" s="842"/>
      <c r="L18" s="842"/>
      <c r="M18" s="842"/>
      <c r="N18" s="842"/>
      <c r="O18" s="842"/>
      <c r="P18" s="842"/>
      <c r="Q18" s="842"/>
      <c r="R18" s="842"/>
      <c r="S18" s="842"/>
      <c r="T18" s="842"/>
      <c r="U18" s="842"/>
      <c r="V18" s="842"/>
      <c r="W18" s="842"/>
      <c r="X18" s="842"/>
    </row>
    <row r="19" spans="1:24" x14ac:dyDescent="0.25">
      <c r="A19" s="744"/>
      <c r="B19" s="298"/>
      <c r="C19" s="842"/>
      <c r="D19" s="842"/>
      <c r="E19" s="842"/>
      <c r="F19" s="842"/>
      <c r="G19" s="842"/>
      <c r="H19" s="842"/>
      <c r="I19" s="842"/>
      <c r="J19" s="842"/>
      <c r="K19" s="842"/>
      <c r="L19" s="842"/>
      <c r="M19" s="842"/>
      <c r="N19" s="842"/>
      <c r="O19" s="842"/>
      <c r="P19" s="842"/>
      <c r="Q19" s="842"/>
      <c r="R19" s="842"/>
      <c r="S19" s="842"/>
      <c r="T19" s="842"/>
      <c r="U19" s="842"/>
      <c r="V19" s="842"/>
      <c r="W19" s="842"/>
      <c r="X19" s="842"/>
    </row>
    <row r="20" spans="1:24" x14ac:dyDescent="0.25">
      <c r="A20" s="744"/>
      <c r="B20" s="298"/>
      <c r="C20" s="842"/>
      <c r="D20" s="842"/>
      <c r="E20" s="842"/>
      <c r="F20" s="842"/>
      <c r="G20" s="842"/>
      <c r="H20" s="842"/>
      <c r="I20" s="842"/>
      <c r="J20" s="842"/>
      <c r="K20" s="842"/>
      <c r="L20" s="842"/>
      <c r="M20" s="842"/>
      <c r="N20" s="842"/>
      <c r="O20" s="842"/>
      <c r="P20" s="842"/>
      <c r="Q20" s="842"/>
      <c r="R20" s="842"/>
      <c r="S20" s="842"/>
      <c r="T20" s="842"/>
      <c r="U20" s="842"/>
      <c r="V20" s="842"/>
      <c r="W20" s="842"/>
      <c r="X20" s="842"/>
    </row>
    <row r="21" spans="1:24" x14ac:dyDescent="0.25">
      <c r="A21" s="744"/>
      <c r="B21" s="298"/>
      <c r="C21" s="842"/>
      <c r="D21" s="842"/>
      <c r="E21" s="842"/>
      <c r="F21" s="842"/>
      <c r="G21" s="842"/>
      <c r="H21" s="842"/>
      <c r="I21" s="842"/>
      <c r="J21" s="842"/>
      <c r="K21" s="842"/>
      <c r="L21" s="842"/>
      <c r="M21" s="842"/>
      <c r="N21" s="842"/>
      <c r="O21" s="842"/>
      <c r="P21" s="842"/>
      <c r="Q21" s="842"/>
      <c r="R21" s="842"/>
      <c r="S21" s="842"/>
      <c r="T21" s="842"/>
      <c r="U21" s="842"/>
      <c r="V21" s="842"/>
      <c r="W21" s="842"/>
      <c r="X21" s="842"/>
    </row>
    <row r="22" spans="1:24" x14ac:dyDescent="0.25">
      <c r="A22" s="744"/>
      <c r="B22" s="298"/>
      <c r="C22" s="842"/>
      <c r="D22" s="842"/>
      <c r="E22" s="842"/>
      <c r="F22" s="842"/>
      <c r="G22" s="842"/>
      <c r="H22" s="842"/>
      <c r="I22" s="842"/>
      <c r="J22" s="842"/>
      <c r="K22" s="842"/>
      <c r="L22" s="842"/>
      <c r="M22" s="842"/>
      <c r="N22" s="842"/>
      <c r="O22" s="842"/>
      <c r="P22" s="842"/>
      <c r="Q22" s="842"/>
      <c r="R22" s="842"/>
      <c r="S22" s="842"/>
      <c r="T22" s="842"/>
      <c r="U22" s="842"/>
      <c r="V22" s="842"/>
      <c r="W22" s="842"/>
      <c r="X22" s="842"/>
    </row>
    <row r="23" spans="1:24" x14ac:dyDescent="0.25">
      <c r="A23" s="744"/>
      <c r="B23" s="298"/>
      <c r="C23" s="842"/>
      <c r="D23" s="842"/>
      <c r="E23" s="842"/>
      <c r="F23" s="842"/>
      <c r="G23" s="842"/>
      <c r="H23" s="842"/>
      <c r="I23" s="842"/>
      <c r="J23" s="842"/>
      <c r="K23" s="842"/>
      <c r="L23" s="842"/>
      <c r="M23" s="842"/>
      <c r="N23" s="842"/>
      <c r="O23" s="842"/>
      <c r="P23" s="842"/>
      <c r="Q23" s="842"/>
      <c r="R23" s="842"/>
      <c r="S23" s="842"/>
      <c r="T23" s="842"/>
      <c r="U23" s="842"/>
      <c r="V23" s="842"/>
      <c r="W23" s="842"/>
      <c r="X23" s="842"/>
    </row>
    <row r="24" spans="1:24" x14ac:dyDescent="0.25">
      <c r="A24" s="744"/>
      <c r="B24" s="298"/>
      <c r="C24" s="842"/>
      <c r="D24" s="842"/>
      <c r="E24" s="842"/>
      <c r="F24" s="842"/>
      <c r="G24" s="842"/>
      <c r="H24" s="842"/>
      <c r="I24" s="842"/>
      <c r="J24" s="842"/>
      <c r="K24" s="842"/>
      <c r="L24" s="842"/>
      <c r="M24" s="842"/>
      <c r="N24" s="842"/>
      <c r="O24" s="842"/>
      <c r="P24" s="842"/>
      <c r="Q24" s="842"/>
      <c r="R24" s="842"/>
      <c r="S24" s="842"/>
      <c r="T24" s="842"/>
      <c r="U24" s="842"/>
      <c r="V24" s="842"/>
      <c r="W24" s="842"/>
      <c r="X24" s="842"/>
    </row>
    <row r="25" spans="1:24" x14ac:dyDescent="0.25">
      <c r="A25" s="744"/>
      <c r="B25" s="298"/>
      <c r="C25" s="842"/>
      <c r="D25" s="842"/>
      <c r="E25" s="842"/>
      <c r="F25" s="842"/>
      <c r="G25" s="842"/>
      <c r="H25" s="842"/>
      <c r="I25" s="842"/>
      <c r="J25" s="842"/>
      <c r="K25" s="842"/>
      <c r="L25" s="842"/>
      <c r="M25" s="842"/>
      <c r="N25" s="842"/>
      <c r="O25" s="842"/>
      <c r="P25" s="842"/>
      <c r="Q25" s="842"/>
      <c r="R25" s="842"/>
      <c r="S25" s="842"/>
      <c r="T25" s="842"/>
      <c r="U25" s="842"/>
      <c r="V25" s="842"/>
      <c r="W25" s="842"/>
      <c r="X25" s="842"/>
    </row>
    <row r="26" spans="1:24" x14ac:dyDescent="0.25">
      <c r="A26" s="744"/>
      <c r="B26" s="298"/>
      <c r="C26" s="842"/>
      <c r="D26" s="842"/>
      <c r="E26" s="842"/>
      <c r="F26" s="842"/>
      <c r="G26" s="842"/>
      <c r="H26" s="842"/>
      <c r="I26" s="842"/>
      <c r="J26" s="842"/>
      <c r="K26" s="842"/>
      <c r="L26" s="842"/>
      <c r="M26" s="842"/>
      <c r="N26" s="842"/>
      <c r="O26" s="842"/>
      <c r="P26" s="842"/>
      <c r="Q26" s="842"/>
      <c r="R26" s="842"/>
      <c r="S26" s="842"/>
      <c r="T26" s="842"/>
      <c r="U26" s="842"/>
      <c r="V26" s="842"/>
      <c r="W26" s="842"/>
      <c r="X26" s="842"/>
    </row>
    <row r="27" spans="1:24" x14ac:dyDescent="0.25">
      <c r="A27" s="744"/>
      <c r="B27" s="298"/>
      <c r="C27" s="842"/>
      <c r="D27" s="842"/>
      <c r="E27" s="842"/>
      <c r="F27" s="842"/>
      <c r="G27" s="842"/>
      <c r="H27" s="842"/>
      <c r="I27" s="842"/>
      <c r="J27" s="842"/>
      <c r="K27" s="842"/>
      <c r="L27" s="842"/>
      <c r="M27" s="842"/>
      <c r="N27" s="842"/>
      <c r="O27" s="842"/>
      <c r="P27" s="842"/>
      <c r="Q27" s="842"/>
      <c r="R27" s="842"/>
      <c r="S27" s="842"/>
      <c r="T27" s="842"/>
      <c r="U27" s="842"/>
      <c r="V27" s="842"/>
      <c r="W27" s="842"/>
      <c r="X27" s="842"/>
    </row>
    <row r="28" spans="1:24" x14ac:dyDescent="0.25">
      <c r="A28" s="744"/>
      <c r="B28" s="298"/>
      <c r="C28" s="842"/>
      <c r="D28" s="842"/>
      <c r="E28" s="842"/>
      <c r="F28" s="842"/>
      <c r="G28" s="842"/>
      <c r="H28" s="842"/>
      <c r="I28" s="842"/>
      <c r="J28" s="842"/>
      <c r="K28" s="842"/>
      <c r="L28" s="842"/>
      <c r="M28" s="842"/>
      <c r="N28" s="842"/>
      <c r="O28" s="842"/>
      <c r="P28" s="842"/>
      <c r="Q28" s="842"/>
      <c r="R28" s="842"/>
      <c r="S28" s="842"/>
      <c r="T28" s="842"/>
      <c r="U28" s="842"/>
      <c r="V28" s="842"/>
      <c r="W28" s="842"/>
      <c r="X28" s="842"/>
    </row>
    <row r="29" spans="1:24" x14ac:dyDescent="0.25">
      <c r="A29" s="744"/>
      <c r="B29" s="298"/>
      <c r="C29" s="842"/>
      <c r="D29" s="842"/>
      <c r="E29" s="842"/>
      <c r="F29" s="842"/>
      <c r="G29" s="842"/>
      <c r="H29" s="842"/>
      <c r="I29" s="842"/>
      <c r="J29" s="842"/>
      <c r="K29" s="842"/>
      <c r="L29" s="842"/>
      <c r="M29" s="842"/>
      <c r="N29" s="842"/>
      <c r="O29" s="842"/>
      <c r="P29" s="842"/>
      <c r="Q29" s="842"/>
      <c r="R29" s="842"/>
      <c r="S29" s="842"/>
      <c r="T29" s="842"/>
      <c r="U29" s="842"/>
      <c r="V29" s="842"/>
      <c r="W29" s="842"/>
      <c r="X29" s="842"/>
    </row>
    <row r="30" spans="1:24" x14ac:dyDescent="0.25">
      <c r="A30" s="744"/>
      <c r="B30" s="298"/>
      <c r="C30" s="842"/>
      <c r="D30" s="842"/>
      <c r="E30" s="842"/>
      <c r="F30" s="842"/>
      <c r="G30" s="842"/>
      <c r="H30" s="842"/>
      <c r="I30" s="842"/>
      <c r="J30" s="842"/>
      <c r="K30" s="842"/>
      <c r="L30" s="842"/>
      <c r="M30" s="842"/>
      <c r="N30" s="842"/>
      <c r="O30" s="842"/>
      <c r="P30" s="842"/>
      <c r="Q30" s="842"/>
      <c r="R30" s="842"/>
      <c r="S30" s="842"/>
      <c r="T30" s="842"/>
      <c r="U30" s="842"/>
      <c r="V30" s="842"/>
      <c r="W30" s="842"/>
      <c r="X30" s="842"/>
    </row>
    <row r="31" spans="1:24" x14ac:dyDescent="0.25">
      <c r="A31" s="744"/>
      <c r="B31" s="298"/>
      <c r="C31" s="842"/>
      <c r="D31" s="842"/>
      <c r="E31" s="842"/>
      <c r="F31" s="842"/>
      <c r="G31" s="842"/>
      <c r="H31" s="842"/>
      <c r="I31" s="842"/>
      <c r="J31" s="842"/>
      <c r="K31" s="842"/>
      <c r="L31" s="842"/>
      <c r="M31" s="842"/>
      <c r="N31" s="842"/>
      <c r="O31" s="842"/>
      <c r="P31" s="842"/>
      <c r="Q31" s="842"/>
      <c r="R31" s="842"/>
      <c r="S31" s="842"/>
      <c r="T31" s="842"/>
      <c r="U31" s="842"/>
      <c r="V31" s="842"/>
      <c r="W31" s="842"/>
      <c r="X31" s="842"/>
    </row>
    <row r="32" spans="1:24" x14ac:dyDescent="0.25">
      <c r="A32" s="744"/>
      <c r="B32" s="298"/>
      <c r="C32" s="842"/>
      <c r="D32" s="842"/>
      <c r="E32" s="842"/>
      <c r="F32" s="842"/>
      <c r="G32" s="842"/>
      <c r="H32" s="842"/>
      <c r="I32" s="842"/>
      <c r="J32" s="842"/>
      <c r="K32" s="842"/>
      <c r="L32" s="842"/>
      <c r="M32" s="842"/>
      <c r="N32" s="842"/>
      <c r="O32" s="842"/>
      <c r="P32" s="842"/>
      <c r="Q32" s="842"/>
      <c r="R32" s="842"/>
      <c r="S32" s="842"/>
      <c r="T32" s="842"/>
      <c r="U32" s="842"/>
      <c r="V32" s="842"/>
      <c r="W32" s="842"/>
      <c r="X32" s="842"/>
    </row>
    <row r="33" spans="1:24" x14ac:dyDescent="0.25">
      <c r="A33" s="744"/>
      <c r="B33" s="298"/>
      <c r="C33" s="842"/>
      <c r="D33" s="842"/>
      <c r="E33" s="842"/>
      <c r="F33" s="842"/>
      <c r="G33" s="842"/>
      <c r="H33" s="842"/>
      <c r="I33" s="842"/>
      <c r="J33" s="842"/>
      <c r="K33" s="842"/>
      <c r="L33" s="842"/>
      <c r="M33" s="842"/>
      <c r="N33" s="842"/>
      <c r="O33" s="842"/>
      <c r="P33" s="842"/>
      <c r="Q33" s="842"/>
      <c r="R33" s="842"/>
      <c r="S33" s="842"/>
      <c r="T33" s="842"/>
      <c r="U33" s="842"/>
      <c r="V33" s="842"/>
      <c r="W33" s="842"/>
      <c r="X33" s="842"/>
    </row>
    <row r="34" spans="1:24" x14ac:dyDescent="0.25">
      <c r="A34" s="744"/>
      <c r="B34" s="298"/>
      <c r="C34" s="842"/>
      <c r="D34" s="842"/>
      <c r="E34" s="842"/>
      <c r="F34" s="842"/>
      <c r="G34" s="842"/>
      <c r="H34" s="842"/>
      <c r="I34" s="842"/>
      <c r="J34" s="842"/>
      <c r="K34" s="842"/>
      <c r="L34" s="842"/>
      <c r="M34" s="842"/>
      <c r="N34" s="842"/>
      <c r="O34" s="842"/>
      <c r="P34" s="842"/>
      <c r="Q34" s="842"/>
      <c r="R34" s="842"/>
      <c r="S34" s="842"/>
      <c r="T34" s="842"/>
      <c r="U34" s="842"/>
      <c r="V34" s="842"/>
      <c r="W34" s="842"/>
      <c r="X34" s="842"/>
    </row>
    <row r="35" spans="1:24" x14ac:dyDescent="0.25">
      <c r="A35" s="744"/>
      <c r="B35" s="298"/>
      <c r="C35" s="842"/>
      <c r="D35" s="842"/>
      <c r="E35" s="842"/>
      <c r="F35" s="842"/>
      <c r="G35" s="842"/>
      <c r="H35" s="842"/>
      <c r="I35" s="842"/>
      <c r="J35" s="842"/>
      <c r="K35" s="842"/>
      <c r="L35" s="842"/>
      <c r="M35" s="842"/>
      <c r="N35" s="842"/>
      <c r="O35" s="842"/>
      <c r="P35" s="842"/>
      <c r="Q35" s="842"/>
      <c r="R35" s="842"/>
      <c r="S35" s="842"/>
      <c r="T35" s="842"/>
      <c r="U35" s="842"/>
      <c r="V35" s="842"/>
      <c r="W35" s="842"/>
      <c r="X35" s="842"/>
    </row>
    <row r="36" spans="1:24" x14ac:dyDescent="0.25">
      <c r="A36" s="744"/>
      <c r="B36" s="298"/>
      <c r="C36" s="842"/>
      <c r="D36" s="842"/>
      <c r="E36" s="842"/>
      <c r="F36" s="842"/>
      <c r="G36" s="842"/>
      <c r="H36" s="842"/>
      <c r="I36" s="842"/>
      <c r="J36" s="842"/>
      <c r="K36" s="842"/>
      <c r="L36" s="842"/>
      <c r="M36" s="842"/>
      <c r="N36" s="842"/>
      <c r="O36" s="842"/>
      <c r="P36" s="842"/>
      <c r="Q36" s="842"/>
      <c r="R36" s="842"/>
      <c r="S36" s="842"/>
      <c r="T36" s="842"/>
      <c r="U36" s="842"/>
      <c r="V36" s="842"/>
      <c r="W36" s="842"/>
      <c r="X36" s="842"/>
    </row>
    <row r="37" spans="1:24" x14ac:dyDescent="0.25">
      <c r="A37" s="744"/>
      <c r="B37" s="298"/>
      <c r="C37" s="842"/>
      <c r="D37" s="842"/>
      <c r="E37" s="842"/>
      <c r="F37" s="842"/>
      <c r="G37" s="842"/>
      <c r="H37" s="842"/>
      <c r="I37" s="842"/>
      <c r="J37" s="842"/>
      <c r="K37" s="842"/>
      <c r="L37" s="842"/>
      <c r="M37" s="842"/>
      <c r="N37" s="842"/>
      <c r="O37" s="842"/>
      <c r="P37" s="842"/>
      <c r="Q37" s="842"/>
      <c r="R37" s="842"/>
      <c r="S37" s="842"/>
      <c r="T37" s="842"/>
      <c r="U37" s="842"/>
      <c r="V37" s="842"/>
      <c r="W37" s="842"/>
      <c r="X37" s="842"/>
    </row>
    <row r="38" spans="1:24" x14ac:dyDescent="0.25">
      <c r="A38" s="744"/>
      <c r="B38" s="298"/>
      <c r="C38" s="842"/>
      <c r="D38" s="842"/>
      <c r="E38" s="842"/>
      <c r="F38" s="842"/>
      <c r="G38" s="842"/>
      <c r="H38" s="842"/>
      <c r="I38" s="842"/>
      <c r="J38" s="842"/>
      <c r="K38" s="842"/>
      <c r="L38" s="842"/>
      <c r="M38" s="842"/>
      <c r="N38" s="842"/>
      <c r="O38" s="842"/>
      <c r="P38" s="842"/>
      <c r="Q38" s="842"/>
      <c r="R38" s="842"/>
      <c r="S38" s="842"/>
      <c r="T38" s="842"/>
      <c r="U38" s="842"/>
      <c r="V38" s="842"/>
      <c r="W38" s="842"/>
      <c r="X38" s="842"/>
    </row>
    <row r="39" spans="1:24" x14ac:dyDescent="0.25">
      <c r="A39" s="744"/>
      <c r="B39" s="298"/>
      <c r="C39" s="842"/>
      <c r="D39" s="842"/>
      <c r="E39" s="842"/>
      <c r="F39" s="842"/>
      <c r="G39" s="842"/>
      <c r="H39" s="842"/>
      <c r="I39" s="842"/>
      <c r="J39" s="842"/>
      <c r="K39" s="842"/>
      <c r="L39" s="842"/>
      <c r="M39" s="842"/>
      <c r="N39" s="842"/>
      <c r="O39" s="842"/>
      <c r="P39" s="842"/>
      <c r="Q39" s="842"/>
      <c r="R39" s="842"/>
      <c r="S39" s="842"/>
      <c r="T39" s="842"/>
      <c r="U39" s="842"/>
      <c r="V39" s="842"/>
      <c r="W39" s="842"/>
      <c r="X39" s="842"/>
    </row>
    <row r="40" spans="1:24" x14ac:dyDescent="0.25">
      <c r="A40" s="744"/>
      <c r="B40" s="298"/>
      <c r="C40" s="842"/>
      <c r="D40" s="842"/>
      <c r="E40" s="842"/>
      <c r="F40" s="842"/>
      <c r="G40" s="842"/>
      <c r="H40" s="842"/>
      <c r="I40" s="842"/>
      <c r="J40" s="842"/>
      <c r="K40" s="842"/>
      <c r="L40" s="842"/>
      <c r="M40" s="842"/>
      <c r="N40" s="842"/>
      <c r="O40" s="842"/>
      <c r="P40" s="842"/>
      <c r="Q40" s="842"/>
      <c r="R40" s="842"/>
      <c r="S40" s="842"/>
      <c r="T40" s="842"/>
      <c r="U40" s="842"/>
      <c r="V40" s="842"/>
      <c r="W40" s="842"/>
      <c r="X40" s="842"/>
    </row>
    <row r="41" spans="1:24" x14ac:dyDescent="0.25">
      <c r="A41" s="744"/>
      <c r="B41" s="298"/>
      <c r="C41" s="842"/>
      <c r="D41" s="842"/>
      <c r="E41" s="842"/>
      <c r="F41" s="842"/>
      <c r="G41" s="842"/>
      <c r="H41" s="842"/>
      <c r="I41" s="842"/>
      <c r="J41" s="842"/>
      <c r="K41" s="842"/>
      <c r="L41" s="842"/>
      <c r="M41" s="842"/>
      <c r="N41" s="842"/>
      <c r="O41" s="842"/>
      <c r="P41" s="842"/>
      <c r="Q41" s="842"/>
      <c r="R41" s="842"/>
      <c r="S41" s="842"/>
      <c r="T41" s="842"/>
      <c r="U41" s="842"/>
      <c r="V41" s="842"/>
      <c r="W41" s="842"/>
      <c r="X41" s="842"/>
    </row>
    <row r="42" spans="1:24" x14ac:dyDescent="0.25">
      <c r="A42" s="744"/>
      <c r="B42" s="298"/>
      <c r="C42" s="842"/>
      <c r="D42" s="842"/>
      <c r="E42" s="842"/>
      <c r="F42" s="842"/>
      <c r="G42" s="842"/>
      <c r="H42" s="842"/>
      <c r="I42" s="842"/>
      <c r="J42" s="842"/>
      <c r="K42" s="842"/>
      <c r="L42" s="842"/>
      <c r="M42" s="842"/>
      <c r="N42" s="842"/>
      <c r="O42" s="842"/>
      <c r="P42" s="842"/>
      <c r="Q42" s="842"/>
      <c r="R42" s="842"/>
      <c r="S42" s="842"/>
      <c r="T42" s="842"/>
      <c r="U42" s="842"/>
      <c r="V42" s="842"/>
      <c r="W42" s="842"/>
      <c r="X42" s="842"/>
    </row>
    <row r="43" spans="1:24" x14ac:dyDescent="0.25">
      <c r="A43" s="744"/>
      <c r="B43" s="298"/>
      <c r="C43" s="842"/>
      <c r="D43" s="842"/>
      <c r="E43" s="842"/>
      <c r="F43" s="842"/>
      <c r="G43" s="842"/>
      <c r="H43" s="842"/>
      <c r="I43" s="842"/>
      <c r="J43" s="842"/>
      <c r="K43" s="842"/>
      <c r="L43" s="842"/>
      <c r="M43" s="842"/>
      <c r="N43" s="842"/>
      <c r="O43" s="842"/>
      <c r="P43" s="842"/>
      <c r="Q43" s="842"/>
      <c r="R43" s="842"/>
      <c r="S43" s="842"/>
      <c r="T43" s="842"/>
      <c r="U43" s="842"/>
      <c r="V43" s="842"/>
      <c r="W43" s="842"/>
      <c r="X43" s="842"/>
    </row>
    <row r="44" spans="1:24" x14ac:dyDescent="0.25">
      <c r="A44" s="744"/>
      <c r="B44" s="298"/>
      <c r="C44" s="842"/>
      <c r="D44" s="842"/>
      <c r="E44" s="842"/>
      <c r="F44" s="842"/>
      <c r="G44" s="842"/>
      <c r="H44" s="842"/>
      <c r="I44" s="842"/>
      <c r="J44" s="842"/>
      <c r="K44" s="842"/>
      <c r="L44" s="842"/>
      <c r="M44" s="842"/>
      <c r="N44" s="842"/>
      <c r="O44" s="842"/>
      <c r="P44" s="842"/>
      <c r="Q44" s="842"/>
      <c r="R44" s="842"/>
      <c r="S44" s="842"/>
      <c r="T44" s="842"/>
      <c r="U44" s="842"/>
      <c r="V44" s="842"/>
      <c r="W44" s="842"/>
      <c r="X44" s="842"/>
    </row>
    <row r="45" spans="1:24" x14ac:dyDescent="0.25">
      <c r="A45" s="744"/>
      <c r="B45" s="842"/>
      <c r="C45" s="299"/>
      <c r="D45" s="299"/>
      <c r="E45" s="299"/>
      <c r="F45" s="299"/>
      <c r="G45" s="299"/>
      <c r="H45" s="299"/>
      <c r="I45" s="299"/>
      <c r="J45" s="299"/>
      <c r="K45" s="299"/>
      <c r="L45" s="299"/>
      <c r="M45" s="299"/>
      <c r="N45" s="299"/>
      <c r="O45" s="299"/>
      <c r="P45" s="299"/>
      <c r="Q45" s="299"/>
      <c r="R45" s="299"/>
    </row>
  </sheetData>
  <sheetProtection password="DFD3" sheet="1" objects="1" scenarios="1"/>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StartAnalysis">
                <anchor moveWithCells="1" sizeWithCells="1">
                  <from>
                    <xdr:col>0</xdr:col>
                    <xdr:colOff>5524500</xdr:colOff>
                    <xdr:row>20</xdr:row>
                    <xdr:rowOff>123825</xdr:rowOff>
                  </from>
                  <to>
                    <xdr:col>0</xdr:col>
                    <xdr:colOff>7172325</xdr:colOff>
                    <xdr:row>23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B050"/>
    <pageSetUpPr autoPageBreaks="0"/>
  </sheetPr>
  <dimension ref="A1:BF845"/>
  <sheetViews>
    <sheetView workbookViewId="0"/>
  </sheetViews>
  <sheetFormatPr defaultRowHeight="15" x14ac:dyDescent="0.25"/>
  <cols>
    <col min="1" max="1" width="59" customWidth="1"/>
    <col min="2" max="2" width="23.5703125" customWidth="1"/>
    <col min="3" max="3" width="15.140625" customWidth="1"/>
    <col min="4" max="4" width="13" customWidth="1"/>
    <col min="5" max="5" width="22.5703125" customWidth="1"/>
    <col min="6" max="6" width="18.28515625" customWidth="1"/>
    <col min="7" max="16" width="17.42578125" customWidth="1"/>
    <col min="17" max="17" width="2.7109375" style="46" customWidth="1"/>
    <col min="18" max="18" width="53.28515625" customWidth="1"/>
    <col min="19" max="19" width="20.140625" customWidth="1"/>
    <col min="20" max="20" width="13.5703125" customWidth="1"/>
    <col min="21" max="21" width="18.28515625" style="99" customWidth="1"/>
    <col min="22" max="22" width="15.85546875" customWidth="1"/>
    <col min="23" max="23" width="12.85546875" customWidth="1"/>
    <col min="25" max="25" width="18.140625" customWidth="1"/>
  </cols>
  <sheetData>
    <row r="1" spans="1:24" ht="33" customHeight="1" x14ac:dyDescent="0.25">
      <c r="A1" s="1197" t="s">
        <v>728</v>
      </c>
      <c r="B1" s="301"/>
      <c r="C1" s="301"/>
      <c r="D1" s="301"/>
      <c r="E1" s="301"/>
      <c r="F1" s="301"/>
      <c r="G1" s="301"/>
      <c r="H1" s="301"/>
      <c r="I1" s="301"/>
      <c r="J1" s="301"/>
      <c r="K1" s="301"/>
      <c r="L1" s="301"/>
      <c r="M1" s="301"/>
      <c r="N1" s="301"/>
      <c r="O1" s="301"/>
      <c r="P1" s="301"/>
      <c r="R1" s="810"/>
      <c r="S1" s="810"/>
      <c r="T1" s="810"/>
      <c r="U1" s="810"/>
      <c r="V1" s="810"/>
      <c r="W1" s="810"/>
      <c r="X1" s="810"/>
    </row>
    <row r="2" spans="1:24" x14ac:dyDescent="0.25">
      <c r="A2" s="302" t="s">
        <v>756</v>
      </c>
      <c r="B2" s="303"/>
      <c r="C2" s="303"/>
      <c r="D2" s="303"/>
      <c r="E2" s="303"/>
      <c r="F2" s="303"/>
      <c r="G2" s="546"/>
      <c r="H2" s="546"/>
      <c r="I2" s="546"/>
      <c r="J2" s="546"/>
      <c r="K2" s="546"/>
      <c r="L2" s="546"/>
      <c r="M2" s="546"/>
      <c r="N2" s="546"/>
      <c r="O2" s="546"/>
      <c r="P2" s="546"/>
      <c r="R2" s="810"/>
      <c r="S2" s="810"/>
      <c r="T2" s="810"/>
      <c r="U2" s="810"/>
      <c r="V2" s="810"/>
      <c r="W2" s="810"/>
      <c r="X2" s="810"/>
    </row>
    <row r="3" spans="1:24" x14ac:dyDescent="0.25">
      <c r="A3" s="302" t="s">
        <v>892</v>
      </c>
      <c r="B3" s="303"/>
      <c r="C3" s="303"/>
      <c r="D3" s="303"/>
      <c r="E3" s="303"/>
      <c r="F3" s="303"/>
      <c r="G3" s="546"/>
      <c r="H3" s="546"/>
      <c r="I3" s="546"/>
      <c r="J3" s="546"/>
      <c r="K3" s="546"/>
      <c r="L3" s="546"/>
      <c r="M3" s="546"/>
      <c r="N3" s="546"/>
      <c r="O3" s="546"/>
      <c r="P3" s="546"/>
      <c r="R3" s="810"/>
      <c r="S3" s="810"/>
      <c r="T3" s="810"/>
      <c r="U3" s="810"/>
      <c r="V3" s="810"/>
      <c r="W3" s="810"/>
      <c r="X3" s="810"/>
    </row>
    <row r="4" spans="1:24" x14ac:dyDescent="0.25">
      <c r="A4" s="302" t="s">
        <v>891</v>
      </c>
      <c r="B4" s="303"/>
      <c r="C4" s="303"/>
      <c r="D4" s="303"/>
      <c r="E4" s="303"/>
      <c r="F4" s="303"/>
      <c r="G4" s="546"/>
      <c r="H4" s="546"/>
      <c r="I4" s="546"/>
      <c r="J4" s="546"/>
      <c r="K4" s="546"/>
      <c r="L4" s="546"/>
      <c r="M4" s="546"/>
      <c r="N4" s="546"/>
      <c r="O4" s="546"/>
      <c r="P4" s="546"/>
      <c r="R4" s="810"/>
      <c r="S4" s="810"/>
      <c r="T4" s="810"/>
      <c r="U4" s="810"/>
      <c r="V4" s="810"/>
      <c r="W4" s="810"/>
      <c r="X4" s="810"/>
    </row>
    <row r="5" spans="1:24" x14ac:dyDescent="0.25">
      <c r="A5" s="302" t="s">
        <v>872</v>
      </c>
      <c r="B5" s="303"/>
      <c r="C5" s="303"/>
      <c r="D5" s="303"/>
      <c r="E5" s="303"/>
      <c r="F5" s="303"/>
      <c r="G5" s="546"/>
      <c r="H5" s="546"/>
      <c r="I5" s="546"/>
      <c r="J5" s="546"/>
      <c r="K5" s="546"/>
      <c r="L5" s="546"/>
      <c r="M5" s="546"/>
      <c r="N5" s="546"/>
      <c r="O5" s="546"/>
      <c r="P5" s="546"/>
      <c r="R5" s="810"/>
      <c r="S5" s="810"/>
      <c r="T5" s="810"/>
      <c r="U5" s="810"/>
      <c r="V5" s="810"/>
      <c r="W5" s="810"/>
      <c r="X5" s="810"/>
    </row>
    <row r="6" spans="1:24" x14ac:dyDescent="0.25">
      <c r="A6" s="302" t="s">
        <v>893</v>
      </c>
      <c r="B6" s="303"/>
      <c r="C6" s="303"/>
      <c r="D6" s="303"/>
      <c r="E6" s="303"/>
      <c r="F6" s="303"/>
      <c r="G6" s="546"/>
      <c r="H6" s="546"/>
      <c r="I6" s="546"/>
      <c r="J6" s="546"/>
      <c r="K6" s="546"/>
      <c r="L6" s="546"/>
      <c r="M6" s="546"/>
      <c r="N6" s="546"/>
      <c r="O6" s="546"/>
      <c r="P6" s="546"/>
      <c r="R6" s="810"/>
      <c r="S6" s="810"/>
      <c r="T6" s="810"/>
      <c r="U6" s="810"/>
      <c r="V6" s="810"/>
      <c r="W6" s="810"/>
      <c r="X6" s="810"/>
    </row>
    <row r="7" spans="1:24" x14ac:dyDescent="0.25">
      <c r="A7" s="302" t="s">
        <v>727</v>
      </c>
      <c r="B7" s="303"/>
      <c r="C7" s="303"/>
      <c r="D7" s="303"/>
      <c r="E7" s="303"/>
      <c r="F7" s="303"/>
      <c r="G7" s="546"/>
      <c r="H7" s="546"/>
      <c r="I7" s="1202"/>
      <c r="J7" s="546"/>
      <c r="K7" s="546"/>
      <c r="L7" s="546"/>
      <c r="M7" s="546"/>
      <c r="N7" s="546"/>
      <c r="O7" s="546"/>
      <c r="P7" s="546"/>
      <c r="R7" s="810"/>
      <c r="S7" s="810"/>
      <c r="T7" s="810"/>
      <c r="U7" s="810"/>
      <c r="V7" s="810"/>
      <c r="W7" s="810"/>
      <c r="X7" s="810"/>
    </row>
    <row r="8" spans="1:24" x14ac:dyDescent="0.25">
      <c r="A8" s="302" t="s">
        <v>757</v>
      </c>
      <c r="B8" s="303"/>
      <c r="C8" s="303"/>
      <c r="D8" s="303"/>
      <c r="E8" s="304"/>
      <c r="F8" s="303"/>
      <c r="G8" s="546"/>
      <c r="H8" s="1201"/>
      <c r="I8" s="546"/>
      <c r="J8" s="546"/>
      <c r="K8" s="546"/>
      <c r="L8" s="546"/>
      <c r="M8" s="546"/>
      <c r="N8" s="546"/>
      <c r="O8" s="546"/>
      <c r="P8" s="546"/>
      <c r="R8" s="810"/>
      <c r="S8" s="810"/>
      <c r="T8" s="810"/>
      <c r="U8" s="810"/>
      <c r="V8" s="810"/>
      <c r="W8" s="810"/>
      <c r="X8" s="810"/>
    </row>
    <row r="9" spans="1:24" ht="38.25" customHeight="1" x14ac:dyDescent="0.35">
      <c r="A9" s="1199" t="s">
        <v>147</v>
      </c>
      <c r="B9" s="305"/>
      <c r="C9" s="305"/>
      <c r="D9" s="315"/>
      <c r="E9" s="313"/>
      <c r="F9" s="305"/>
      <c r="G9" s="305"/>
      <c r="H9" s="305"/>
      <c r="I9" s="305"/>
      <c r="J9" s="305"/>
      <c r="K9" s="305"/>
      <c r="L9" s="305"/>
      <c r="M9" s="305"/>
      <c r="N9" s="305"/>
      <c r="O9" s="305"/>
      <c r="P9" s="305"/>
    </row>
    <row r="10" spans="1:24" ht="19.5" customHeight="1" x14ac:dyDescent="0.3">
      <c r="A10" s="307" t="s">
        <v>146</v>
      </c>
      <c r="B10" s="305"/>
      <c r="C10" s="316"/>
      <c r="D10" s="305"/>
      <c r="E10" s="305"/>
      <c r="F10" s="305"/>
      <c r="G10" s="305"/>
      <c r="H10" s="305"/>
      <c r="I10" s="305"/>
      <c r="J10" s="305"/>
      <c r="K10" s="305"/>
      <c r="L10" s="305"/>
      <c r="M10" s="305"/>
      <c r="N10" s="305"/>
      <c r="O10" s="305"/>
      <c r="P10" s="305"/>
    </row>
    <row r="11" spans="1:24" ht="15" customHeight="1" x14ac:dyDescent="0.25">
      <c r="A11" s="309" t="s">
        <v>732</v>
      </c>
      <c r="B11" s="1073" t="s">
        <v>1398</v>
      </c>
      <c r="C11" s="316"/>
      <c r="D11" s="305"/>
      <c r="E11" s="305"/>
      <c r="F11" s="305"/>
      <c r="G11" s="305"/>
      <c r="H11" s="305"/>
      <c r="I11" s="305"/>
      <c r="J11" s="305"/>
      <c r="K11" s="305"/>
      <c r="L11" s="305"/>
      <c r="M11" s="305"/>
      <c r="N11" s="305"/>
      <c r="O11" s="305"/>
      <c r="P11" s="305"/>
    </row>
    <row r="12" spans="1:24" ht="18.75" customHeight="1" x14ac:dyDescent="0.25">
      <c r="A12" s="308" t="s">
        <v>145</v>
      </c>
      <c r="B12" s="351"/>
      <c r="C12" s="316"/>
      <c r="D12" s="305"/>
      <c r="E12" s="308" t="s">
        <v>749</v>
      </c>
      <c r="F12" s="305"/>
      <c r="G12" s="305"/>
      <c r="H12" s="443"/>
      <c r="I12" s="443"/>
      <c r="J12" s="443"/>
      <c r="K12" s="443"/>
      <c r="L12" s="443"/>
      <c r="M12" s="443"/>
      <c r="N12" s="443"/>
      <c r="O12" s="443"/>
      <c r="P12" s="443"/>
    </row>
    <row r="13" spans="1:24" x14ac:dyDescent="0.25">
      <c r="A13" s="309" t="s">
        <v>144</v>
      </c>
      <c r="B13" s="748" t="s">
        <v>638</v>
      </c>
      <c r="C13" s="316"/>
      <c r="D13" s="305"/>
      <c r="E13" s="305" t="s">
        <v>745</v>
      </c>
      <c r="F13" s="305"/>
      <c r="G13" s="442">
        <f>(1+B21)*B16</f>
        <v>12.226195879750069</v>
      </c>
      <c r="H13" s="443"/>
      <c r="I13" s="443"/>
      <c r="J13" s="443"/>
      <c r="K13" s="443"/>
      <c r="L13" s="443"/>
      <c r="M13" s="443"/>
      <c r="N13" s="443"/>
      <c r="O13" s="443"/>
      <c r="P13" s="443"/>
    </row>
    <row r="14" spans="1:24" ht="13.5" customHeight="1" x14ac:dyDescent="0.25">
      <c r="A14" s="309" t="s">
        <v>142</v>
      </c>
      <c r="B14" s="1043">
        <v>2010</v>
      </c>
      <c r="C14" s="305"/>
      <c r="D14" s="305"/>
      <c r="E14" s="305" t="s">
        <v>759</v>
      </c>
      <c r="F14" s="305"/>
      <c r="G14" s="336">
        <f>IF(B11="Simple",'Default Data'!K20,'Default Data'!T20)</f>
        <v>45928513.173691906</v>
      </c>
      <c r="H14" s="442"/>
      <c r="I14" s="442"/>
      <c r="J14" s="442"/>
      <c r="K14" s="442"/>
      <c r="L14" s="442"/>
      <c r="M14" s="442"/>
      <c r="N14" s="442"/>
      <c r="O14" s="442"/>
      <c r="P14" s="442"/>
    </row>
    <row r="15" spans="1:24" ht="14.25" customHeight="1" x14ac:dyDescent="0.25">
      <c r="A15" s="325" t="s">
        <v>1387</v>
      </c>
      <c r="B15" s="840">
        <v>21</v>
      </c>
      <c r="C15" s="305"/>
      <c r="D15" s="305"/>
      <c r="E15" s="305" t="s">
        <v>328</v>
      </c>
      <c r="F15" s="305"/>
      <c r="G15" s="349">
        <f>IF(B11="Advanced",IF(B18="Binary",D117+D123,D117+D134),G16*B16*1000)</f>
        <v>23549341.05120967</v>
      </c>
      <c r="H15" s="349"/>
      <c r="I15" s="349"/>
      <c r="J15" s="349"/>
      <c r="K15" s="349"/>
      <c r="L15" s="349"/>
      <c r="M15" s="349"/>
      <c r="N15" s="349"/>
      <c r="O15" s="349"/>
      <c r="P15" s="349"/>
    </row>
    <row r="16" spans="1:24" x14ac:dyDescent="0.25">
      <c r="A16" s="309" t="s">
        <v>1379</v>
      </c>
      <c r="B16" s="748">
        <v>10</v>
      </c>
      <c r="C16" s="305"/>
      <c r="D16" s="305"/>
      <c r="E16" s="305" t="str">
        <f>CONCATENATE(B$18," Installed Plant Cost ($/kW)")</f>
        <v>Binary Installed Plant Cost ($/kW)</v>
      </c>
      <c r="F16" s="305"/>
      <c r="G16" s="349">
        <f>IF(B18="Binary",'Binary Economies of Scale'!D11,'Flash Economies of Scale'!K38)</f>
        <v>2354.9341051209672</v>
      </c>
      <c r="H16" s="344"/>
      <c r="I16" s="344"/>
      <c r="J16" s="344"/>
      <c r="K16" s="344"/>
      <c r="L16" s="344"/>
      <c r="M16" s="344"/>
      <c r="N16" s="344"/>
      <c r="O16" s="344"/>
      <c r="P16" s="344"/>
    </row>
    <row r="17" spans="1:53" x14ac:dyDescent="0.25">
      <c r="A17" s="309" t="s">
        <v>748</v>
      </c>
      <c r="B17" s="748" t="s">
        <v>1394</v>
      </c>
      <c r="C17" s="316"/>
      <c r="D17" s="305"/>
      <c r="E17" s="305" t="s">
        <v>418</v>
      </c>
      <c r="F17" s="305"/>
      <c r="G17" s="349">
        <f>IF(B11="Advanced",D161/(B16*1000),'Default Data'!G20)</f>
        <v>150.86742170435937</v>
      </c>
      <c r="H17" s="349"/>
      <c r="I17" s="349"/>
      <c r="J17" s="349"/>
      <c r="K17" s="349"/>
      <c r="L17" s="349"/>
      <c r="M17" s="349"/>
      <c r="N17" s="349"/>
      <c r="O17" s="349"/>
      <c r="P17" s="349"/>
    </row>
    <row r="18" spans="1:53" x14ac:dyDescent="0.25">
      <c r="A18" s="309" t="s">
        <v>1380</v>
      </c>
      <c r="B18" s="748" t="s">
        <v>140</v>
      </c>
      <c r="C18" s="316"/>
      <c r="D18" s="305"/>
      <c r="E18" s="305" t="s">
        <v>419</v>
      </c>
      <c r="F18" s="305"/>
      <c r="G18" s="350">
        <f>G14/B16/1000</f>
        <v>4592.8513173691908</v>
      </c>
      <c r="H18" s="348"/>
      <c r="I18" s="348"/>
      <c r="J18" s="348"/>
      <c r="K18" s="348"/>
      <c r="L18" s="348"/>
      <c r="M18" s="348"/>
      <c r="N18" s="348"/>
      <c r="O18" s="348"/>
      <c r="P18" s="348"/>
    </row>
    <row r="19" spans="1:53" x14ac:dyDescent="0.25">
      <c r="A19" s="309" t="s">
        <v>746</v>
      </c>
      <c r="B19" s="748">
        <v>200</v>
      </c>
      <c r="C19" s="751" t="s">
        <v>1396</v>
      </c>
      <c r="D19" s="305"/>
      <c r="E19" s="305" t="s">
        <v>1015</v>
      </c>
      <c r="F19" s="305"/>
      <c r="G19" s="443">
        <f>IF(B18="Binary",(B16*1000/((G21*'Brine effectiveness'!C14)/1000)),(B16*1000/((G21*'Brine effectiveness'!C25)/1000)))</f>
        <v>1.8639767008858921</v>
      </c>
      <c r="H19" s="350"/>
      <c r="I19" s="350"/>
      <c r="J19" s="350"/>
      <c r="K19" s="350"/>
      <c r="L19" s="350"/>
      <c r="M19" s="350"/>
      <c r="N19" s="350"/>
      <c r="O19" s="350"/>
      <c r="P19" s="350"/>
    </row>
    <row r="20" spans="1:53" x14ac:dyDescent="0.25">
      <c r="A20" s="309" t="s">
        <v>747</v>
      </c>
      <c r="B20" s="747">
        <v>2250</v>
      </c>
      <c r="C20" s="752" t="s">
        <v>1377</v>
      </c>
      <c r="D20" s="305"/>
      <c r="E20" s="305" t="s">
        <v>1016</v>
      </c>
      <c r="F20" s="305"/>
      <c r="G20" s="443">
        <f>G19/B22</f>
        <v>0.93198835044294603</v>
      </c>
      <c r="H20" s="343"/>
      <c r="I20" s="343"/>
      <c r="J20" s="343"/>
      <c r="K20" s="343"/>
      <c r="L20" s="343"/>
      <c r="M20" s="343"/>
      <c r="N20" s="343"/>
      <c r="O20" s="343"/>
      <c r="P20" s="343"/>
    </row>
    <row r="21" spans="1:53" s="1196" customFormat="1" x14ac:dyDescent="0.25">
      <c r="A21" s="309" t="s">
        <v>1397</v>
      </c>
      <c r="B21" s="1026">
        <f>IF(C21="Model Derived",BA21,D21)</f>
        <v>0.22261958797500686</v>
      </c>
      <c r="C21" s="1204" t="s">
        <v>1395</v>
      </c>
      <c r="D21" s="1203">
        <v>0.27</v>
      </c>
      <c r="E21" s="305" t="s">
        <v>1332</v>
      </c>
      <c r="F21" s="305"/>
      <c r="G21" s="345">
        <f>'Default Data'!C5*2.20462*60*60</f>
        <v>634930.55999999994</v>
      </c>
      <c r="H21" s="343"/>
      <c r="I21" s="343"/>
      <c r="J21" s="343"/>
      <c r="K21" s="343"/>
      <c r="L21" s="343"/>
      <c r="M21" s="343"/>
      <c r="N21" s="343"/>
      <c r="O21" s="343"/>
      <c r="P21" s="343"/>
      <c r="Q21" s="46"/>
      <c r="U21" s="99"/>
      <c r="BA21" s="1198">
        <f>IF($B$18="Binary",'Binary Parasitic Losses'!$D$7, 'Flash Parasitic Losses'!$D$7)</f>
        <v>0.22261958797500686</v>
      </c>
    </row>
    <row r="22" spans="1:53" x14ac:dyDescent="0.25">
      <c r="A22" s="309" t="s">
        <v>138</v>
      </c>
      <c r="B22" s="748">
        <v>2</v>
      </c>
      <c r="C22" s="316"/>
      <c r="D22" s="305"/>
      <c r="E22" s="305" t="s">
        <v>471</v>
      </c>
      <c r="F22" s="305"/>
      <c r="G22" s="345">
        <f>G21*G19</f>
        <v>1183495.7705204319</v>
      </c>
      <c r="H22" s="343"/>
      <c r="I22" s="343"/>
      <c r="J22" s="343"/>
      <c r="K22" s="343"/>
      <c r="L22" s="343"/>
      <c r="M22" s="343"/>
      <c r="N22" s="343"/>
      <c r="O22" s="343"/>
      <c r="P22" s="343"/>
      <c r="BA22" s="96"/>
    </row>
    <row r="23" spans="1:53" x14ac:dyDescent="0.25">
      <c r="A23" s="309" t="s">
        <v>729</v>
      </c>
      <c r="B23" s="748">
        <v>2</v>
      </c>
      <c r="C23" s="316"/>
      <c r="D23" s="305"/>
      <c r="E23" s="305" t="s">
        <v>472</v>
      </c>
      <c r="F23" s="305"/>
      <c r="G23" s="345">
        <f>7.4805*G21/('Fluid Density'!E18*60)</f>
        <v>1466.508428622469</v>
      </c>
      <c r="H23" s="346"/>
      <c r="I23" s="346"/>
      <c r="J23" s="346"/>
      <c r="K23" s="346"/>
      <c r="L23" s="346"/>
      <c r="M23" s="346"/>
      <c r="N23" s="346"/>
      <c r="O23" s="346"/>
      <c r="P23" s="346"/>
      <c r="BA23" s="364" t="s">
        <v>1392</v>
      </c>
    </row>
    <row r="24" spans="1:53" s="1194" customFormat="1" x14ac:dyDescent="0.25">
      <c r="A24" s="309" t="s">
        <v>1378</v>
      </c>
      <c r="B24" s="748">
        <v>0.5</v>
      </c>
      <c r="C24" s="316"/>
      <c r="D24" s="305"/>
      <c r="E24" s="305"/>
      <c r="F24" s="305"/>
      <c r="G24" s="346"/>
      <c r="H24" s="346"/>
      <c r="I24" s="346"/>
      <c r="J24" s="346"/>
      <c r="K24" s="346"/>
      <c r="L24" s="346"/>
      <c r="M24" s="346"/>
      <c r="N24" s="346"/>
      <c r="O24" s="346"/>
      <c r="P24" s="346"/>
      <c r="Q24" s="46"/>
      <c r="U24" s="99"/>
      <c r="BA24" s="364" t="s">
        <v>1393</v>
      </c>
    </row>
    <row r="25" spans="1:53" x14ac:dyDescent="0.25">
      <c r="A25" s="309" t="s">
        <v>1388</v>
      </c>
      <c r="B25" s="748">
        <v>80</v>
      </c>
      <c r="C25" s="447"/>
      <c r="D25" s="305"/>
      <c r="E25" s="305"/>
      <c r="F25" s="305"/>
      <c r="G25" s="345"/>
      <c r="H25" s="345"/>
      <c r="I25" s="345"/>
      <c r="J25" s="345"/>
      <c r="K25" s="345"/>
      <c r="L25" s="345"/>
      <c r="M25" s="345"/>
      <c r="N25" s="345"/>
      <c r="O25" s="345"/>
      <c r="P25" s="345"/>
    </row>
    <row r="26" spans="1:53" x14ac:dyDescent="0.25">
      <c r="A26" s="309" t="s">
        <v>1382</v>
      </c>
      <c r="B26" s="750">
        <v>700000</v>
      </c>
      <c r="C26" s="316"/>
      <c r="D26" s="305"/>
      <c r="E26" s="305"/>
      <c r="F26" s="305"/>
      <c r="G26" s="347"/>
      <c r="H26" s="347"/>
      <c r="I26" s="347"/>
      <c r="J26" s="347"/>
      <c r="K26" s="347"/>
      <c r="L26" s="347"/>
      <c r="M26" s="347"/>
      <c r="N26" s="347"/>
      <c r="O26" s="347"/>
      <c r="P26" s="347"/>
    </row>
    <row r="27" spans="1:53" x14ac:dyDescent="0.25">
      <c r="A27" s="309" t="s">
        <v>1383</v>
      </c>
      <c r="B27" s="748" t="s">
        <v>279</v>
      </c>
      <c r="C27" s="316"/>
      <c r="D27" s="305"/>
      <c r="E27" s="305"/>
      <c r="F27" s="305"/>
      <c r="G27" s="347"/>
      <c r="H27" s="347"/>
      <c r="I27" s="347"/>
      <c r="J27" s="347"/>
      <c r="K27" s="347"/>
      <c r="L27" s="347"/>
      <c r="M27" s="347"/>
      <c r="N27" s="347"/>
      <c r="O27" s="347"/>
      <c r="P27" s="347"/>
      <c r="U27" s="396"/>
    </row>
    <row r="28" spans="1:53" x14ac:dyDescent="0.25">
      <c r="A28" s="309" t="s">
        <v>1384</v>
      </c>
      <c r="B28" s="749" t="s">
        <v>279</v>
      </c>
      <c r="C28" s="316"/>
      <c r="D28" s="305"/>
      <c r="E28" s="305"/>
      <c r="F28" s="305"/>
      <c r="G28" s="305"/>
      <c r="H28" s="305"/>
      <c r="I28" s="305"/>
      <c r="J28" s="305"/>
      <c r="K28" s="305"/>
      <c r="L28" s="305"/>
      <c r="M28" s="305"/>
      <c r="N28" s="305"/>
      <c r="O28" s="305"/>
      <c r="P28" s="305"/>
      <c r="U28" s="452"/>
    </row>
    <row r="29" spans="1:53" x14ac:dyDescent="0.25">
      <c r="A29" s="309" t="s">
        <v>1389</v>
      </c>
      <c r="B29" s="841">
        <v>0.05</v>
      </c>
      <c r="C29" s="316"/>
      <c r="D29" s="305"/>
      <c r="E29" s="305"/>
      <c r="F29" s="305"/>
      <c r="G29" s="305"/>
      <c r="H29" s="305"/>
      <c r="I29" s="305"/>
      <c r="J29" s="305"/>
      <c r="K29" s="305"/>
      <c r="L29" s="305"/>
      <c r="M29" s="305"/>
      <c r="N29" s="305"/>
      <c r="O29" s="305"/>
      <c r="P29" s="305"/>
      <c r="U29" s="452"/>
    </row>
    <row r="30" spans="1:53" x14ac:dyDescent="0.25">
      <c r="A30" s="309" t="s">
        <v>1385</v>
      </c>
      <c r="B30" s="647">
        <v>0.02</v>
      </c>
      <c r="C30" s="316"/>
      <c r="D30" s="305"/>
      <c r="E30" s="305"/>
      <c r="F30" s="305"/>
      <c r="G30" s="305"/>
      <c r="H30" s="305"/>
      <c r="I30" s="305"/>
      <c r="J30" s="305"/>
      <c r="K30" s="305"/>
      <c r="L30" s="305"/>
      <c r="M30" s="305"/>
      <c r="N30" s="305"/>
      <c r="O30" s="305"/>
      <c r="P30" s="305"/>
      <c r="T30" s="453"/>
    </row>
    <row r="31" spans="1:53" x14ac:dyDescent="0.25">
      <c r="A31" s="1200" t="s">
        <v>1386</v>
      </c>
      <c r="B31" s="748">
        <v>2010</v>
      </c>
      <c r="C31" s="316"/>
      <c r="D31" s="305"/>
      <c r="E31" s="305"/>
      <c r="F31" s="305"/>
      <c r="G31" s="305"/>
      <c r="H31" s="305"/>
      <c r="I31" s="305"/>
      <c r="J31" s="305"/>
      <c r="K31" s="305"/>
      <c r="L31" s="305"/>
      <c r="M31" s="305"/>
      <c r="N31" s="305"/>
      <c r="O31" s="305"/>
      <c r="P31" s="305"/>
      <c r="T31" s="453"/>
    </row>
    <row r="32" spans="1:53" x14ac:dyDescent="0.25">
      <c r="A32" s="446" t="str">
        <f>IF(B11="Advanced","  Enter Advanced model inputs below.  Accept default values or revise values in white cells.","")</f>
        <v xml:space="preserve">  Enter Advanced model inputs below.  Accept default values or revise values in white cells.</v>
      </c>
      <c r="B32" s="335"/>
      <c r="C32" s="305"/>
      <c r="D32" s="317"/>
      <c r="E32" s="305"/>
      <c r="F32" s="305"/>
      <c r="G32" s="305"/>
      <c r="H32" s="305"/>
      <c r="I32" s="305"/>
      <c r="J32" s="305"/>
      <c r="K32" s="305"/>
      <c r="L32" s="305"/>
      <c r="M32" s="305"/>
      <c r="N32" s="305"/>
      <c r="O32" s="305"/>
      <c r="P32" s="305"/>
      <c r="R32" s="958"/>
      <c r="S32" s="562"/>
      <c r="T32" s="562"/>
      <c r="U32" s="562"/>
    </row>
    <row r="33" spans="1:58" x14ac:dyDescent="0.25">
      <c r="A33" s="959" t="str">
        <f>IF(B11="Advanced","          Press both Restore Default Values buttons to remove all user revisions made below.")</f>
        <v xml:space="preserve">          Press both Restore Default Values buttons to remove all user revisions made below.</v>
      </c>
      <c r="B33" s="305"/>
      <c r="C33" s="335"/>
      <c r="D33" s="335"/>
      <c r="E33" s="305"/>
      <c r="F33" s="305"/>
      <c r="G33" s="305"/>
      <c r="H33" s="305"/>
      <c r="I33" s="305"/>
      <c r="J33" s="305"/>
      <c r="K33" s="305"/>
      <c r="L33" s="305"/>
      <c r="M33" s="305"/>
      <c r="N33" s="305"/>
      <c r="O33" s="305"/>
      <c r="P33" s="305"/>
      <c r="R33" s="558"/>
      <c r="S33" s="36"/>
      <c r="T33" s="36"/>
      <c r="U33" s="358"/>
      <c r="V33" s="36"/>
    </row>
    <row r="34" spans="1:58" ht="18.75" x14ac:dyDescent="0.3">
      <c r="A34" s="312" t="s">
        <v>130</v>
      </c>
      <c r="B34" s="305"/>
      <c r="C34" s="305"/>
      <c r="D34" s="305"/>
      <c r="E34" s="305"/>
      <c r="F34" s="305"/>
      <c r="G34" s="305"/>
      <c r="H34" s="305"/>
      <c r="I34" s="305"/>
      <c r="J34" s="305"/>
      <c r="K34" s="305"/>
      <c r="L34" s="305"/>
      <c r="M34" s="305"/>
      <c r="N34" s="305"/>
      <c r="O34" s="305"/>
      <c r="P34" s="305"/>
      <c r="R34" s="36"/>
      <c r="S34" s="559"/>
      <c r="T34" s="559"/>
      <c r="U34" s="559"/>
      <c r="V34" s="36"/>
    </row>
    <row r="35" spans="1:58" ht="15.75" x14ac:dyDescent="0.25">
      <c r="A35" s="341" t="s">
        <v>125</v>
      </c>
      <c r="B35" s="339" t="s">
        <v>752</v>
      </c>
      <c r="C35" s="318"/>
      <c r="D35" s="351" t="s">
        <v>148</v>
      </c>
      <c r="E35" s="339" t="s">
        <v>750</v>
      </c>
      <c r="F35" s="339" t="s">
        <v>751</v>
      </c>
      <c r="G35" s="305"/>
      <c r="H35" s="305"/>
      <c r="I35" s="305"/>
      <c r="J35" s="305"/>
      <c r="K35" s="305"/>
      <c r="L35" s="305"/>
      <c r="M35" s="305"/>
      <c r="N35" s="305"/>
      <c r="O35" s="305"/>
      <c r="P35" s="305"/>
      <c r="R35" s="560"/>
      <c r="S35" s="559"/>
      <c r="T35" s="559"/>
      <c r="U35" s="559"/>
      <c r="V35" s="36"/>
    </row>
    <row r="36" spans="1:58" x14ac:dyDescent="0.25">
      <c r="A36" s="305" t="s">
        <v>734</v>
      </c>
      <c r="B36" s="1082">
        <f>'Default Data'!D35</f>
        <v>75</v>
      </c>
      <c r="C36" s="318"/>
      <c r="D36" s="1083">
        <f>'Default Data'!E35</f>
        <v>100000</v>
      </c>
      <c r="E36" s="467">
        <f>D36/D$137</f>
        <v>2.1772966963206752E-3</v>
      </c>
      <c r="F36" s="1086">
        <f>'Default Data'!H35</f>
        <v>0</v>
      </c>
      <c r="G36" s="305"/>
      <c r="H36" s="305"/>
      <c r="I36" s="305"/>
      <c r="J36" s="305"/>
      <c r="K36" s="305"/>
      <c r="L36" s="305"/>
      <c r="M36" s="305"/>
      <c r="N36" s="305"/>
      <c r="O36" s="305"/>
      <c r="P36" s="305"/>
      <c r="R36" s="36"/>
      <c r="S36" s="559"/>
      <c r="T36" s="559"/>
      <c r="U36" s="559"/>
      <c r="V36" s="36"/>
      <c r="BA36" s="1051" t="s">
        <v>734</v>
      </c>
      <c r="BB36" s="1082">
        <f>'Default Data'!BD35</f>
        <v>0</v>
      </c>
      <c r="BC36" s="1117"/>
      <c r="BD36" s="1083">
        <f>'Default Data'!BE35</f>
        <v>0</v>
      </c>
      <c r="BE36" s="1118"/>
      <c r="BF36" s="1086">
        <f>'Default Data'!BH35</f>
        <v>0</v>
      </c>
    </row>
    <row r="37" spans="1:58" x14ac:dyDescent="0.25">
      <c r="A37" s="305" t="s">
        <v>735</v>
      </c>
      <c r="B37" s="1082">
        <f>'Default Data'!D36</f>
        <v>75</v>
      </c>
      <c r="C37" s="318"/>
      <c r="D37" s="1084">
        <f>'Default Data'!E36</f>
        <v>200000</v>
      </c>
      <c r="E37" s="467">
        <f>D37/D$137</f>
        <v>4.3545933926413503E-3</v>
      </c>
      <c r="F37" s="1086">
        <f>'Default Data'!H36</f>
        <v>0</v>
      </c>
      <c r="G37" s="305"/>
      <c r="H37" s="305"/>
      <c r="I37" s="305"/>
      <c r="J37" s="305"/>
      <c r="K37" s="305"/>
      <c r="L37" s="305"/>
      <c r="M37" s="305"/>
      <c r="N37" s="305"/>
      <c r="O37" s="305"/>
      <c r="P37" s="305"/>
      <c r="R37" s="36"/>
      <c r="S37" s="559"/>
      <c r="T37" s="559"/>
      <c r="U37" s="559"/>
      <c r="V37" s="36"/>
      <c r="BA37" s="1051" t="s">
        <v>735</v>
      </c>
      <c r="BB37" s="1082">
        <f>'Default Data'!BD36</f>
        <v>0</v>
      </c>
      <c r="BC37" s="1117"/>
      <c r="BD37" s="1084">
        <f>'Default Data'!BE36</f>
        <v>0</v>
      </c>
      <c r="BE37" s="1118"/>
      <c r="BF37" s="1086">
        <f>'Default Data'!BH36</f>
        <v>0</v>
      </c>
    </row>
    <row r="38" spans="1:58" x14ac:dyDescent="0.25">
      <c r="A38" s="305" t="s">
        <v>736</v>
      </c>
      <c r="B38" s="305"/>
      <c r="C38" s="318"/>
      <c r="D38" s="1084">
        <f>'Default Data'!E37</f>
        <v>0</v>
      </c>
      <c r="E38" s="467">
        <f>D38/D$137</f>
        <v>0</v>
      </c>
      <c r="F38" s="1086">
        <f>'Default Data'!H37</f>
        <v>0</v>
      </c>
      <c r="G38" s="305"/>
      <c r="H38" s="305"/>
      <c r="I38" s="305"/>
      <c r="J38" s="305"/>
      <c r="K38" s="305"/>
      <c r="L38" s="305"/>
      <c r="M38" s="305"/>
      <c r="N38" s="305"/>
      <c r="O38" s="305"/>
      <c r="P38" s="305"/>
      <c r="R38" s="36"/>
      <c r="S38" s="559"/>
      <c r="T38" s="559"/>
      <c r="U38" s="559"/>
      <c r="V38" s="36"/>
      <c r="BA38" s="1051" t="s">
        <v>736</v>
      </c>
      <c r="BB38" s="1119"/>
      <c r="BC38" s="1117"/>
      <c r="BD38" s="1084">
        <f>'Default Data'!BE37</f>
        <v>0</v>
      </c>
      <c r="BE38" s="1118"/>
      <c r="BF38" s="1086">
        <f>'Default Data'!BH37</f>
        <v>0</v>
      </c>
    </row>
    <row r="39" spans="1:58" x14ac:dyDescent="0.25">
      <c r="A39" s="305" t="s">
        <v>737</v>
      </c>
      <c r="B39" s="305"/>
      <c r="C39" s="318"/>
      <c r="D39" s="1084">
        <f>B184</f>
        <v>771980</v>
      </c>
      <c r="E39" s="467">
        <f>D39/D$137</f>
        <v>1.6808295036256349E-2</v>
      </c>
      <c r="F39" s="1086">
        <f>'Default Data'!H38</f>
        <v>0</v>
      </c>
      <c r="G39" s="305"/>
      <c r="H39" s="305"/>
      <c r="I39" s="305"/>
      <c r="J39" s="305"/>
      <c r="K39" s="305"/>
      <c r="L39" s="305"/>
      <c r="M39" s="305"/>
      <c r="N39" s="305"/>
      <c r="O39" s="305"/>
      <c r="P39" s="305"/>
      <c r="R39" s="561"/>
      <c r="S39" s="559"/>
      <c r="T39" s="559"/>
      <c r="U39" s="559"/>
      <c r="V39" s="36"/>
      <c r="BA39" s="1051" t="s">
        <v>737</v>
      </c>
      <c r="BB39" s="1119"/>
      <c r="BC39" s="1117"/>
      <c r="BD39" s="1084">
        <f>BB184</f>
        <v>0</v>
      </c>
      <c r="BE39" s="1118"/>
      <c r="BF39" s="1086">
        <f>'Default Data'!BH38</f>
        <v>0</v>
      </c>
    </row>
    <row r="40" spans="1:58" ht="15.75" x14ac:dyDescent="0.25">
      <c r="A40" s="310" t="s">
        <v>120</v>
      </c>
      <c r="B40" s="305"/>
      <c r="C40" s="318"/>
      <c r="D40" s="305"/>
      <c r="E40" s="318"/>
      <c r="F40" s="1075"/>
      <c r="G40" s="305"/>
      <c r="H40" s="305"/>
      <c r="I40" s="305"/>
      <c r="J40" s="305"/>
      <c r="K40" s="305"/>
      <c r="L40" s="305"/>
      <c r="M40" s="305"/>
      <c r="N40" s="305"/>
      <c r="O40" s="305"/>
      <c r="P40" s="305"/>
      <c r="R40" s="36"/>
      <c r="S40" s="36"/>
      <c r="T40" s="36"/>
      <c r="U40" s="358"/>
      <c r="V40" s="36"/>
      <c r="BA40" s="1052" t="s">
        <v>120</v>
      </c>
      <c r="BB40" s="1119"/>
      <c r="BC40" s="1117"/>
      <c r="BD40" s="1119"/>
      <c r="BE40" s="1117"/>
      <c r="BF40" s="1120"/>
    </row>
    <row r="41" spans="1:58" x14ac:dyDescent="0.25">
      <c r="A41" s="305" t="s">
        <v>738</v>
      </c>
      <c r="B41" s="1082">
        <f>'Default Data'!D40</f>
        <v>59.37</v>
      </c>
      <c r="C41" s="318"/>
      <c r="D41" s="1083">
        <f>'Default Data'!E40</f>
        <v>100000</v>
      </c>
      <c r="E41" s="467">
        <f t="shared" ref="E41:E48" si="0">D41/D$137</f>
        <v>2.1772966963206752E-3</v>
      </c>
      <c r="F41" s="1086">
        <f>'Default Data'!H40</f>
        <v>1</v>
      </c>
      <c r="G41" s="305"/>
      <c r="H41" s="305"/>
      <c r="I41" s="305"/>
      <c r="J41" s="305"/>
      <c r="K41" s="305"/>
      <c r="L41" s="305"/>
      <c r="M41" s="305"/>
      <c r="N41" s="305"/>
      <c r="O41" s="305"/>
      <c r="P41" s="305"/>
      <c r="R41" s="558"/>
      <c r="S41" s="36"/>
      <c r="T41" s="36"/>
      <c r="U41" s="358"/>
      <c r="V41" s="36"/>
      <c r="BA41" s="1051" t="s">
        <v>738</v>
      </c>
      <c r="BB41" s="1082">
        <f>'Default Data'!BD40</f>
        <v>0</v>
      </c>
      <c r="BC41" s="1117"/>
      <c r="BD41" s="1083">
        <f>'Default Data'!BE40</f>
        <v>0</v>
      </c>
      <c r="BE41" s="1118"/>
      <c r="BF41" s="1086">
        <f>'Default Data'!BH40</f>
        <v>0</v>
      </c>
    </row>
    <row r="42" spans="1:58" x14ac:dyDescent="0.25">
      <c r="A42" s="305" t="s">
        <v>739</v>
      </c>
      <c r="B42" s="1082">
        <f>'Default Data'!D41</f>
        <v>59.37</v>
      </c>
      <c r="C42" s="318"/>
      <c r="D42" s="1084">
        <f>'Default Data'!E41</f>
        <v>80000</v>
      </c>
      <c r="E42" s="467">
        <f t="shared" si="0"/>
        <v>1.7418373570565401E-3</v>
      </c>
      <c r="F42" s="1086">
        <f>'Default Data'!H41</f>
        <v>0</v>
      </c>
      <c r="G42" s="305"/>
      <c r="H42" s="305"/>
      <c r="I42" s="305"/>
      <c r="J42" s="305"/>
      <c r="K42" s="305"/>
      <c r="L42" s="305"/>
      <c r="M42" s="305"/>
      <c r="N42" s="305"/>
      <c r="O42" s="305"/>
      <c r="P42" s="305"/>
      <c r="R42" s="36"/>
      <c r="S42" s="559"/>
      <c r="T42" s="559"/>
      <c r="U42" s="559"/>
      <c r="V42" s="36"/>
      <c r="BA42" s="1051" t="s">
        <v>739</v>
      </c>
      <c r="BB42" s="1082">
        <f>'Default Data'!BD41</f>
        <v>0</v>
      </c>
      <c r="BC42" s="1117"/>
      <c r="BD42" s="1084">
        <f>'Default Data'!BE41</f>
        <v>0</v>
      </c>
      <c r="BE42" s="1118"/>
      <c r="BF42" s="1086">
        <f>'Default Data'!BH41</f>
        <v>0</v>
      </c>
    </row>
    <row r="43" spans="1:58" x14ac:dyDescent="0.25">
      <c r="A43" s="305" t="s">
        <v>740</v>
      </c>
      <c r="B43" s="1082">
        <f>'Default Data'!D42</f>
        <v>59.37</v>
      </c>
      <c r="C43" s="318"/>
      <c r="D43" s="1084">
        <f>'Default Data'!E42</f>
        <v>50000</v>
      </c>
      <c r="E43" s="467">
        <f t="shared" si="0"/>
        <v>1.0886483481603376E-3</v>
      </c>
      <c r="F43" s="1086">
        <f>'Default Data'!H42</f>
        <v>0</v>
      </c>
      <c r="G43" s="305"/>
      <c r="H43" s="305"/>
      <c r="I43" s="305"/>
      <c r="J43" s="305"/>
      <c r="K43" s="305"/>
      <c r="L43" s="305"/>
      <c r="M43" s="305"/>
      <c r="N43" s="305"/>
      <c r="O43" s="305"/>
      <c r="P43" s="305"/>
      <c r="R43" s="36"/>
      <c r="S43" s="559"/>
      <c r="T43" s="559"/>
      <c r="U43" s="559"/>
      <c r="V43" s="36"/>
      <c r="BA43" s="1051" t="s">
        <v>740</v>
      </c>
      <c r="BB43" s="1082">
        <f>'Default Data'!BD42</f>
        <v>0</v>
      </c>
      <c r="BC43" s="1117"/>
      <c r="BD43" s="1084">
        <f>'Default Data'!BE42</f>
        <v>0</v>
      </c>
      <c r="BE43" s="1118"/>
      <c r="BF43" s="1086">
        <f>'Default Data'!BH42</f>
        <v>0</v>
      </c>
    </row>
    <row r="44" spans="1:58" x14ac:dyDescent="0.25">
      <c r="A44" s="305" t="s">
        <v>741</v>
      </c>
      <c r="B44" s="1082">
        <f>'Default Data'!D43</f>
        <v>59.37</v>
      </c>
      <c r="C44" s="318"/>
      <c r="D44" s="1084">
        <f>'Default Data'!E43</f>
        <v>75000</v>
      </c>
      <c r="E44" s="467">
        <f t="shared" si="0"/>
        <v>1.6329725222405064E-3</v>
      </c>
      <c r="F44" s="1086">
        <f>'Default Data'!H43</f>
        <v>0</v>
      </c>
      <c r="G44" s="305"/>
      <c r="H44" s="305"/>
      <c r="I44" s="305"/>
      <c r="J44" s="305"/>
      <c r="K44" s="305"/>
      <c r="L44" s="305"/>
      <c r="M44" s="305"/>
      <c r="N44" s="305"/>
      <c r="O44" s="305"/>
      <c r="P44" s="305"/>
      <c r="R44" s="36"/>
      <c r="S44" s="559"/>
      <c r="T44" s="559"/>
      <c r="U44" s="559"/>
      <c r="V44" s="36"/>
      <c r="BA44" s="1051" t="s">
        <v>741</v>
      </c>
      <c r="BB44" s="1082">
        <f>'Default Data'!BD43</f>
        <v>0</v>
      </c>
      <c r="BC44" s="1117"/>
      <c r="BD44" s="1084">
        <f>'Default Data'!BE43</f>
        <v>0</v>
      </c>
      <c r="BE44" s="1118"/>
      <c r="BF44" s="1086">
        <f>'Default Data'!BH43</f>
        <v>0</v>
      </c>
    </row>
    <row r="45" spans="1:58" x14ac:dyDescent="0.25">
      <c r="A45" s="305" t="s">
        <v>742</v>
      </c>
      <c r="B45" s="1082">
        <f>'Default Data'!D44</f>
        <v>30</v>
      </c>
      <c r="C45" s="318"/>
      <c r="D45" s="1084">
        <f>'Default Data'!E44</f>
        <v>50000</v>
      </c>
      <c r="E45" s="467">
        <f t="shared" si="0"/>
        <v>1.0886483481603376E-3</v>
      </c>
      <c r="F45" s="1086">
        <f>'Default Data'!H44</f>
        <v>0</v>
      </c>
      <c r="G45" s="305"/>
      <c r="H45" s="305"/>
      <c r="I45" s="305"/>
      <c r="J45" s="305"/>
      <c r="K45" s="305"/>
      <c r="L45" s="305"/>
      <c r="M45" s="305"/>
      <c r="N45" s="305"/>
      <c r="O45" s="305"/>
      <c r="P45" s="305"/>
      <c r="R45" s="561"/>
      <c r="S45" s="559"/>
      <c r="T45" s="559"/>
      <c r="U45" s="559"/>
      <c r="V45" s="36"/>
      <c r="BA45" s="1051" t="s">
        <v>742</v>
      </c>
      <c r="BB45" s="1082">
        <f>'Default Data'!BD44</f>
        <v>0</v>
      </c>
      <c r="BC45" s="1117"/>
      <c r="BD45" s="1084">
        <f>'Default Data'!BE44</f>
        <v>0</v>
      </c>
      <c r="BE45" s="1118"/>
      <c r="BF45" s="1086">
        <f>'Default Data'!BH44</f>
        <v>0</v>
      </c>
    </row>
    <row r="46" spans="1:58" x14ac:dyDescent="0.25">
      <c r="A46" s="305" t="s">
        <v>743</v>
      </c>
      <c r="B46" s="1082">
        <f>'Default Data'!D45</f>
        <v>60</v>
      </c>
      <c r="C46" s="318"/>
      <c r="D46" s="1084">
        <f>'Default Data'!E45</f>
        <v>0</v>
      </c>
      <c r="E46" s="467">
        <f t="shared" si="0"/>
        <v>0</v>
      </c>
      <c r="F46" s="1086">
        <f>'Default Data'!H45</f>
        <v>0</v>
      </c>
      <c r="G46" s="305"/>
      <c r="H46" s="305"/>
      <c r="I46" s="305"/>
      <c r="J46" s="305"/>
      <c r="K46" s="305"/>
      <c r="L46" s="305"/>
      <c r="M46" s="305"/>
      <c r="N46" s="305"/>
      <c r="O46" s="305"/>
      <c r="P46" s="305"/>
      <c r="R46" s="36"/>
      <c r="S46" s="36"/>
      <c r="T46" s="36"/>
      <c r="U46" s="358"/>
      <c r="V46" s="36"/>
      <c r="BA46" s="1051" t="s">
        <v>743</v>
      </c>
      <c r="BB46" s="1082">
        <f>'Default Data'!BD45</f>
        <v>0</v>
      </c>
      <c r="BC46" s="1117"/>
      <c r="BD46" s="1084">
        <f>'Default Data'!BE45</f>
        <v>0</v>
      </c>
      <c r="BE46" s="1118"/>
      <c r="BF46" s="1086">
        <f>'Default Data'!BH45</f>
        <v>0</v>
      </c>
    </row>
    <row r="47" spans="1:58" ht="15.75" thickBot="1" x14ac:dyDescent="0.3">
      <c r="A47" s="305" t="s">
        <v>744</v>
      </c>
      <c r="B47" s="305"/>
      <c r="C47" s="318"/>
      <c r="D47" s="1085">
        <f>'Default Data'!E46</f>
        <v>1000000</v>
      </c>
      <c r="E47" s="467">
        <f t="shared" si="0"/>
        <v>2.1772966963206752E-2</v>
      </c>
      <c r="F47" s="1086">
        <f>'Default Data'!H46</f>
        <v>0</v>
      </c>
      <c r="G47" s="333"/>
      <c r="H47" s="333"/>
      <c r="I47" s="333"/>
      <c r="J47" s="333"/>
      <c r="K47" s="333"/>
      <c r="L47" s="333"/>
      <c r="M47" s="333"/>
      <c r="N47" s="333"/>
      <c r="O47" s="333"/>
      <c r="P47" s="333"/>
      <c r="BA47" s="1051" t="s">
        <v>744</v>
      </c>
      <c r="BB47" s="1119"/>
      <c r="BC47" s="1117"/>
      <c r="BD47" s="1085">
        <f>'Default Data'!BE46</f>
        <v>0</v>
      </c>
      <c r="BE47" s="1118"/>
      <c r="BF47" s="1086">
        <f>'Default Data'!BH46</f>
        <v>0</v>
      </c>
    </row>
    <row r="48" spans="1:58" x14ac:dyDescent="0.25">
      <c r="A48" s="656" t="s">
        <v>788</v>
      </c>
      <c r="B48" s="666"/>
      <c r="C48" s="667"/>
      <c r="D48" s="1029">
        <f>SUM(D36:D47)</f>
        <v>2426980</v>
      </c>
      <c r="E48" s="665">
        <f t="shared" si="0"/>
        <v>5.2842555360363523E-2</v>
      </c>
      <c r="F48" s="753"/>
      <c r="G48" s="305"/>
      <c r="H48" s="305"/>
      <c r="I48" s="305"/>
      <c r="J48" s="305"/>
      <c r="K48" s="305"/>
      <c r="L48" s="305"/>
      <c r="M48" s="305"/>
      <c r="N48" s="305"/>
      <c r="O48" s="305"/>
      <c r="P48" s="305"/>
      <c r="BA48" s="1053" t="s">
        <v>788</v>
      </c>
      <c r="BB48" s="1121"/>
      <c r="BC48" s="1122"/>
      <c r="BD48" s="1123">
        <f>SUM(BD36:BD47)</f>
        <v>0</v>
      </c>
      <c r="BE48" s="1124"/>
      <c r="BF48" s="1125"/>
    </row>
    <row r="49" spans="1:58" x14ac:dyDescent="0.25">
      <c r="A49" s="313"/>
      <c r="B49" s="547"/>
      <c r="C49" s="314"/>
      <c r="D49" s="342"/>
      <c r="E49" s="548"/>
      <c r="F49" s="754"/>
      <c r="G49" s="305"/>
      <c r="H49" s="305"/>
      <c r="I49" s="305"/>
      <c r="J49" s="305"/>
      <c r="K49" s="305"/>
      <c r="L49" s="305"/>
      <c r="M49" s="305"/>
      <c r="N49" s="305"/>
      <c r="O49" s="305"/>
      <c r="P49" s="305"/>
      <c r="BA49" s="1054"/>
      <c r="BB49" s="1126"/>
      <c r="BC49" s="1127"/>
      <c r="BD49" s="1128"/>
      <c r="BE49" s="1129"/>
      <c r="BF49" s="1130"/>
    </row>
    <row r="50" spans="1:58" ht="15.75" x14ac:dyDescent="0.25">
      <c r="A50" s="310" t="s">
        <v>947</v>
      </c>
      <c r="B50" s="339" t="s">
        <v>33</v>
      </c>
      <c r="C50" s="340" t="s">
        <v>758</v>
      </c>
      <c r="D50" s="351" t="s">
        <v>148</v>
      </c>
      <c r="E50" s="339" t="s">
        <v>750</v>
      </c>
      <c r="F50" s="339" t="s">
        <v>751</v>
      </c>
      <c r="G50" s="335"/>
      <c r="H50" s="335"/>
      <c r="I50" s="335"/>
      <c r="J50" s="335"/>
      <c r="K50" s="335"/>
      <c r="L50" s="335"/>
      <c r="M50" s="335"/>
      <c r="N50" s="335"/>
      <c r="O50" s="335"/>
      <c r="P50" s="335"/>
      <c r="BA50" s="1052" t="s">
        <v>947</v>
      </c>
      <c r="BB50" s="1131" t="s">
        <v>33</v>
      </c>
      <c r="BC50" s="1132" t="s">
        <v>758</v>
      </c>
      <c r="BD50" s="1133" t="s">
        <v>148</v>
      </c>
      <c r="BE50" s="1131"/>
      <c r="BF50" s="1134" t="s">
        <v>751</v>
      </c>
    </row>
    <row r="51" spans="1:58" x14ac:dyDescent="0.25">
      <c r="A51" s="305" t="s">
        <v>738</v>
      </c>
      <c r="B51" s="1083">
        <f>'Default Data'!D50</f>
        <v>700</v>
      </c>
      <c r="C51" s="349">
        <f>B51*'Default Data'!$K$24</f>
        <v>27931.390540540538</v>
      </c>
      <c r="D51" s="336">
        <f t="shared" ref="D51:D68" si="1">C51*B$23</f>
        <v>55862.781081081077</v>
      </c>
      <c r="E51" s="467">
        <f t="shared" ref="E51:E69" si="2">D51/D$137</f>
        <v>1.2162984869512295E-3</v>
      </c>
      <c r="F51" s="1086">
        <f>'Default Data'!H50</f>
        <v>1</v>
      </c>
      <c r="G51" s="319"/>
      <c r="H51" s="319"/>
      <c r="I51" s="319"/>
      <c r="J51" s="319"/>
      <c r="K51" s="319"/>
      <c r="L51" s="319"/>
      <c r="M51" s="319"/>
      <c r="N51" s="319"/>
      <c r="O51" s="319"/>
      <c r="P51" s="319"/>
      <c r="BA51" s="1051" t="s">
        <v>738</v>
      </c>
      <c r="BB51" s="1083">
        <f>'Default Data'!BD50</f>
        <v>0</v>
      </c>
      <c r="BC51" s="1135">
        <f>BB51*'Default Data'!$K$24</f>
        <v>0</v>
      </c>
      <c r="BD51" s="1089">
        <f t="shared" ref="BD51:BD68" si="3">BC51*BB$23</f>
        <v>0</v>
      </c>
      <c r="BE51" s="1118"/>
      <c r="BF51" s="1086">
        <f>'Default Data'!BH50</f>
        <v>0</v>
      </c>
    </row>
    <row r="52" spans="1:58" x14ac:dyDescent="0.25">
      <c r="A52" s="305" t="s">
        <v>777</v>
      </c>
      <c r="B52" s="1084">
        <f>'Default Data'!D51</f>
        <v>800</v>
      </c>
      <c r="C52" s="349">
        <f>B52*'Default Data'!$K$24</f>
        <v>31921.589189189188</v>
      </c>
      <c r="D52" s="336">
        <f t="shared" si="1"/>
        <v>63843.178378378376</v>
      </c>
      <c r="E52" s="467">
        <f t="shared" si="2"/>
        <v>1.390055413658548E-3</v>
      </c>
      <c r="F52" s="1086">
        <f>'Default Data'!H51</f>
        <v>0</v>
      </c>
      <c r="G52" s="319"/>
      <c r="H52" s="319"/>
      <c r="I52" s="319"/>
      <c r="J52" s="319"/>
      <c r="K52" s="319"/>
      <c r="L52" s="319"/>
      <c r="M52" s="319"/>
      <c r="N52" s="319"/>
      <c r="O52" s="319"/>
      <c r="P52" s="319"/>
      <c r="BA52" s="1051" t="s">
        <v>777</v>
      </c>
      <c r="BB52" s="1084">
        <f>'Default Data'!BD51</f>
        <v>0</v>
      </c>
      <c r="BC52" s="1135">
        <f>BB52*'Default Data'!$K$24</f>
        <v>0</v>
      </c>
      <c r="BD52" s="1089">
        <f t="shared" si="3"/>
        <v>0</v>
      </c>
      <c r="BE52" s="1118"/>
      <c r="BF52" s="1086">
        <f>'Default Data'!BH51</f>
        <v>0</v>
      </c>
    </row>
    <row r="53" spans="1:58" x14ac:dyDescent="0.25">
      <c r="A53" s="305" t="s">
        <v>778</v>
      </c>
      <c r="B53" s="1084">
        <f>'Default Data'!D52</f>
        <v>5950</v>
      </c>
      <c r="C53" s="349">
        <f>B53*'Default Data'!$K$24</f>
        <v>237416.81959459459</v>
      </c>
      <c r="D53" s="336">
        <f t="shared" si="1"/>
        <v>474833.63918918918</v>
      </c>
      <c r="E53" s="467">
        <f t="shared" si="2"/>
        <v>1.0338537139085452E-2</v>
      </c>
      <c r="F53" s="1086">
        <f>'Default Data'!H52</f>
        <v>0</v>
      </c>
      <c r="G53" s="319"/>
      <c r="H53" s="319"/>
      <c r="I53" s="319"/>
      <c r="J53" s="319"/>
      <c r="K53" s="319"/>
      <c r="L53" s="319"/>
      <c r="M53" s="319"/>
      <c r="N53" s="319"/>
      <c r="O53" s="319"/>
      <c r="P53" s="319"/>
      <c r="BA53" s="1051" t="s">
        <v>778</v>
      </c>
      <c r="BB53" s="1084">
        <f>'Default Data'!BD52</f>
        <v>0</v>
      </c>
      <c r="BC53" s="1135">
        <f>BB53*'Default Data'!$K$24</f>
        <v>0</v>
      </c>
      <c r="BD53" s="1089">
        <f t="shared" si="3"/>
        <v>0</v>
      </c>
      <c r="BE53" s="1118"/>
      <c r="BF53" s="1086">
        <f>'Default Data'!BH52</f>
        <v>0</v>
      </c>
    </row>
    <row r="54" spans="1:58" x14ac:dyDescent="0.25">
      <c r="A54" s="305" t="s">
        <v>779</v>
      </c>
      <c r="B54" s="1084">
        <f>'Default Data'!D53</f>
        <v>2649.9999999999995</v>
      </c>
      <c r="C54" s="349">
        <f>B54*'Default Data'!$K$24*'Rates &amp; Misc'!M$25</f>
        <v>63444.158513513496</v>
      </c>
      <c r="D54" s="336">
        <f t="shared" si="1"/>
        <v>126888.31702702699</v>
      </c>
      <c r="E54" s="467">
        <f t="shared" si="2"/>
        <v>2.7627351346463636E-3</v>
      </c>
      <c r="F54" s="1086">
        <f>'Default Data'!H53</f>
        <v>0</v>
      </c>
      <c r="G54" s="319"/>
      <c r="H54" s="319"/>
      <c r="I54" s="319"/>
      <c r="J54" s="319"/>
      <c r="K54" s="319"/>
      <c r="L54" s="319"/>
      <c r="M54" s="319"/>
      <c r="N54" s="319"/>
      <c r="O54" s="319"/>
      <c r="P54" s="319"/>
      <c r="BA54" s="1051" t="s">
        <v>779</v>
      </c>
      <c r="BB54" s="1084">
        <f>'Default Data'!BD53</f>
        <v>0</v>
      </c>
      <c r="BC54" s="1135">
        <f>BB54*'Default Data'!$K$24*'Rates &amp; Misc'!BM$25</f>
        <v>0</v>
      </c>
      <c r="BD54" s="1089">
        <f t="shared" si="3"/>
        <v>0</v>
      </c>
      <c r="BE54" s="1118"/>
      <c r="BF54" s="1086">
        <f>'Default Data'!BH53</f>
        <v>0</v>
      </c>
    </row>
    <row r="55" spans="1:58" ht="15.75" customHeight="1" x14ac:dyDescent="0.25">
      <c r="A55" s="305" t="s">
        <v>780</v>
      </c>
      <c r="B55" s="1084">
        <f>'Default Data'!D54</f>
        <v>7858</v>
      </c>
      <c r="C55" s="349">
        <f>B55*'Default Data'!$K$24*'Rates &amp; Misc'!M$25</f>
        <v>188129.88588648647</v>
      </c>
      <c r="D55" s="336">
        <f t="shared" si="1"/>
        <v>376259.77177297295</v>
      </c>
      <c r="E55" s="467">
        <f t="shared" si="2"/>
        <v>8.1922915803966535E-3</v>
      </c>
      <c r="F55" s="1086">
        <f>'Default Data'!H54</f>
        <v>0</v>
      </c>
      <c r="G55" s="319"/>
      <c r="H55" s="319"/>
      <c r="I55" s="319"/>
      <c r="J55" s="319"/>
      <c r="K55" s="319"/>
      <c r="L55" s="319"/>
      <c r="M55" s="319"/>
      <c r="N55" s="319"/>
      <c r="O55" s="319"/>
      <c r="P55" s="319"/>
      <c r="BA55" s="1051" t="s">
        <v>780</v>
      </c>
      <c r="BB55" s="1084">
        <f>'Default Data'!BD54</f>
        <v>0</v>
      </c>
      <c r="BC55" s="1135">
        <f>BB55*'Default Data'!$K$24*'Rates &amp; Misc'!BM$25</f>
        <v>0</v>
      </c>
      <c r="BD55" s="1089">
        <f t="shared" si="3"/>
        <v>0</v>
      </c>
      <c r="BE55" s="1118"/>
      <c r="BF55" s="1086">
        <f>'Default Data'!BH54</f>
        <v>0</v>
      </c>
    </row>
    <row r="56" spans="1:58" x14ac:dyDescent="0.25">
      <c r="A56" s="305" t="s">
        <v>781</v>
      </c>
      <c r="B56" s="1084">
        <f>'Default Data'!D55</f>
        <v>1400</v>
      </c>
      <c r="C56" s="349">
        <f>B56*'Default Data'!K23</f>
        <v>65720.91891891892</v>
      </c>
      <c r="D56" s="336">
        <f t="shared" si="1"/>
        <v>131441.83783783784</v>
      </c>
      <c r="E56" s="467">
        <f t="shared" si="2"/>
        <v>2.8618787928264226E-3</v>
      </c>
      <c r="F56" s="1086">
        <f>'Default Data'!H55</f>
        <v>0</v>
      </c>
      <c r="G56" s="319"/>
      <c r="H56" s="319"/>
      <c r="I56" s="319"/>
      <c r="J56" s="319"/>
      <c r="K56" s="319"/>
      <c r="L56" s="319"/>
      <c r="M56" s="319"/>
      <c r="N56" s="319"/>
      <c r="O56" s="319"/>
      <c r="P56" s="319"/>
      <c r="BA56" s="1051" t="s">
        <v>781</v>
      </c>
      <c r="BB56" s="1084">
        <f>'Default Data'!BD55</f>
        <v>0</v>
      </c>
      <c r="BC56" s="1135">
        <f>BB56*'Default Data'!BK23</f>
        <v>0</v>
      </c>
      <c r="BD56" s="1089">
        <f t="shared" si="3"/>
        <v>0</v>
      </c>
      <c r="BE56" s="1118"/>
      <c r="BF56" s="1086">
        <f>'Default Data'!BH55</f>
        <v>0</v>
      </c>
    </row>
    <row r="57" spans="1:58" x14ac:dyDescent="0.25">
      <c r="A57" s="305" t="s">
        <v>782</v>
      </c>
      <c r="B57" s="1084">
        <f>'Default Data'!D56</f>
        <v>15000</v>
      </c>
      <c r="C57" s="349">
        <f>B57*'Default Data'!K$24</f>
        <v>598529.79729729728</v>
      </c>
      <c r="D57" s="336">
        <f t="shared" si="1"/>
        <v>1197059.5945945946</v>
      </c>
      <c r="E57" s="467">
        <f t="shared" si="2"/>
        <v>2.6063539006097775E-2</v>
      </c>
      <c r="F57" s="1086">
        <f>'Default Data'!H56</f>
        <v>0</v>
      </c>
      <c r="G57" s="319"/>
      <c r="H57" s="319"/>
      <c r="I57" s="319"/>
      <c r="J57" s="319"/>
      <c r="K57" s="319"/>
      <c r="L57" s="319"/>
      <c r="M57" s="319"/>
      <c r="N57" s="319"/>
      <c r="O57" s="319"/>
      <c r="P57" s="319"/>
      <c r="BA57" s="1051" t="s">
        <v>782</v>
      </c>
      <c r="BB57" s="1084">
        <f>'Default Data'!BD56</f>
        <v>0</v>
      </c>
      <c r="BC57" s="1135">
        <f>BB57*'Default Data'!BK$24</f>
        <v>0</v>
      </c>
      <c r="BD57" s="1089">
        <f t="shared" si="3"/>
        <v>0</v>
      </c>
      <c r="BE57" s="1118"/>
      <c r="BF57" s="1086">
        <f>'Default Data'!BH56</f>
        <v>0</v>
      </c>
    </row>
    <row r="58" spans="1:58" x14ac:dyDescent="0.25">
      <c r="A58" s="305" t="s">
        <v>1369</v>
      </c>
      <c r="B58" s="1084">
        <f>'Default Data'!D57</f>
        <v>2304</v>
      </c>
      <c r="C58" s="349">
        <f>B58*'Default Data'!K$24</f>
        <v>91934.176864864858</v>
      </c>
      <c r="D58" s="336">
        <f t="shared" si="1"/>
        <v>183868.35372972972</v>
      </c>
      <c r="E58" s="467">
        <f t="shared" si="2"/>
        <v>4.0033595913366183E-3</v>
      </c>
      <c r="F58" s="1086">
        <f>'Default Data'!H57</f>
        <v>0</v>
      </c>
      <c r="G58" s="319"/>
      <c r="H58" s="319"/>
      <c r="I58" s="319"/>
      <c r="J58" s="319"/>
      <c r="K58" s="319"/>
      <c r="L58" s="319"/>
      <c r="M58" s="319"/>
      <c r="N58" s="319"/>
      <c r="O58" s="319"/>
      <c r="P58" s="319"/>
      <c r="BA58" s="1051" t="s">
        <v>922</v>
      </c>
      <c r="BB58" s="1084">
        <f>'Default Data'!BD57</f>
        <v>0</v>
      </c>
      <c r="BC58" s="1135">
        <f>BB58*'Default Data'!BK$24</f>
        <v>0</v>
      </c>
      <c r="BD58" s="1089">
        <f t="shared" si="3"/>
        <v>0</v>
      </c>
      <c r="BE58" s="1118"/>
      <c r="BF58" s="1086">
        <f>'Default Data'!BH57</f>
        <v>0</v>
      </c>
    </row>
    <row r="59" spans="1:58" x14ac:dyDescent="0.25">
      <c r="A59" s="305" t="s">
        <v>98</v>
      </c>
      <c r="B59" s="336"/>
      <c r="C59" s="1083">
        <f>'Default Data'!E58</f>
        <v>5000</v>
      </c>
      <c r="D59" s="336">
        <f t="shared" si="1"/>
        <v>10000</v>
      </c>
      <c r="E59" s="467">
        <f t="shared" si="2"/>
        <v>2.1772966963206752E-4</v>
      </c>
      <c r="F59" s="1086">
        <f>'Default Data'!H58</f>
        <v>0</v>
      </c>
      <c r="G59" s="319"/>
      <c r="H59" s="319"/>
      <c r="I59" s="319"/>
      <c r="J59" s="319"/>
      <c r="K59" s="319"/>
      <c r="L59" s="319"/>
      <c r="M59" s="319"/>
      <c r="N59" s="319"/>
      <c r="O59" s="319"/>
      <c r="P59" s="319"/>
      <c r="BA59" s="1051" t="s">
        <v>98</v>
      </c>
      <c r="BB59" s="1089"/>
      <c r="BC59" s="1083">
        <f>'Default Data'!BE58</f>
        <v>0</v>
      </c>
      <c r="BD59" s="1089">
        <f t="shared" si="3"/>
        <v>0</v>
      </c>
      <c r="BE59" s="1118"/>
      <c r="BF59" s="1086">
        <f>'Default Data'!BH58</f>
        <v>0</v>
      </c>
    </row>
    <row r="60" spans="1:58" x14ac:dyDescent="0.25">
      <c r="A60" s="305" t="s">
        <v>334</v>
      </c>
      <c r="B60" s="336"/>
      <c r="C60" s="1084">
        <f>'Default Data'!E59</f>
        <v>125000</v>
      </c>
      <c r="D60" s="336">
        <f t="shared" si="1"/>
        <v>250000</v>
      </c>
      <c r="E60" s="467">
        <f t="shared" si="2"/>
        <v>5.4432417408016879E-3</v>
      </c>
      <c r="F60" s="1086">
        <f>'Default Data'!H59</f>
        <v>1</v>
      </c>
      <c r="G60" s="319"/>
      <c r="H60" s="319"/>
      <c r="I60" s="319"/>
      <c r="J60" s="319"/>
      <c r="K60" s="319"/>
      <c r="L60" s="319"/>
      <c r="M60" s="319"/>
      <c r="N60" s="319"/>
      <c r="O60" s="319"/>
      <c r="P60" s="319"/>
      <c r="BA60" s="1051" t="s">
        <v>334</v>
      </c>
      <c r="BB60" s="1089"/>
      <c r="BC60" s="1084">
        <f>'Default Data'!BE59</f>
        <v>0</v>
      </c>
      <c r="BD60" s="1089">
        <f t="shared" si="3"/>
        <v>0</v>
      </c>
      <c r="BE60" s="1118"/>
      <c r="BF60" s="1086">
        <f>'Default Data'!BH59</f>
        <v>0</v>
      </c>
    </row>
    <row r="61" spans="1:58" x14ac:dyDescent="0.25">
      <c r="A61" s="305" t="s">
        <v>387</v>
      </c>
      <c r="B61" s="455"/>
      <c r="C61" s="1084">
        <f>'Default Data'!E60</f>
        <v>978103.12500000023</v>
      </c>
      <c r="D61" s="336">
        <f t="shared" si="1"/>
        <v>1956206.2500000005</v>
      </c>
      <c r="E61" s="467">
        <f t="shared" si="2"/>
        <v>4.2592414054468578E-2</v>
      </c>
      <c r="F61" s="1086">
        <f>'Default Data'!H60</f>
        <v>1</v>
      </c>
      <c r="G61" s="319"/>
      <c r="H61" s="319"/>
      <c r="I61" s="319"/>
      <c r="J61" s="319"/>
      <c r="K61" s="319"/>
      <c r="L61" s="319"/>
      <c r="M61" s="319"/>
      <c r="N61" s="319"/>
      <c r="O61" s="319"/>
      <c r="P61" s="319"/>
      <c r="BA61" s="1051" t="s">
        <v>387</v>
      </c>
      <c r="BB61" s="1136"/>
      <c r="BC61" s="1084">
        <f>'Default Data'!BE60</f>
        <v>0</v>
      </c>
      <c r="BD61" s="1089">
        <f t="shared" si="3"/>
        <v>0</v>
      </c>
      <c r="BE61" s="1118"/>
      <c r="BF61" s="1086">
        <f>'Default Data'!BH60</f>
        <v>0</v>
      </c>
    </row>
    <row r="62" spans="1:58" x14ac:dyDescent="0.25">
      <c r="A62" s="305" t="s">
        <v>335</v>
      </c>
      <c r="B62" s="305"/>
      <c r="C62" s="1084">
        <f>'Default Data'!E61</f>
        <v>125000</v>
      </c>
      <c r="D62" s="336">
        <f t="shared" si="1"/>
        <v>250000</v>
      </c>
      <c r="E62" s="467">
        <f t="shared" si="2"/>
        <v>5.4432417408016879E-3</v>
      </c>
      <c r="F62" s="1086">
        <f>'Default Data'!H61</f>
        <v>0</v>
      </c>
      <c r="G62" s="319"/>
      <c r="H62" s="319"/>
      <c r="I62" s="319"/>
      <c r="J62" s="319"/>
      <c r="K62" s="319"/>
      <c r="L62" s="319"/>
      <c r="M62" s="319"/>
      <c r="N62" s="319"/>
      <c r="O62" s="319"/>
      <c r="P62" s="319"/>
      <c r="BA62" s="1051" t="s">
        <v>335</v>
      </c>
      <c r="BB62" s="1119"/>
      <c r="BC62" s="1084">
        <f>'Default Data'!BE61</f>
        <v>0</v>
      </c>
      <c r="BD62" s="1089">
        <f t="shared" si="3"/>
        <v>0</v>
      </c>
      <c r="BE62" s="1118"/>
      <c r="BF62" s="1086">
        <f>'Default Data'!BH61</f>
        <v>0</v>
      </c>
    </row>
    <row r="63" spans="1:58" x14ac:dyDescent="0.25">
      <c r="A63" s="305" t="s">
        <v>338</v>
      </c>
      <c r="B63" s="305"/>
      <c r="C63" s="1084">
        <f>'Default Data'!E62</f>
        <v>225000</v>
      </c>
      <c r="D63" s="336">
        <f t="shared" si="1"/>
        <v>450000</v>
      </c>
      <c r="E63" s="467">
        <f t="shared" si="2"/>
        <v>9.7978351334430391E-3</v>
      </c>
      <c r="F63" s="1086">
        <f>'Default Data'!H62</f>
        <v>0</v>
      </c>
      <c r="G63" s="319"/>
      <c r="H63" s="319"/>
      <c r="I63" s="319"/>
      <c r="J63" s="319"/>
      <c r="K63" s="319"/>
      <c r="L63" s="319"/>
      <c r="M63" s="319"/>
      <c r="N63" s="319"/>
      <c r="O63" s="319"/>
      <c r="P63" s="319"/>
      <c r="BA63" s="1051" t="s">
        <v>338</v>
      </c>
      <c r="BB63" s="1119"/>
      <c r="BC63" s="1084">
        <f>'Default Data'!BE62</f>
        <v>0</v>
      </c>
      <c r="BD63" s="1089">
        <f t="shared" si="3"/>
        <v>0</v>
      </c>
      <c r="BE63" s="1118"/>
      <c r="BF63" s="1086">
        <f>'Default Data'!BH62</f>
        <v>0</v>
      </c>
    </row>
    <row r="64" spans="1:58" x14ac:dyDescent="0.25">
      <c r="A64" s="305" t="s">
        <v>336</v>
      </c>
      <c r="B64" s="305"/>
      <c r="C64" s="1084">
        <f>'Default Data'!E63</f>
        <v>250000</v>
      </c>
      <c r="D64" s="336">
        <f t="shared" si="1"/>
        <v>500000</v>
      </c>
      <c r="E64" s="467">
        <f t="shared" si="2"/>
        <v>1.0886483481603376E-2</v>
      </c>
      <c r="F64" s="1086">
        <f>'Default Data'!H63</f>
        <v>1</v>
      </c>
      <c r="G64" s="319"/>
      <c r="H64" s="319"/>
      <c r="I64" s="319"/>
      <c r="J64" s="319"/>
      <c r="K64" s="319"/>
      <c r="L64" s="319"/>
      <c r="M64" s="319"/>
      <c r="N64" s="319"/>
      <c r="O64" s="319"/>
      <c r="P64" s="319"/>
      <c r="BA64" s="1051" t="s">
        <v>336</v>
      </c>
      <c r="BB64" s="1119"/>
      <c r="BC64" s="1084">
        <f>'Default Data'!BE63</f>
        <v>0</v>
      </c>
      <c r="BD64" s="1089">
        <f t="shared" si="3"/>
        <v>0</v>
      </c>
      <c r="BE64" s="1118"/>
      <c r="BF64" s="1086">
        <f>'Default Data'!BH63</f>
        <v>0</v>
      </c>
    </row>
    <row r="65" spans="1:58" x14ac:dyDescent="0.25">
      <c r="A65" s="305" t="s">
        <v>339</v>
      </c>
      <c r="B65" s="305"/>
      <c r="C65" s="1084">
        <f>'Default Data'!E64</f>
        <v>50000</v>
      </c>
      <c r="D65" s="336">
        <f t="shared" si="1"/>
        <v>100000</v>
      </c>
      <c r="E65" s="467">
        <f t="shared" si="2"/>
        <v>2.1772966963206752E-3</v>
      </c>
      <c r="F65" s="1086">
        <f>'Default Data'!H64</f>
        <v>1</v>
      </c>
      <c r="G65" s="334"/>
      <c r="H65" s="334"/>
      <c r="I65" s="334"/>
      <c r="J65" s="334"/>
      <c r="K65" s="334"/>
      <c r="L65" s="334"/>
      <c r="M65" s="334"/>
      <c r="N65" s="334"/>
      <c r="O65" s="334"/>
      <c r="P65" s="334"/>
      <c r="BA65" s="1051" t="s">
        <v>339</v>
      </c>
      <c r="BB65" s="1119"/>
      <c r="BC65" s="1084">
        <f>'Default Data'!BE64</f>
        <v>0</v>
      </c>
      <c r="BD65" s="1089">
        <f t="shared" si="3"/>
        <v>0</v>
      </c>
      <c r="BE65" s="1118"/>
      <c r="BF65" s="1086">
        <f>'Default Data'!BH64</f>
        <v>0</v>
      </c>
    </row>
    <row r="66" spans="1:58" x14ac:dyDescent="0.25">
      <c r="A66" s="305" t="s">
        <v>29</v>
      </c>
      <c r="B66" s="305"/>
      <c r="C66" s="1084">
        <f>'Default Data'!E65</f>
        <v>125000</v>
      </c>
      <c r="D66" s="336">
        <f t="shared" si="1"/>
        <v>250000</v>
      </c>
      <c r="E66" s="467">
        <f t="shared" si="2"/>
        <v>5.4432417408016879E-3</v>
      </c>
      <c r="F66" s="1086">
        <f>'Default Data'!H65</f>
        <v>1</v>
      </c>
      <c r="G66" s="319"/>
      <c r="H66" s="319"/>
      <c r="I66" s="319"/>
      <c r="J66" s="319"/>
      <c r="K66" s="319"/>
      <c r="L66" s="319"/>
      <c r="M66" s="319"/>
      <c r="N66" s="319"/>
      <c r="O66" s="319"/>
      <c r="P66" s="319"/>
      <c r="BA66" s="1051" t="s">
        <v>29</v>
      </c>
      <c r="BB66" s="1119"/>
      <c r="BC66" s="1084">
        <f>'Default Data'!BE65</f>
        <v>0</v>
      </c>
      <c r="BD66" s="1089">
        <f t="shared" si="3"/>
        <v>0</v>
      </c>
      <c r="BE66" s="1118"/>
      <c r="BF66" s="1086">
        <f>'Default Data'!BH65</f>
        <v>0</v>
      </c>
    </row>
    <row r="67" spans="1:58" x14ac:dyDescent="0.25">
      <c r="A67" s="305" t="s">
        <v>340</v>
      </c>
      <c r="B67" s="305"/>
      <c r="C67" s="1084">
        <f>'Default Data'!E66</f>
        <v>25000</v>
      </c>
      <c r="D67" s="336">
        <f t="shared" si="1"/>
        <v>50000</v>
      </c>
      <c r="E67" s="467">
        <f t="shared" si="2"/>
        <v>1.0886483481603376E-3</v>
      </c>
      <c r="F67" s="1086">
        <f>'Default Data'!H66</f>
        <v>1</v>
      </c>
      <c r="G67" s="319"/>
      <c r="H67" s="319"/>
      <c r="I67" s="319"/>
      <c r="J67" s="319"/>
      <c r="K67" s="319"/>
      <c r="L67" s="319"/>
      <c r="M67" s="319"/>
      <c r="N67" s="319"/>
      <c r="O67" s="319"/>
      <c r="P67" s="319"/>
      <c r="BA67" s="1051" t="s">
        <v>340</v>
      </c>
      <c r="BB67" s="1119"/>
      <c r="BC67" s="1084">
        <f>'Default Data'!BE66</f>
        <v>0</v>
      </c>
      <c r="BD67" s="1089">
        <f t="shared" si="3"/>
        <v>0</v>
      </c>
      <c r="BE67" s="1118"/>
      <c r="BF67" s="1086">
        <f>'Default Data'!BH66</f>
        <v>0</v>
      </c>
    </row>
    <row r="68" spans="1:58" ht="15.75" thickBot="1" x14ac:dyDescent="0.3">
      <c r="A68" s="305" t="s">
        <v>473</v>
      </c>
      <c r="B68" s="305"/>
      <c r="C68" s="1084">
        <f>'Default Data'!E67</f>
        <v>0</v>
      </c>
      <c r="D68" s="336">
        <f t="shared" si="1"/>
        <v>0</v>
      </c>
      <c r="E68" s="467">
        <f t="shared" si="2"/>
        <v>0</v>
      </c>
      <c r="F68" s="1086">
        <f>'Default Data'!H67</f>
        <v>0</v>
      </c>
      <c r="G68" s="319"/>
      <c r="H68" s="319"/>
      <c r="I68" s="319"/>
      <c r="J68" s="319"/>
      <c r="K68" s="319"/>
      <c r="L68" s="319"/>
      <c r="M68" s="319"/>
      <c r="N68" s="319"/>
      <c r="O68" s="319"/>
      <c r="P68" s="319"/>
      <c r="BA68" s="1051" t="s">
        <v>473</v>
      </c>
      <c r="BB68" s="1119"/>
      <c r="BC68" s="1084">
        <f>'Default Data'!BE67</f>
        <v>0</v>
      </c>
      <c r="BD68" s="1089">
        <f t="shared" si="3"/>
        <v>0</v>
      </c>
      <c r="BE68" s="1118"/>
      <c r="BF68" s="1086">
        <f>'Default Data'!BH67</f>
        <v>0</v>
      </c>
    </row>
    <row r="69" spans="1:58" x14ac:dyDescent="0.25">
      <c r="A69" s="456" t="s">
        <v>333</v>
      </c>
      <c r="B69" s="338"/>
      <c r="C69" s="1029">
        <f>SUM(C51:C68)-C58</f>
        <v>3121197.6849405407</v>
      </c>
      <c r="D69" s="1029">
        <f>SUM(D51:D68)-D58</f>
        <v>6242395.3698810814</v>
      </c>
      <c r="E69" s="665">
        <f t="shared" si="2"/>
        <v>0.13591546815969557</v>
      </c>
      <c r="F69" s="756"/>
      <c r="G69" s="319"/>
      <c r="H69" s="319"/>
      <c r="I69" s="319"/>
      <c r="J69" s="319"/>
      <c r="K69" s="319"/>
      <c r="L69" s="319"/>
      <c r="M69" s="319"/>
      <c r="N69" s="319"/>
      <c r="O69" s="319"/>
      <c r="P69" s="319"/>
      <c r="BA69" s="1055" t="s">
        <v>333</v>
      </c>
      <c r="BB69" s="1137"/>
      <c r="BC69" s="1138">
        <f>SUM(BC51:BC68)-BC58</f>
        <v>0</v>
      </c>
      <c r="BD69" s="1138">
        <f>SUM(BD51:BD68)-BD58</f>
        <v>0</v>
      </c>
      <c r="BE69" s="1124"/>
      <c r="BF69" s="1139"/>
    </row>
    <row r="70" spans="1:58" x14ac:dyDescent="0.25">
      <c r="A70" s="313"/>
      <c r="B70" s="313"/>
      <c r="C70" s="342"/>
      <c r="D70" s="305"/>
      <c r="E70" s="314"/>
      <c r="F70" s="757"/>
      <c r="G70" s="319"/>
      <c r="H70" s="319"/>
      <c r="I70" s="319"/>
      <c r="J70" s="319"/>
      <c r="K70" s="319"/>
      <c r="L70" s="319"/>
      <c r="M70" s="319"/>
      <c r="N70" s="319"/>
      <c r="O70" s="319"/>
      <c r="P70" s="319"/>
      <c r="BA70" s="1054"/>
      <c r="BB70" s="1140"/>
      <c r="BC70" s="1128"/>
      <c r="BD70" s="1119"/>
      <c r="BE70" s="1127"/>
      <c r="BF70" s="1141"/>
    </row>
    <row r="71" spans="1:58" ht="15.75" x14ac:dyDescent="0.25">
      <c r="A71" s="341" t="s">
        <v>946</v>
      </c>
      <c r="B71" s="339" t="s">
        <v>33</v>
      </c>
      <c r="C71" s="340" t="s">
        <v>758</v>
      </c>
      <c r="D71" s="351" t="s">
        <v>148</v>
      </c>
      <c r="E71" s="339" t="s">
        <v>750</v>
      </c>
      <c r="F71" s="339" t="s">
        <v>751</v>
      </c>
      <c r="G71" s="319"/>
      <c r="H71" s="319"/>
      <c r="I71" s="319"/>
      <c r="J71" s="319"/>
      <c r="K71" s="319"/>
      <c r="L71" s="319"/>
      <c r="M71" s="319"/>
      <c r="N71" s="319"/>
      <c r="O71" s="319"/>
      <c r="P71" s="319"/>
      <c r="BA71" s="1057" t="s">
        <v>946</v>
      </c>
      <c r="BB71" s="1131" t="s">
        <v>33</v>
      </c>
      <c r="BC71" s="1132" t="s">
        <v>758</v>
      </c>
      <c r="BD71" s="1133" t="s">
        <v>148</v>
      </c>
      <c r="BE71" s="1131"/>
      <c r="BF71" s="1134" t="s">
        <v>751</v>
      </c>
    </row>
    <row r="72" spans="1:58" x14ac:dyDescent="0.25">
      <c r="A72" s="311" t="s">
        <v>119</v>
      </c>
      <c r="B72" s="1083">
        <f>'Default Data'!D71</f>
        <v>700</v>
      </c>
      <c r="C72" s="448">
        <f>B72*'Default Data'!$K$24</f>
        <v>27931.390540540538</v>
      </c>
      <c r="D72" s="454">
        <f t="shared" ref="D72:D89" si="4">C72*(G$19+G$20)</f>
        <v>78095.191786368247</v>
      </c>
      <c r="E72" s="467">
        <f t="shared" ref="E72:E78" si="5">D72/D$137</f>
        <v>1.7003640307498911E-3</v>
      </c>
      <c r="F72" s="1086">
        <f>'Default Data'!H71</f>
        <v>1</v>
      </c>
      <c r="G72" s="319"/>
      <c r="H72" s="319"/>
      <c r="I72" s="319"/>
      <c r="J72" s="319"/>
      <c r="K72" s="319"/>
      <c r="L72" s="319"/>
      <c r="M72" s="319"/>
      <c r="N72" s="319"/>
      <c r="O72" s="319"/>
      <c r="P72" s="319"/>
      <c r="BA72" s="1058" t="s">
        <v>119</v>
      </c>
      <c r="BB72" s="1083">
        <f>'Default Data'!BD71</f>
        <v>0</v>
      </c>
      <c r="BC72" s="1142">
        <f>BB72*'Default Data'!$K$24</f>
        <v>0</v>
      </c>
      <c r="BD72" s="1143">
        <f t="shared" ref="BD72:BD89" si="6">BC72*(BF$20+BF$22)</f>
        <v>0</v>
      </c>
      <c r="BE72" s="1118"/>
      <c r="BF72" s="1086">
        <f>'Default Data'!BH71</f>
        <v>0</v>
      </c>
    </row>
    <row r="73" spans="1:58" x14ac:dyDescent="0.25">
      <c r="A73" s="311" t="s">
        <v>326</v>
      </c>
      <c r="B73" s="1084">
        <f>'Default Data'!D72</f>
        <v>800</v>
      </c>
      <c r="C73" s="448">
        <f>B73*'Default Data'!$K$24</f>
        <v>31921.589189189188</v>
      </c>
      <c r="D73" s="454">
        <f t="shared" si="4"/>
        <v>89251.647755849423</v>
      </c>
      <c r="E73" s="467">
        <f t="shared" si="5"/>
        <v>1.9432731779998756E-3</v>
      </c>
      <c r="F73" s="1086">
        <f>'Default Data'!H72</f>
        <v>0</v>
      </c>
      <c r="G73" s="319"/>
      <c r="H73" s="319"/>
      <c r="I73" s="319"/>
      <c r="J73" s="319"/>
      <c r="K73" s="319"/>
      <c r="L73" s="319"/>
      <c r="M73" s="319"/>
      <c r="N73" s="319"/>
      <c r="O73" s="319"/>
      <c r="P73" s="319"/>
      <c r="BA73" s="1058" t="s">
        <v>326</v>
      </c>
      <c r="BB73" s="1084">
        <f>'Default Data'!BD72</f>
        <v>0</v>
      </c>
      <c r="BC73" s="1142">
        <f>BB73*'Default Data'!$K$24</f>
        <v>0</v>
      </c>
      <c r="BD73" s="1143">
        <f t="shared" si="6"/>
        <v>0</v>
      </c>
      <c r="BE73" s="1118"/>
      <c r="BF73" s="1086">
        <f>'Default Data'!BH72</f>
        <v>0</v>
      </c>
    </row>
    <row r="74" spans="1:58" x14ac:dyDescent="0.25">
      <c r="A74" s="305" t="s">
        <v>936</v>
      </c>
      <c r="B74" s="1084">
        <f>'Default Data'!D73</f>
        <v>5950</v>
      </c>
      <c r="C74" s="448">
        <f>B74*'Default Data'!$K$24</f>
        <v>237416.81959459459</v>
      </c>
      <c r="D74" s="454">
        <f t="shared" si="4"/>
        <v>663809.13018413016</v>
      </c>
      <c r="E74" s="467">
        <f t="shared" si="5"/>
        <v>1.4453094261374077E-2</v>
      </c>
      <c r="F74" s="1086">
        <f>'Default Data'!H73</f>
        <v>0</v>
      </c>
      <c r="G74" s="319"/>
      <c r="H74" s="319"/>
      <c r="I74" s="319"/>
      <c r="J74" s="319"/>
      <c r="K74" s="319"/>
      <c r="L74" s="319"/>
      <c r="M74" s="319"/>
      <c r="N74" s="319"/>
      <c r="O74" s="319"/>
      <c r="P74" s="319"/>
      <c r="BA74" s="1051" t="s">
        <v>936</v>
      </c>
      <c r="BB74" s="1084">
        <f>'Default Data'!BD73</f>
        <v>0</v>
      </c>
      <c r="BC74" s="1142">
        <f>BB74*'Default Data'!$K$24</f>
        <v>0</v>
      </c>
      <c r="BD74" s="1143">
        <f t="shared" si="6"/>
        <v>0</v>
      </c>
      <c r="BE74" s="1118"/>
      <c r="BF74" s="1086">
        <f>'Default Data'!BH73</f>
        <v>0</v>
      </c>
    </row>
    <row r="75" spans="1:58" x14ac:dyDescent="0.25">
      <c r="A75" s="305" t="s">
        <v>755</v>
      </c>
      <c r="B75" s="1084">
        <f>'Default Data'!D74</f>
        <v>2649.9999999999995</v>
      </c>
      <c r="C75" s="349">
        <f>B75*'Default Data'!$K$24*'Rates &amp; Misc'!M$25</f>
        <v>63444.158513513496</v>
      </c>
      <c r="D75" s="454">
        <f t="shared" si="4"/>
        <v>177387.64991475068</v>
      </c>
      <c r="E75" s="467">
        <f t="shared" si="5"/>
        <v>3.8622554412747518E-3</v>
      </c>
      <c r="F75" s="1086">
        <f>'Default Data'!H74</f>
        <v>0</v>
      </c>
      <c r="G75" s="319"/>
      <c r="H75" s="319"/>
      <c r="I75" s="319"/>
      <c r="J75" s="319"/>
      <c r="K75" s="319"/>
      <c r="L75" s="319"/>
      <c r="M75" s="319"/>
      <c r="N75" s="319"/>
      <c r="O75" s="319"/>
      <c r="P75" s="319"/>
      <c r="BA75" s="1051" t="s">
        <v>755</v>
      </c>
      <c r="BB75" s="1084">
        <f>'Default Data'!BD74</f>
        <v>0</v>
      </c>
      <c r="BC75" s="1135">
        <f>BB75*'Default Data'!$K$24*'Rates &amp; Misc'!BM$25</f>
        <v>0</v>
      </c>
      <c r="BD75" s="1143">
        <f t="shared" si="6"/>
        <v>0</v>
      </c>
      <c r="BE75" s="1118"/>
      <c r="BF75" s="1086">
        <f>'Default Data'!BH74</f>
        <v>0</v>
      </c>
    </row>
    <row r="76" spans="1:58" x14ac:dyDescent="0.25">
      <c r="A76" s="305" t="s">
        <v>754</v>
      </c>
      <c r="B76" s="1084">
        <f>'Default Data'!D75</f>
        <v>7858</v>
      </c>
      <c r="C76" s="349">
        <f>B76*'Default Data'!$K$24*'Rates &amp; Misc'!M$25</f>
        <v>188129.88588648647</v>
      </c>
      <c r="D76" s="454">
        <f t="shared" si="4"/>
        <v>526004.58604909852</v>
      </c>
      <c r="E76" s="467">
        <f t="shared" si="5"/>
        <v>1.1452680474542266E-2</v>
      </c>
      <c r="F76" s="1086">
        <f>'Default Data'!H75</f>
        <v>0</v>
      </c>
      <c r="G76" s="319"/>
      <c r="H76" s="319"/>
      <c r="I76" s="319"/>
      <c r="J76" s="319"/>
      <c r="K76" s="319"/>
      <c r="L76" s="319"/>
      <c r="M76" s="319"/>
      <c r="N76" s="319"/>
      <c r="O76" s="319"/>
      <c r="P76" s="319"/>
      <c r="BA76" s="1051" t="s">
        <v>754</v>
      </c>
      <c r="BB76" s="1084">
        <f>'Default Data'!BD75</f>
        <v>0</v>
      </c>
      <c r="BC76" s="1135">
        <f>BB76*'Default Data'!$K$24*'Rates &amp; Misc'!BM$25</f>
        <v>0</v>
      </c>
      <c r="BD76" s="1143">
        <f t="shared" si="6"/>
        <v>0</v>
      </c>
      <c r="BE76" s="1118"/>
      <c r="BF76" s="1086">
        <f>'Default Data'!BH75</f>
        <v>0</v>
      </c>
    </row>
    <row r="77" spans="1:58" x14ac:dyDescent="0.25">
      <c r="A77" s="305" t="s">
        <v>111</v>
      </c>
      <c r="B77" s="1084">
        <f>'Default Data'!D76</f>
        <v>1400</v>
      </c>
      <c r="C77" s="448">
        <f>B77*'Default Data'!K23</f>
        <v>65720.91891891892</v>
      </c>
      <c r="D77" s="454">
        <f t="shared" si="4"/>
        <v>183753.39243851352</v>
      </c>
      <c r="E77" s="467">
        <f t="shared" si="5"/>
        <v>4.0008565429409202E-3</v>
      </c>
      <c r="F77" s="1086">
        <f>'Default Data'!H76</f>
        <v>0</v>
      </c>
      <c r="G77" s="319"/>
      <c r="H77" s="319"/>
      <c r="I77" s="319"/>
      <c r="J77" s="319"/>
      <c r="K77" s="319"/>
      <c r="L77" s="319"/>
      <c r="M77" s="319"/>
      <c r="N77" s="319"/>
      <c r="O77" s="319"/>
      <c r="P77" s="319"/>
      <c r="BA77" s="1051" t="s">
        <v>111</v>
      </c>
      <c r="BB77" s="1084">
        <f>'Default Data'!BD76</f>
        <v>0</v>
      </c>
      <c r="BC77" s="1142">
        <f>BB77*'Default Data'!BK23</f>
        <v>0</v>
      </c>
      <c r="BD77" s="1143">
        <f t="shared" si="6"/>
        <v>0</v>
      </c>
      <c r="BE77" s="1118"/>
      <c r="BF77" s="1086">
        <f>'Default Data'!BH76</f>
        <v>0</v>
      </c>
    </row>
    <row r="78" spans="1:58" x14ac:dyDescent="0.25">
      <c r="A78" s="305" t="s">
        <v>332</v>
      </c>
      <c r="B78" s="1084">
        <f>'Default Data'!D77</f>
        <v>15000</v>
      </c>
      <c r="C78" s="448">
        <f>B78*'Default Data'!K$24</f>
        <v>598529.79729729728</v>
      </c>
      <c r="D78" s="454">
        <f t="shared" si="4"/>
        <v>1673468.3954221767</v>
      </c>
      <c r="E78" s="467">
        <f t="shared" si="5"/>
        <v>3.643637208749767E-2</v>
      </c>
      <c r="F78" s="1086">
        <f>'Default Data'!H77</f>
        <v>0</v>
      </c>
      <c r="G78" s="319"/>
      <c r="H78" s="319"/>
      <c r="I78" s="319"/>
      <c r="J78" s="319"/>
      <c r="K78" s="319"/>
      <c r="L78" s="319"/>
      <c r="M78" s="319"/>
      <c r="N78" s="319"/>
      <c r="O78" s="319"/>
      <c r="P78" s="319"/>
      <c r="BA78" s="1051" t="s">
        <v>332</v>
      </c>
      <c r="BB78" s="1084">
        <f>'Default Data'!BD77</f>
        <v>0</v>
      </c>
      <c r="BC78" s="1142">
        <f>BB78*'Default Data'!BK$24</f>
        <v>0</v>
      </c>
      <c r="BD78" s="1143">
        <f t="shared" si="6"/>
        <v>0</v>
      </c>
      <c r="BE78" s="1118"/>
      <c r="BF78" s="1086">
        <f>'Default Data'!BH77</f>
        <v>0</v>
      </c>
    </row>
    <row r="79" spans="1:58" x14ac:dyDescent="0.25">
      <c r="A79" s="305" t="s">
        <v>922</v>
      </c>
      <c r="B79" s="1084">
        <f>'Default Data'!D78</f>
        <v>2304</v>
      </c>
      <c r="C79" s="448">
        <f>B79*'Default Data'!K$24</f>
        <v>91934.176864864858</v>
      </c>
      <c r="D79" s="454">
        <f t="shared" si="4"/>
        <v>257044.74553684634</v>
      </c>
      <c r="E79" s="318"/>
      <c r="F79" s="1086">
        <f>'Default Data'!H78</f>
        <v>0</v>
      </c>
      <c r="G79" s="319"/>
      <c r="H79" s="319"/>
      <c r="I79" s="319"/>
      <c r="J79" s="319"/>
      <c r="K79" s="319"/>
      <c r="L79" s="319"/>
      <c r="M79" s="319"/>
      <c r="N79" s="319"/>
      <c r="O79" s="319"/>
      <c r="P79" s="319"/>
      <c r="BA79" s="1051" t="s">
        <v>922</v>
      </c>
      <c r="BB79" s="1084">
        <f>'Default Data'!BD78</f>
        <v>0</v>
      </c>
      <c r="BC79" s="1142">
        <f>BB79*'Default Data'!BK$24</f>
        <v>0</v>
      </c>
      <c r="BD79" s="1143">
        <f t="shared" si="6"/>
        <v>0</v>
      </c>
      <c r="BE79" s="1117"/>
      <c r="BF79" s="1086">
        <f>'Default Data'!BH78</f>
        <v>0</v>
      </c>
    </row>
    <row r="80" spans="1:58" x14ac:dyDescent="0.25">
      <c r="A80" s="305" t="s">
        <v>98</v>
      </c>
      <c r="B80" s="305"/>
      <c r="C80" s="1083">
        <f>'Default Data'!E79</f>
        <v>5000</v>
      </c>
      <c r="D80" s="454">
        <f t="shared" si="4"/>
        <v>13979.82525664419</v>
      </c>
      <c r="E80" s="467">
        <f t="shared" ref="E80:E90" si="7">D80/D$137</f>
        <v>3.0438227346431729E-4</v>
      </c>
      <c r="F80" s="1086">
        <f>'Default Data'!H79</f>
        <v>0</v>
      </c>
      <c r="G80" s="319"/>
      <c r="H80" s="319"/>
      <c r="I80" s="319"/>
      <c r="J80" s="319"/>
      <c r="K80" s="319"/>
      <c r="L80" s="319"/>
      <c r="M80" s="319"/>
      <c r="N80" s="319"/>
      <c r="O80" s="319"/>
      <c r="P80" s="319"/>
      <c r="BA80" s="1051" t="s">
        <v>98</v>
      </c>
      <c r="BB80" s="1119"/>
      <c r="BC80" s="1083">
        <f>'Default Data'!BE79</f>
        <v>0</v>
      </c>
      <c r="BD80" s="1143">
        <f t="shared" si="6"/>
        <v>0</v>
      </c>
      <c r="BE80" s="1118"/>
      <c r="BF80" s="1086">
        <f>'Default Data'!BH79</f>
        <v>0</v>
      </c>
    </row>
    <row r="81" spans="1:58" x14ac:dyDescent="0.25">
      <c r="A81" s="305" t="s">
        <v>334</v>
      </c>
      <c r="B81" s="305"/>
      <c r="C81" s="1084">
        <f>'Default Data'!E80</f>
        <v>125000</v>
      </c>
      <c r="D81" s="454">
        <f t="shared" si="4"/>
        <v>349495.63141610473</v>
      </c>
      <c r="E81" s="467">
        <f t="shared" si="7"/>
        <v>7.6095568366079322E-3</v>
      </c>
      <c r="F81" s="1086">
        <f>'Default Data'!H80</f>
        <v>1</v>
      </c>
      <c r="G81" s="319"/>
      <c r="H81" s="319"/>
      <c r="I81" s="319"/>
      <c r="J81" s="319"/>
      <c r="K81" s="319"/>
      <c r="L81" s="319"/>
      <c r="M81" s="319"/>
      <c r="N81" s="319"/>
      <c r="O81" s="319"/>
      <c r="P81" s="319"/>
      <c r="BA81" s="1051" t="s">
        <v>334</v>
      </c>
      <c r="BB81" s="1119"/>
      <c r="BC81" s="1084">
        <f>'Default Data'!BE80</f>
        <v>0</v>
      </c>
      <c r="BD81" s="1143">
        <f t="shared" si="6"/>
        <v>0</v>
      </c>
      <c r="BE81" s="1118"/>
      <c r="BF81" s="1086">
        <f>'Default Data'!BH80</f>
        <v>0</v>
      </c>
    </row>
    <row r="82" spans="1:58" x14ac:dyDescent="0.25">
      <c r="A82" s="305" t="s">
        <v>389</v>
      </c>
      <c r="B82" s="305"/>
      <c r="C82" s="1084">
        <f>'Default Data'!E81</f>
        <v>978103.12500000023</v>
      </c>
      <c r="D82" s="454">
        <f t="shared" si="4"/>
        <v>2734742.1540955226</v>
      </c>
      <c r="E82" s="467">
        <f t="shared" si="7"/>
        <v>5.9543450574010684E-2</v>
      </c>
      <c r="F82" s="1086">
        <f>'Default Data'!H81</f>
        <v>1</v>
      </c>
      <c r="G82" s="319"/>
      <c r="H82" s="319"/>
      <c r="I82" s="319"/>
      <c r="J82" s="319"/>
      <c r="K82" s="319"/>
      <c r="L82" s="319"/>
      <c r="M82" s="319"/>
      <c r="N82" s="319"/>
      <c r="O82" s="319"/>
      <c r="P82" s="319"/>
      <c r="BA82" s="1051" t="s">
        <v>389</v>
      </c>
      <c r="BB82" s="1119"/>
      <c r="BC82" s="1084">
        <f>'Default Data'!BE81</f>
        <v>0</v>
      </c>
      <c r="BD82" s="1143">
        <f t="shared" si="6"/>
        <v>0</v>
      </c>
      <c r="BE82" s="1118"/>
      <c r="BF82" s="1086">
        <f>'Default Data'!BH81</f>
        <v>0</v>
      </c>
    </row>
    <row r="83" spans="1:58" x14ac:dyDescent="0.25">
      <c r="A83" s="305" t="s">
        <v>335</v>
      </c>
      <c r="B83" s="305"/>
      <c r="C83" s="1084">
        <f>'Default Data'!E82</f>
        <v>125000</v>
      </c>
      <c r="D83" s="454">
        <f t="shared" si="4"/>
        <v>349495.63141610473</v>
      </c>
      <c r="E83" s="467">
        <f t="shared" si="7"/>
        <v>7.6095568366079322E-3</v>
      </c>
      <c r="F83" s="1086">
        <f>'Default Data'!H82</f>
        <v>0</v>
      </c>
      <c r="G83" s="319"/>
      <c r="H83" s="319"/>
      <c r="I83" s="319"/>
      <c r="J83" s="319"/>
      <c r="K83" s="319"/>
      <c r="L83" s="319"/>
      <c r="M83" s="319"/>
      <c r="N83" s="319"/>
      <c r="O83" s="319"/>
      <c r="P83" s="319"/>
      <c r="BA83" s="1051" t="s">
        <v>335</v>
      </c>
      <c r="BB83" s="1119"/>
      <c r="BC83" s="1084">
        <f>'Default Data'!BE82</f>
        <v>0</v>
      </c>
      <c r="BD83" s="1143">
        <f t="shared" si="6"/>
        <v>0</v>
      </c>
      <c r="BE83" s="1118"/>
      <c r="BF83" s="1086">
        <f>'Default Data'!BH82</f>
        <v>0</v>
      </c>
    </row>
    <row r="84" spans="1:58" x14ac:dyDescent="0.25">
      <c r="A84" s="305" t="s">
        <v>338</v>
      </c>
      <c r="B84" s="305"/>
      <c r="C84" s="1084">
        <f>'Default Data'!E83</f>
        <v>225000</v>
      </c>
      <c r="D84" s="454">
        <f t="shared" si="4"/>
        <v>629092.13654898852</v>
      </c>
      <c r="E84" s="467">
        <f t="shared" si="7"/>
        <v>1.3697202305894279E-2</v>
      </c>
      <c r="F84" s="1086">
        <f>'Default Data'!H83</f>
        <v>0</v>
      </c>
      <c r="G84" s="319"/>
      <c r="H84" s="319"/>
      <c r="I84" s="319"/>
      <c r="J84" s="319"/>
      <c r="K84" s="319"/>
      <c r="L84" s="319"/>
      <c r="M84" s="319"/>
      <c r="N84" s="319"/>
      <c r="O84" s="319"/>
      <c r="P84" s="319"/>
      <c r="BA84" s="1051" t="s">
        <v>338</v>
      </c>
      <c r="BB84" s="1119"/>
      <c r="BC84" s="1084">
        <f>'Default Data'!BE83</f>
        <v>0</v>
      </c>
      <c r="BD84" s="1143">
        <f t="shared" si="6"/>
        <v>0</v>
      </c>
      <c r="BE84" s="1118"/>
      <c r="BF84" s="1086">
        <f>'Default Data'!BH83</f>
        <v>0</v>
      </c>
    </row>
    <row r="85" spans="1:58" x14ac:dyDescent="0.25">
      <c r="A85" s="305" t="s">
        <v>336</v>
      </c>
      <c r="B85" s="305"/>
      <c r="C85" s="1084">
        <f>'Default Data'!E84</f>
        <v>250000</v>
      </c>
      <c r="D85" s="454">
        <f t="shared" si="4"/>
        <v>698991.26283220947</v>
      </c>
      <c r="E85" s="467">
        <f t="shared" si="7"/>
        <v>1.5219113673215864E-2</v>
      </c>
      <c r="F85" s="1086">
        <f>'Default Data'!H84</f>
        <v>1</v>
      </c>
      <c r="G85" s="444"/>
      <c r="H85" s="444"/>
      <c r="I85" s="444"/>
      <c r="J85" s="444"/>
      <c r="K85" s="444"/>
      <c r="L85" s="444"/>
      <c r="M85" s="444"/>
      <c r="N85" s="444"/>
      <c r="O85" s="444"/>
      <c r="P85" s="444"/>
      <c r="BA85" s="1051" t="s">
        <v>336</v>
      </c>
      <c r="BB85" s="1119"/>
      <c r="BC85" s="1084">
        <f>'Default Data'!BE84</f>
        <v>0</v>
      </c>
      <c r="BD85" s="1143">
        <f t="shared" si="6"/>
        <v>0</v>
      </c>
      <c r="BE85" s="1118"/>
      <c r="BF85" s="1086">
        <f>'Default Data'!BH84</f>
        <v>0</v>
      </c>
    </row>
    <row r="86" spans="1:58" x14ac:dyDescent="0.25">
      <c r="A86" s="305" t="s">
        <v>339</v>
      </c>
      <c r="B86" s="305"/>
      <c r="C86" s="1084">
        <f>'Default Data'!E85</f>
        <v>50000</v>
      </c>
      <c r="D86" s="454">
        <f t="shared" si="4"/>
        <v>139798.25256644189</v>
      </c>
      <c r="E86" s="467">
        <f t="shared" si="7"/>
        <v>3.043822734643173E-3</v>
      </c>
      <c r="F86" s="1086">
        <f>'Default Data'!H85</f>
        <v>1</v>
      </c>
      <c r="G86" s="444"/>
      <c r="H86" s="444"/>
      <c r="I86" s="444"/>
      <c r="J86" s="444"/>
      <c r="K86" s="444"/>
      <c r="L86" s="444"/>
      <c r="M86" s="444"/>
      <c r="N86" s="444"/>
      <c r="O86" s="444"/>
      <c r="P86" s="444"/>
      <c r="BA86" s="1051" t="s">
        <v>339</v>
      </c>
      <c r="BB86" s="1119"/>
      <c r="BC86" s="1084">
        <f>'Default Data'!BE85</f>
        <v>0</v>
      </c>
      <c r="BD86" s="1143">
        <f t="shared" si="6"/>
        <v>0</v>
      </c>
      <c r="BE86" s="1118"/>
      <c r="BF86" s="1086">
        <f>'Default Data'!BH85</f>
        <v>0</v>
      </c>
    </row>
    <row r="87" spans="1:58" x14ac:dyDescent="0.25">
      <c r="A87" s="305" t="s">
        <v>29</v>
      </c>
      <c r="B87" s="305"/>
      <c r="C87" s="1084">
        <f>'Default Data'!E86</f>
        <v>125000</v>
      </c>
      <c r="D87" s="454">
        <f t="shared" si="4"/>
        <v>349495.63141610473</v>
      </c>
      <c r="E87" s="467">
        <f t="shared" si="7"/>
        <v>7.6095568366079322E-3</v>
      </c>
      <c r="F87" s="1086">
        <f>'Default Data'!H86</f>
        <v>1</v>
      </c>
      <c r="G87" s="339"/>
      <c r="H87" s="339"/>
      <c r="I87" s="339"/>
      <c r="J87" s="339"/>
      <c r="K87" s="339"/>
      <c r="L87" s="339"/>
      <c r="M87" s="339"/>
      <c r="N87" s="339"/>
      <c r="O87" s="339"/>
      <c r="P87" s="339"/>
      <c r="X87" s="97"/>
      <c r="BA87" s="1051" t="s">
        <v>29</v>
      </c>
      <c r="BB87" s="1119"/>
      <c r="BC87" s="1084">
        <f>'Default Data'!BE86</f>
        <v>0</v>
      </c>
      <c r="BD87" s="1143">
        <f t="shared" si="6"/>
        <v>0</v>
      </c>
      <c r="BE87" s="1118"/>
      <c r="BF87" s="1086">
        <f>'Default Data'!BH86</f>
        <v>0</v>
      </c>
    </row>
    <row r="88" spans="1:58" x14ac:dyDescent="0.25">
      <c r="A88" s="305" t="s">
        <v>340</v>
      </c>
      <c r="B88" s="305"/>
      <c r="C88" s="1084">
        <f>'Default Data'!E87</f>
        <v>25000</v>
      </c>
      <c r="D88" s="454">
        <f t="shared" si="4"/>
        <v>69899.126283220947</v>
      </c>
      <c r="E88" s="467">
        <f t="shared" si="7"/>
        <v>1.5219113673215865E-3</v>
      </c>
      <c r="F88" s="1086">
        <f>'Default Data'!H87</f>
        <v>1</v>
      </c>
      <c r="G88" s="319"/>
      <c r="H88" s="319"/>
      <c r="I88" s="319"/>
      <c r="J88" s="319"/>
      <c r="K88" s="319"/>
      <c r="L88" s="319"/>
      <c r="M88" s="319"/>
      <c r="N88" s="319"/>
      <c r="O88" s="319"/>
      <c r="P88" s="319"/>
      <c r="BA88" s="1051" t="s">
        <v>340</v>
      </c>
      <c r="BB88" s="1119"/>
      <c r="BC88" s="1084">
        <f>'Default Data'!BE87</f>
        <v>0</v>
      </c>
      <c r="BD88" s="1143">
        <f t="shared" si="6"/>
        <v>0</v>
      </c>
      <c r="BE88" s="1118"/>
      <c r="BF88" s="1086">
        <f>'Default Data'!BH87</f>
        <v>0</v>
      </c>
    </row>
    <row r="89" spans="1:58" ht="15.75" thickBot="1" x14ac:dyDescent="0.3">
      <c r="A89" s="305" t="s">
        <v>473</v>
      </c>
      <c r="B89" s="305"/>
      <c r="C89" s="1084">
        <f>'Default Data'!E88</f>
        <v>1000000</v>
      </c>
      <c r="D89" s="454">
        <f t="shared" si="4"/>
        <v>2795965.0513288379</v>
      </c>
      <c r="E89" s="467">
        <f t="shared" si="7"/>
        <v>6.0876454692863458E-2</v>
      </c>
      <c r="F89" s="1086">
        <f>'Default Data'!H88</f>
        <v>0</v>
      </c>
      <c r="G89" s="319"/>
      <c r="H89" s="319"/>
      <c r="I89" s="319"/>
      <c r="J89" s="319"/>
      <c r="K89" s="319"/>
      <c r="L89" s="319"/>
      <c r="M89" s="319"/>
      <c r="N89" s="319"/>
      <c r="O89" s="319"/>
      <c r="P89" s="319"/>
      <c r="X89" s="97"/>
      <c r="BA89" s="1051" t="s">
        <v>473</v>
      </c>
      <c r="BB89" s="1119"/>
      <c r="BC89" s="1084">
        <f>'Default Data'!BE88</f>
        <v>0</v>
      </c>
      <c r="BD89" s="1143">
        <f t="shared" si="6"/>
        <v>0</v>
      </c>
      <c r="BE89" s="1118"/>
      <c r="BF89" s="1086">
        <f>'Default Data'!BH88</f>
        <v>0</v>
      </c>
    </row>
    <row r="90" spans="1:58" x14ac:dyDescent="0.25">
      <c r="A90" s="456" t="s">
        <v>333</v>
      </c>
      <c r="B90" s="338"/>
      <c r="C90" s="1077">
        <f>SUM(C72:C89)-C79</f>
        <v>4121197.6849405407</v>
      </c>
      <c r="D90" s="457">
        <f>SUM(D72:D89)-D79</f>
        <v>11522724.696711065</v>
      </c>
      <c r="E90" s="665">
        <f t="shared" si="7"/>
        <v>0.25088390414761658</v>
      </c>
      <c r="F90" s="756"/>
      <c r="G90" s="319"/>
      <c r="H90" s="319"/>
      <c r="I90" s="319"/>
      <c r="J90" s="319"/>
      <c r="K90" s="319"/>
      <c r="L90" s="319"/>
      <c r="M90" s="319"/>
      <c r="N90" s="319"/>
      <c r="O90" s="319"/>
      <c r="P90" s="319"/>
      <c r="BA90" s="1055" t="s">
        <v>333</v>
      </c>
      <c r="BB90" s="1137"/>
      <c r="BC90" s="1144">
        <f>SUM(BC72:BC89)-BC79</f>
        <v>0</v>
      </c>
      <c r="BD90" s="1144">
        <f>SUM(BD72:BD89)-BD79</f>
        <v>0</v>
      </c>
      <c r="BE90" s="1124"/>
      <c r="BF90" s="1139"/>
    </row>
    <row r="91" spans="1:58" x14ac:dyDescent="0.25">
      <c r="A91" s="305"/>
      <c r="B91" s="305"/>
      <c r="C91" s="305"/>
      <c r="D91" s="305"/>
      <c r="E91" s="305"/>
      <c r="F91" s="758"/>
      <c r="G91" s="319"/>
      <c r="H91" s="319"/>
      <c r="I91" s="319"/>
      <c r="J91" s="319"/>
      <c r="K91" s="319"/>
      <c r="L91" s="319"/>
      <c r="M91" s="319"/>
      <c r="N91" s="319"/>
      <c r="O91" s="319"/>
      <c r="P91" s="319"/>
      <c r="X91" s="97"/>
      <c r="BA91" s="1051"/>
      <c r="BB91" s="1119"/>
      <c r="BC91" s="1119"/>
      <c r="BD91" s="1119"/>
      <c r="BE91" s="1119"/>
      <c r="BF91" s="1145"/>
    </row>
    <row r="92" spans="1:58" ht="15.75" x14ac:dyDescent="0.25">
      <c r="A92" s="341" t="s">
        <v>945</v>
      </c>
      <c r="B92" s="339" t="s">
        <v>33</v>
      </c>
      <c r="C92" s="340" t="s">
        <v>758</v>
      </c>
      <c r="D92" s="351" t="s">
        <v>148</v>
      </c>
      <c r="E92" s="339" t="s">
        <v>750</v>
      </c>
      <c r="F92" s="339" t="s">
        <v>751</v>
      </c>
      <c r="G92" s="320"/>
      <c r="H92" s="320"/>
      <c r="I92" s="320"/>
      <c r="J92" s="320"/>
      <c r="K92" s="320"/>
      <c r="L92" s="320"/>
      <c r="M92" s="320"/>
      <c r="N92" s="320"/>
      <c r="O92" s="320"/>
      <c r="P92" s="320"/>
      <c r="BA92" s="1057" t="s">
        <v>945</v>
      </c>
      <c r="BB92" s="1131" t="s">
        <v>33</v>
      </c>
      <c r="BC92" s="1132" t="s">
        <v>758</v>
      </c>
      <c r="BD92" s="1133" t="s">
        <v>148</v>
      </c>
      <c r="BE92" s="1131"/>
      <c r="BF92" s="1134" t="s">
        <v>751</v>
      </c>
    </row>
    <row r="93" spans="1:58" x14ac:dyDescent="0.25">
      <c r="A93" s="309" t="s">
        <v>809</v>
      </c>
      <c r="B93" s="339"/>
      <c r="C93" s="340"/>
      <c r="D93" s="351"/>
      <c r="E93" s="339"/>
      <c r="F93" s="755"/>
      <c r="G93" s="320"/>
      <c r="H93" s="320"/>
      <c r="I93" s="320"/>
      <c r="J93" s="320"/>
      <c r="K93" s="320"/>
      <c r="L93" s="320"/>
      <c r="M93" s="320"/>
      <c r="N93" s="320"/>
      <c r="O93" s="320"/>
      <c r="P93" s="320"/>
      <c r="BA93" s="1059" t="s">
        <v>809</v>
      </c>
      <c r="BB93" s="1131"/>
      <c r="BC93" s="1132"/>
      <c r="BD93" s="1133"/>
      <c r="BE93" s="1131"/>
      <c r="BF93" s="1134"/>
    </row>
    <row r="94" spans="1:58" x14ac:dyDescent="0.25">
      <c r="A94" s="305" t="s">
        <v>935</v>
      </c>
      <c r="B94" s="1110">
        <f>'Default Data'!D93</f>
        <v>0</v>
      </c>
      <c r="C94" s="448">
        <f>'Rates &amp; Misc'!D$56*B94</f>
        <v>0</v>
      </c>
      <c r="D94" s="454">
        <f t="shared" ref="D94:D100" si="8">C94*(G$19+G$20)</f>
        <v>0</v>
      </c>
      <c r="E94" s="467">
        <f t="shared" ref="E94:E101" si="9">D94/D$137</f>
        <v>0</v>
      </c>
      <c r="F94" s="1086">
        <f>'Default Data'!H93</f>
        <v>1</v>
      </c>
      <c r="G94" s="319"/>
      <c r="H94" s="319"/>
      <c r="I94" s="319"/>
      <c r="J94" s="319"/>
      <c r="K94" s="319"/>
      <c r="L94" s="319"/>
      <c r="M94" s="319"/>
      <c r="N94" s="319"/>
      <c r="O94" s="319"/>
      <c r="P94" s="319"/>
      <c r="X94" s="97"/>
      <c r="BA94" s="1051" t="s">
        <v>935</v>
      </c>
      <c r="BB94" s="1110">
        <f>'Default Data'!BD93</f>
        <v>0</v>
      </c>
      <c r="BC94" s="1142">
        <f>'Rates &amp; Misc'!BD$56*BB94</f>
        <v>0</v>
      </c>
      <c r="BD94" s="1143">
        <f t="shared" ref="BD94:BD100" si="10">BC94*(BF$20+BF$22)</f>
        <v>0</v>
      </c>
      <c r="BE94" s="1118"/>
      <c r="BF94" s="1086">
        <f>'Default Data'!BH93</f>
        <v>0</v>
      </c>
    </row>
    <row r="95" spans="1:58" x14ac:dyDescent="0.25">
      <c r="A95" s="305" t="s">
        <v>909</v>
      </c>
      <c r="B95" s="1111">
        <f>'Default Data'!D94</f>
        <v>0</v>
      </c>
      <c r="C95" s="448">
        <f>'Rates &amp; Misc'!D$56*B95</f>
        <v>0</v>
      </c>
      <c r="D95" s="454">
        <f t="shared" si="8"/>
        <v>0</v>
      </c>
      <c r="E95" s="467">
        <f t="shared" si="9"/>
        <v>0</v>
      </c>
      <c r="F95" s="1086">
        <f>'Default Data'!H94</f>
        <v>1</v>
      </c>
      <c r="G95" s="319"/>
      <c r="H95" s="319"/>
      <c r="I95" s="319"/>
      <c r="J95" s="319"/>
      <c r="K95" s="319"/>
      <c r="L95" s="319"/>
      <c r="M95" s="319"/>
      <c r="N95" s="319"/>
      <c r="O95" s="319"/>
      <c r="P95" s="319"/>
      <c r="X95" s="97"/>
      <c r="Y95" s="405"/>
      <c r="BA95" s="1051" t="s">
        <v>909</v>
      </c>
      <c r="BB95" s="1111">
        <f>'Default Data'!BD94</f>
        <v>0</v>
      </c>
      <c r="BC95" s="1142">
        <f>'Rates &amp; Misc'!BD$56*BB95</f>
        <v>0</v>
      </c>
      <c r="BD95" s="1143">
        <f t="shared" si="10"/>
        <v>0</v>
      </c>
      <c r="BE95" s="1118"/>
      <c r="BF95" s="1086">
        <f>'Default Data'!BH94</f>
        <v>0</v>
      </c>
    </row>
    <row r="96" spans="1:58" x14ac:dyDescent="0.25">
      <c r="A96" s="305" t="s">
        <v>118</v>
      </c>
      <c r="B96" s="1111">
        <f>'Default Data'!D95</f>
        <v>0</v>
      </c>
      <c r="C96" s="448">
        <f>'Rates &amp; Misc'!D$56*B96</f>
        <v>0</v>
      </c>
      <c r="D96" s="454">
        <f t="shared" si="8"/>
        <v>0</v>
      </c>
      <c r="E96" s="467">
        <f t="shared" si="9"/>
        <v>0</v>
      </c>
      <c r="F96" s="1086">
        <f>'Default Data'!H95</f>
        <v>0</v>
      </c>
      <c r="G96" s="319"/>
      <c r="H96" s="319"/>
      <c r="I96" s="319"/>
      <c r="J96" s="319"/>
      <c r="K96" s="319"/>
      <c r="L96" s="319"/>
      <c r="M96" s="319"/>
      <c r="N96" s="319"/>
      <c r="O96" s="319"/>
      <c r="P96" s="319"/>
      <c r="X96" s="97"/>
      <c r="Y96" s="407"/>
      <c r="BA96" s="1051" t="s">
        <v>118</v>
      </c>
      <c r="BB96" s="1111">
        <f>'Default Data'!BD95</f>
        <v>0</v>
      </c>
      <c r="BC96" s="1142">
        <f>'Rates &amp; Misc'!BD$56*BB96</f>
        <v>0</v>
      </c>
      <c r="BD96" s="1143">
        <f t="shared" si="10"/>
        <v>0</v>
      </c>
      <c r="BE96" s="1118"/>
      <c r="BF96" s="1086">
        <f>'Default Data'!BH95</f>
        <v>0</v>
      </c>
    </row>
    <row r="97" spans="1:58" x14ac:dyDescent="0.25">
      <c r="A97" s="305" t="s">
        <v>934</v>
      </c>
      <c r="B97" s="1111">
        <f>'Default Data'!D96</f>
        <v>0</v>
      </c>
      <c r="C97" s="448">
        <f>'Rates &amp; Misc'!D$56*B97</f>
        <v>0</v>
      </c>
      <c r="D97" s="454">
        <f t="shared" si="8"/>
        <v>0</v>
      </c>
      <c r="E97" s="467">
        <f t="shared" si="9"/>
        <v>0</v>
      </c>
      <c r="F97" s="1086">
        <f>'Default Data'!H96</f>
        <v>0</v>
      </c>
      <c r="G97" s="319"/>
      <c r="H97" s="319"/>
      <c r="I97" s="319"/>
      <c r="J97" s="319"/>
      <c r="K97" s="319"/>
      <c r="L97" s="319"/>
      <c r="M97" s="319"/>
      <c r="N97" s="319"/>
      <c r="O97" s="319"/>
      <c r="P97" s="319"/>
      <c r="X97" s="97"/>
      <c r="BA97" s="1051" t="s">
        <v>934</v>
      </c>
      <c r="BB97" s="1111">
        <f>'Default Data'!BD96</f>
        <v>0</v>
      </c>
      <c r="BC97" s="1142">
        <f>'Rates &amp; Misc'!BD$56*BB97</f>
        <v>0</v>
      </c>
      <c r="BD97" s="1143">
        <f t="shared" si="10"/>
        <v>0</v>
      </c>
      <c r="BE97" s="1118"/>
      <c r="BF97" s="1086">
        <f>'Default Data'!BH96</f>
        <v>0</v>
      </c>
    </row>
    <row r="98" spans="1:58" x14ac:dyDescent="0.25">
      <c r="A98" s="305" t="s">
        <v>922</v>
      </c>
      <c r="B98" s="1111">
        <f>'Default Data'!D97</f>
        <v>0</v>
      </c>
      <c r="C98" s="448">
        <f>'Rates &amp; Misc'!D$56*B98</f>
        <v>0</v>
      </c>
      <c r="D98" s="454">
        <f t="shared" si="8"/>
        <v>0</v>
      </c>
      <c r="E98" s="467">
        <f t="shared" si="9"/>
        <v>0</v>
      </c>
      <c r="F98" s="1086">
        <f>'Default Data'!H97</f>
        <v>0</v>
      </c>
      <c r="G98" s="319"/>
      <c r="H98" s="319"/>
      <c r="I98" s="319"/>
      <c r="J98" s="319"/>
      <c r="K98" s="319"/>
      <c r="L98" s="319"/>
      <c r="M98" s="319"/>
      <c r="N98" s="319"/>
      <c r="O98" s="319"/>
      <c r="P98" s="319"/>
      <c r="BA98" s="1051" t="s">
        <v>922</v>
      </c>
      <c r="BB98" s="1111">
        <f>'Default Data'!BD97</f>
        <v>0</v>
      </c>
      <c r="BC98" s="1142">
        <f>'Rates &amp; Misc'!BD$56*BB98</f>
        <v>0</v>
      </c>
      <c r="BD98" s="1143">
        <f t="shared" si="10"/>
        <v>0</v>
      </c>
      <c r="BE98" s="1118"/>
      <c r="BF98" s="1086">
        <f>'Default Data'!BH97</f>
        <v>0</v>
      </c>
    </row>
    <row r="99" spans="1:58" x14ac:dyDescent="0.25">
      <c r="A99" s="305" t="s">
        <v>923</v>
      </c>
      <c r="B99" s="1111">
        <f>'Default Data'!D98</f>
        <v>0</v>
      </c>
      <c r="C99" s="448">
        <f>'Rates &amp; Misc'!D$56*B99</f>
        <v>0</v>
      </c>
      <c r="D99" s="454">
        <f t="shared" si="8"/>
        <v>0</v>
      </c>
      <c r="E99" s="467">
        <f t="shared" si="9"/>
        <v>0</v>
      </c>
      <c r="F99" s="1086">
        <f>'Default Data'!H98</f>
        <v>1</v>
      </c>
      <c r="G99" s="319"/>
      <c r="H99" s="319"/>
      <c r="I99" s="319"/>
      <c r="J99" s="319"/>
      <c r="K99" s="319"/>
      <c r="L99" s="319"/>
      <c r="M99" s="319"/>
      <c r="N99" s="319"/>
      <c r="O99" s="319"/>
      <c r="P99" s="319"/>
      <c r="X99" s="97"/>
      <c r="BA99" s="1051" t="s">
        <v>923</v>
      </c>
      <c r="BB99" s="1111">
        <f>'Default Data'!BD98</f>
        <v>0</v>
      </c>
      <c r="BC99" s="1142">
        <f>'Rates &amp; Misc'!BD$56*BB99</f>
        <v>0</v>
      </c>
      <c r="BD99" s="1143">
        <f t="shared" si="10"/>
        <v>0</v>
      </c>
      <c r="BE99" s="1118"/>
      <c r="BF99" s="1086">
        <f>'Default Data'!BH98</f>
        <v>0</v>
      </c>
    </row>
    <row r="100" spans="1:58" x14ac:dyDescent="0.25">
      <c r="A100" s="305" t="s">
        <v>29</v>
      </c>
      <c r="B100" s="1110">
        <f>'Default Data'!D99</f>
        <v>0</v>
      </c>
      <c r="C100" s="448">
        <f>'Rates &amp; Misc'!D$56*B100</f>
        <v>0</v>
      </c>
      <c r="D100" s="454">
        <f t="shared" si="8"/>
        <v>0</v>
      </c>
      <c r="E100" s="467">
        <f t="shared" si="9"/>
        <v>0</v>
      </c>
      <c r="F100" s="1086">
        <f>'Default Data'!H99</f>
        <v>1</v>
      </c>
      <c r="G100" s="319"/>
      <c r="H100" s="319"/>
      <c r="I100" s="319"/>
      <c r="J100" s="319"/>
      <c r="K100" s="319"/>
      <c r="L100" s="319"/>
      <c r="M100" s="319"/>
      <c r="N100" s="319"/>
      <c r="O100" s="319"/>
      <c r="P100" s="319"/>
      <c r="X100" s="97"/>
      <c r="BA100" s="1051" t="s">
        <v>29</v>
      </c>
      <c r="BB100" s="1110">
        <f>'Default Data'!BD99</f>
        <v>0</v>
      </c>
      <c r="BC100" s="1142">
        <f>'Rates &amp; Misc'!BD$56*BB100</f>
        <v>0</v>
      </c>
      <c r="BD100" s="1143">
        <f t="shared" si="10"/>
        <v>0</v>
      </c>
      <c r="BE100" s="1118"/>
      <c r="BF100" s="1086">
        <f>'Default Data'!BH99</f>
        <v>0</v>
      </c>
    </row>
    <row r="101" spans="1:58" x14ac:dyDescent="0.25">
      <c r="A101" s="313" t="s">
        <v>825</v>
      </c>
      <c r="B101" s="1076">
        <f>SUM(B94:B100)</f>
        <v>0</v>
      </c>
      <c r="C101" s="638">
        <f>SUM(C94:C100)-C98</f>
        <v>0</v>
      </c>
      <c r="D101" s="638">
        <f>SUM(D94:D100)-D98</f>
        <v>0</v>
      </c>
      <c r="E101" s="467">
        <f t="shared" si="9"/>
        <v>0</v>
      </c>
      <c r="F101" s="1078"/>
      <c r="G101" s="319"/>
      <c r="H101" s="319"/>
      <c r="I101" s="319"/>
      <c r="J101" s="319"/>
      <c r="K101" s="319"/>
      <c r="L101" s="319"/>
      <c r="M101" s="319"/>
      <c r="N101" s="319"/>
      <c r="O101" s="319"/>
      <c r="P101" s="319"/>
      <c r="X101" s="97"/>
      <c r="BA101" s="1054" t="s">
        <v>825</v>
      </c>
      <c r="BB101" s="1146">
        <f>SUM(BB94:BB100)</f>
        <v>0</v>
      </c>
      <c r="BC101" s="1147">
        <f>SUM(BC94:BC100)-BC98</f>
        <v>0</v>
      </c>
      <c r="BD101" s="1147">
        <f>SUM(BD94:BD100)-BD98</f>
        <v>0</v>
      </c>
      <c r="BE101" s="1118"/>
      <c r="BF101" s="1148"/>
    </row>
    <row r="102" spans="1:58" x14ac:dyDescent="0.25">
      <c r="A102" s="325" t="s">
        <v>818</v>
      </c>
      <c r="B102" s="637"/>
      <c r="C102" s="349"/>
      <c r="D102" s="636"/>
      <c r="E102" s="467"/>
      <c r="F102" s="1044"/>
      <c r="G102" s="319"/>
      <c r="H102" s="319"/>
      <c r="I102" s="319"/>
      <c r="J102" s="319"/>
      <c r="K102" s="319"/>
      <c r="L102" s="319"/>
      <c r="M102" s="319"/>
      <c r="N102" s="319"/>
      <c r="O102" s="319"/>
      <c r="P102" s="319"/>
      <c r="X102" s="97"/>
      <c r="BA102" s="1060" t="s">
        <v>818</v>
      </c>
      <c r="BB102" s="1146"/>
      <c r="BC102" s="1135"/>
      <c r="BD102" s="1149"/>
      <c r="BE102" s="1118"/>
      <c r="BF102" s="1148"/>
    </row>
    <row r="103" spans="1:58" x14ac:dyDescent="0.25">
      <c r="A103" s="305" t="s">
        <v>914</v>
      </c>
      <c r="B103" s="1110">
        <f>'Default Data'!D102</f>
        <v>0</v>
      </c>
      <c r="C103" s="448">
        <f>B103</f>
        <v>0</v>
      </c>
      <c r="D103" s="454">
        <f>C103*(G$19+G$20)</f>
        <v>0</v>
      </c>
      <c r="E103" s="467">
        <f t="shared" ref="E103:E108" si="11">D103/D$137</f>
        <v>0</v>
      </c>
      <c r="F103" s="1086">
        <f>'Default Data'!H102</f>
        <v>0</v>
      </c>
      <c r="G103" s="319"/>
      <c r="H103" s="319"/>
      <c r="I103" s="319"/>
      <c r="J103" s="319"/>
      <c r="K103" s="319"/>
      <c r="L103" s="319"/>
      <c r="M103" s="319"/>
      <c r="N103" s="319"/>
      <c r="O103" s="319"/>
      <c r="P103" s="319"/>
      <c r="X103" s="97"/>
      <c r="BA103" s="1051" t="s">
        <v>914</v>
      </c>
      <c r="BB103" s="1110">
        <f>'Default Data'!BD102</f>
        <v>0</v>
      </c>
      <c r="BC103" s="1142">
        <f>BB103</f>
        <v>0</v>
      </c>
      <c r="BD103" s="1143">
        <f>BC103*(BF$20+BF$22)</f>
        <v>0</v>
      </c>
      <c r="BE103" s="1118"/>
      <c r="BF103" s="1086">
        <f>'Default Data'!BH102</f>
        <v>0</v>
      </c>
    </row>
    <row r="104" spans="1:58" x14ac:dyDescent="0.25">
      <c r="A104" s="305" t="s">
        <v>915</v>
      </c>
      <c r="B104" s="1111">
        <f>'Default Data'!D103</f>
        <v>0</v>
      </c>
      <c r="C104" s="448">
        <f>B104</f>
        <v>0</v>
      </c>
      <c r="D104" s="454">
        <f>C104*(G$19+G$20)</f>
        <v>0</v>
      </c>
      <c r="E104" s="467">
        <f t="shared" si="11"/>
        <v>0</v>
      </c>
      <c r="F104" s="1086">
        <f>'Default Data'!H103</f>
        <v>1</v>
      </c>
      <c r="G104" s="319"/>
      <c r="H104" s="319"/>
      <c r="I104" s="319"/>
      <c r="J104" s="319"/>
      <c r="K104" s="319"/>
      <c r="L104" s="319"/>
      <c r="M104" s="319"/>
      <c r="N104" s="319"/>
      <c r="O104" s="319"/>
      <c r="P104" s="319"/>
      <c r="BA104" s="1051" t="s">
        <v>915</v>
      </c>
      <c r="BB104" s="1111">
        <f>'Default Data'!BD103</f>
        <v>0</v>
      </c>
      <c r="BC104" s="1142">
        <f>BB104</f>
        <v>0</v>
      </c>
      <c r="BD104" s="1143">
        <f>BC104*(BF$20+BF$22)</f>
        <v>0</v>
      </c>
      <c r="BE104" s="1118"/>
      <c r="BF104" s="1086">
        <f>'Default Data'!BH103</f>
        <v>0</v>
      </c>
    </row>
    <row r="105" spans="1:58" x14ac:dyDescent="0.25">
      <c r="A105" s="305" t="s">
        <v>921</v>
      </c>
      <c r="B105" s="1111">
        <f>'Default Data'!D104</f>
        <v>0</v>
      </c>
      <c r="C105" s="448">
        <f>B105</f>
        <v>0</v>
      </c>
      <c r="D105" s="454">
        <f>C105*(G$19+G$20)</f>
        <v>0</v>
      </c>
      <c r="E105" s="467">
        <f t="shared" si="11"/>
        <v>0</v>
      </c>
      <c r="F105" s="1086">
        <f>'Default Data'!H104</f>
        <v>1</v>
      </c>
      <c r="G105" s="319"/>
      <c r="H105" s="319"/>
      <c r="I105" s="319"/>
      <c r="J105" s="319"/>
      <c r="K105" s="319"/>
      <c r="L105" s="319"/>
      <c r="M105" s="319"/>
      <c r="N105" s="319"/>
      <c r="O105" s="319"/>
      <c r="P105" s="319"/>
      <c r="BA105" s="1051" t="s">
        <v>921</v>
      </c>
      <c r="BB105" s="1111">
        <f>'Default Data'!BD104</f>
        <v>0</v>
      </c>
      <c r="BC105" s="1142">
        <f>BB105</f>
        <v>0</v>
      </c>
      <c r="BD105" s="1143">
        <f>BC105*(BF$20+BF$22)</f>
        <v>0</v>
      </c>
      <c r="BE105" s="1118"/>
      <c r="BF105" s="1086">
        <f>'Default Data'!BH104</f>
        <v>0</v>
      </c>
    </row>
    <row r="106" spans="1:58" x14ac:dyDescent="0.25">
      <c r="A106" s="305" t="s">
        <v>916</v>
      </c>
      <c r="B106" s="1111">
        <f>'Default Data'!D105</f>
        <v>0</v>
      </c>
      <c r="C106" s="448">
        <f>B106</f>
        <v>0</v>
      </c>
      <c r="D106" s="454">
        <f>C106*(G$19+G$20)</f>
        <v>0</v>
      </c>
      <c r="E106" s="467">
        <f t="shared" si="11"/>
        <v>0</v>
      </c>
      <c r="F106" s="1086">
        <f>'Default Data'!H105</f>
        <v>0</v>
      </c>
      <c r="G106" s="319"/>
      <c r="H106" s="319"/>
      <c r="I106" s="319"/>
      <c r="J106" s="319"/>
      <c r="K106" s="319"/>
      <c r="L106" s="319"/>
      <c r="M106" s="319"/>
      <c r="N106" s="319"/>
      <c r="O106" s="319"/>
      <c r="P106" s="319"/>
      <c r="BA106" s="1051" t="s">
        <v>916</v>
      </c>
      <c r="BB106" s="1111">
        <f>'Default Data'!BD105</f>
        <v>0</v>
      </c>
      <c r="BC106" s="1142">
        <f>BB106</f>
        <v>0</v>
      </c>
      <c r="BD106" s="1143">
        <f>BC106*(BF$20+BF$22)</f>
        <v>0</v>
      </c>
      <c r="BE106" s="1118"/>
      <c r="BF106" s="1086">
        <f>'Default Data'!BH105</f>
        <v>0</v>
      </c>
    </row>
    <row r="107" spans="1:58" ht="15.75" thickBot="1" x14ac:dyDescent="0.3">
      <c r="A107" s="313" t="s">
        <v>825</v>
      </c>
      <c r="B107" s="1112">
        <f>SUM(B103:B106)</f>
        <v>0</v>
      </c>
      <c r="C107" s="349">
        <f>B107</f>
        <v>0</v>
      </c>
      <c r="D107" s="454">
        <f>C107*(G$19+G$20)</f>
        <v>0</v>
      </c>
      <c r="E107" s="467">
        <f t="shared" si="11"/>
        <v>0</v>
      </c>
      <c r="F107" s="1045"/>
      <c r="G107" s="1038"/>
      <c r="H107" s="319"/>
      <c r="I107" s="319"/>
      <c r="J107" s="319"/>
      <c r="K107" s="319"/>
      <c r="L107" s="319"/>
      <c r="M107" s="319"/>
      <c r="N107" s="319"/>
      <c r="O107" s="319"/>
      <c r="P107" s="319"/>
      <c r="X107" s="97"/>
      <c r="BA107" s="1054" t="s">
        <v>825</v>
      </c>
      <c r="BB107" s="1112">
        <f>SUM(BB103:BB106)</f>
        <v>0</v>
      </c>
      <c r="BC107" s="1135">
        <f>BB107</f>
        <v>0</v>
      </c>
      <c r="BD107" s="1143">
        <f>BC107*(BF$20+BF$22)</f>
        <v>0</v>
      </c>
      <c r="BE107" s="1118"/>
      <c r="BF107" s="1150"/>
    </row>
    <row r="108" spans="1:58" x14ac:dyDescent="0.25">
      <c r="A108" s="456" t="s">
        <v>333</v>
      </c>
      <c r="B108" s="457">
        <f>B107+B101</f>
        <v>0</v>
      </c>
      <c r="C108" s="457">
        <f>C107+C101</f>
        <v>0</v>
      </c>
      <c r="D108" s="457">
        <f>D107+D101</f>
        <v>0</v>
      </c>
      <c r="E108" s="665">
        <f t="shared" si="11"/>
        <v>0</v>
      </c>
      <c r="F108" s="1046"/>
      <c r="G108" s="1038"/>
      <c r="H108" s="319"/>
      <c r="I108" s="319"/>
      <c r="J108" s="319"/>
      <c r="K108" s="319"/>
      <c r="L108" s="319"/>
      <c r="M108" s="319"/>
      <c r="N108" s="319"/>
      <c r="O108" s="319"/>
      <c r="P108" s="319"/>
      <c r="X108" s="97"/>
      <c r="BA108" s="1055" t="s">
        <v>333</v>
      </c>
      <c r="BB108" s="1151">
        <f>BB107+BB101</f>
        <v>0</v>
      </c>
      <c r="BC108" s="1151">
        <f>BC107+BC101</f>
        <v>0</v>
      </c>
      <c r="BD108" s="1151">
        <f>BD107+BD101</f>
        <v>0</v>
      </c>
      <c r="BE108" s="1152"/>
      <c r="BF108" s="1139"/>
    </row>
    <row r="109" spans="1:58" x14ac:dyDescent="0.25">
      <c r="A109" s="305"/>
      <c r="B109" s="305"/>
      <c r="C109" s="305"/>
      <c r="D109" s="305"/>
      <c r="E109" s="305"/>
      <c r="F109" s="1047"/>
      <c r="G109" s="319"/>
      <c r="H109" s="319"/>
      <c r="I109" s="319"/>
      <c r="J109" s="319"/>
      <c r="K109" s="319"/>
      <c r="L109" s="319"/>
      <c r="M109" s="319"/>
      <c r="N109" s="319"/>
      <c r="O109" s="319"/>
      <c r="P109" s="319"/>
      <c r="X109" s="97"/>
      <c r="BA109" s="1051"/>
      <c r="BB109" s="1119"/>
      <c r="BC109" s="1119"/>
      <c r="BD109" s="1119"/>
      <c r="BE109" s="1119"/>
      <c r="BF109" s="1145"/>
    </row>
    <row r="110" spans="1:58" ht="18.75" x14ac:dyDescent="0.3">
      <c r="A110" s="312" t="str">
        <f>CONCATENATE(B18," Plant - Power Plant Costs")</f>
        <v>Binary Plant - Power Plant Costs</v>
      </c>
      <c r="B110" s="339"/>
      <c r="C110" s="339"/>
      <c r="D110" s="449"/>
      <c r="E110" s="335"/>
      <c r="F110" s="1048"/>
      <c r="G110" s="319"/>
      <c r="H110" s="319"/>
      <c r="I110" s="319"/>
      <c r="J110" s="319"/>
      <c r="K110" s="319"/>
      <c r="L110" s="319"/>
      <c r="M110" s="319"/>
      <c r="N110" s="319"/>
      <c r="O110" s="319"/>
      <c r="P110" s="319"/>
      <c r="X110" s="97"/>
      <c r="BA110" s="1061" t="str">
        <f>CONCATENATE(BB18," Plant - Power Plant Costs")</f>
        <v xml:space="preserve"> Plant - Power Plant Costs</v>
      </c>
      <c r="BB110" s="1131"/>
      <c r="BC110" s="1131"/>
      <c r="BD110" s="1153"/>
      <c r="BE110" s="1154"/>
      <c r="BF110" s="1155"/>
    </row>
    <row r="111" spans="1:58" ht="15.75" x14ac:dyDescent="0.25">
      <c r="A111" s="310" t="s">
        <v>102</v>
      </c>
      <c r="B111" s="339" t="s">
        <v>752</v>
      </c>
      <c r="C111" s="325"/>
      <c r="D111" s="351" t="s">
        <v>148</v>
      </c>
      <c r="E111" s="339" t="s">
        <v>750</v>
      </c>
      <c r="F111" s="339" t="s">
        <v>751</v>
      </c>
      <c r="G111" s="319"/>
      <c r="H111" s="319"/>
      <c r="I111" s="319"/>
      <c r="J111" s="319"/>
      <c r="K111" s="319"/>
      <c r="L111" s="319"/>
      <c r="M111" s="319"/>
      <c r="N111" s="319"/>
      <c r="O111" s="319"/>
      <c r="P111" s="319"/>
      <c r="BA111" s="1052" t="s">
        <v>102</v>
      </c>
      <c r="BB111" s="1131" t="s">
        <v>752</v>
      </c>
      <c r="BC111" s="1156"/>
      <c r="BD111" s="1133" t="s">
        <v>148</v>
      </c>
      <c r="BE111" s="1131"/>
      <c r="BF111" s="1134" t="s">
        <v>751</v>
      </c>
    </row>
    <row r="112" spans="1:58" x14ac:dyDescent="0.25">
      <c r="A112" s="305" t="s">
        <v>784</v>
      </c>
      <c r="B112" s="1087">
        <f>'Default Data'!N111</f>
        <v>63.75</v>
      </c>
      <c r="C112" s="319"/>
      <c r="D112" s="1089">
        <f>'Default Data'!D111</f>
        <v>376789.45681935479</v>
      </c>
      <c r="E112" s="467">
        <f t="shared" ref="E112:E117" si="12">D112/D$137</f>
        <v>8.2038243954124287E-3</v>
      </c>
      <c r="F112" s="1086">
        <f>'Default Data'!H111</f>
        <v>1</v>
      </c>
      <c r="G112" s="319"/>
      <c r="H112" s="319"/>
      <c r="I112" s="319"/>
      <c r="J112" s="319"/>
      <c r="K112" s="319"/>
      <c r="L112" s="319"/>
      <c r="M112" s="319"/>
      <c r="N112" s="319"/>
      <c r="O112" s="319"/>
      <c r="P112" s="319"/>
      <c r="BA112" s="1051" t="s">
        <v>784</v>
      </c>
      <c r="BB112" s="1087">
        <f>'Default Data'!BN111</f>
        <v>0</v>
      </c>
      <c r="BC112" s="1157"/>
      <c r="BD112" s="1089">
        <f>'Default Data'!BD111</f>
        <v>0</v>
      </c>
      <c r="BE112" s="1118"/>
      <c r="BF112" s="1086">
        <f>'Default Data'!BH111</f>
        <v>0</v>
      </c>
    </row>
    <row r="113" spans="1:58" x14ac:dyDescent="0.25">
      <c r="A113" s="305" t="s">
        <v>785</v>
      </c>
      <c r="B113" s="1087">
        <f>'Default Data'!N112</f>
        <v>20.565000000000001</v>
      </c>
      <c r="C113" s="319"/>
      <c r="D113" s="1089">
        <f>'Default Data'!D112</f>
        <v>753578.91363870958</v>
      </c>
      <c r="E113" s="467">
        <f t="shared" si="12"/>
        <v>1.6407648790824857E-2</v>
      </c>
      <c r="F113" s="1086">
        <f>'Default Data'!H112</f>
        <v>1</v>
      </c>
      <c r="G113" s="319"/>
      <c r="H113" s="319"/>
      <c r="I113" s="319"/>
      <c r="J113" s="319"/>
      <c r="K113" s="319"/>
      <c r="L113" s="319"/>
      <c r="M113" s="319"/>
      <c r="N113" s="319"/>
      <c r="O113" s="319"/>
      <c r="P113" s="319"/>
      <c r="BA113" s="1051" t="s">
        <v>785</v>
      </c>
      <c r="BB113" s="1087">
        <f>'Default Data'!BN112</f>
        <v>0</v>
      </c>
      <c r="BC113" s="1157"/>
      <c r="BD113" s="1089">
        <f>'Default Data'!BD112</f>
        <v>0</v>
      </c>
      <c r="BE113" s="1118"/>
      <c r="BF113" s="1086">
        <f>'Default Data'!BH112</f>
        <v>0</v>
      </c>
    </row>
    <row r="114" spans="1:58" x14ac:dyDescent="0.25">
      <c r="A114" s="305" t="s">
        <v>786</v>
      </c>
      <c r="B114" s="1087">
        <f>'Default Data'!N113</f>
        <v>26.25</v>
      </c>
      <c r="C114" s="319"/>
      <c r="D114" s="1089">
        <f>'Default Data'!D113</f>
        <v>753578.91363870958</v>
      </c>
      <c r="E114" s="467">
        <f t="shared" si="12"/>
        <v>1.6407648790824857E-2</v>
      </c>
      <c r="F114" s="1086">
        <f>'Default Data'!H113</f>
        <v>1</v>
      </c>
      <c r="G114" s="319"/>
      <c r="H114" s="1113"/>
      <c r="I114" s="319"/>
      <c r="J114" s="319"/>
      <c r="K114" s="319"/>
      <c r="L114" s="319"/>
      <c r="M114" s="319"/>
      <c r="N114" s="319"/>
      <c r="O114" s="319"/>
      <c r="P114" s="319"/>
      <c r="BA114" s="1051" t="s">
        <v>786</v>
      </c>
      <c r="BB114" s="1087">
        <f>'Default Data'!BN113</f>
        <v>0</v>
      </c>
      <c r="BC114" s="1157"/>
      <c r="BD114" s="1089">
        <f>'Default Data'!BD113</f>
        <v>0</v>
      </c>
      <c r="BE114" s="1118"/>
      <c r="BF114" s="1086">
        <f>'Default Data'!BH113</f>
        <v>0</v>
      </c>
    </row>
    <row r="115" spans="1:58" x14ac:dyDescent="0.25">
      <c r="A115" s="305" t="s">
        <v>787</v>
      </c>
      <c r="B115" s="1087">
        <f>'Default Data'!N114</f>
        <v>33.480000000000004</v>
      </c>
      <c r="C115" s="319"/>
      <c r="D115" s="1089">
        <f>'Default Data'!D114</f>
        <v>753578.91363870958</v>
      </c>
      <c r="E115" s="467">
        <f t="shared" si="12"/>
        <v>1.6407648790824857E-2</v>
      </c>
      <c r="F115" s="1086">
        <f>'Default Data'!H114</f>
        <v>1</v>
      </c>
      <c r="G115" s="319"/>
      <c r="H115" s="319"/>
      <c r="I115" s="319"/>
      <c r="J115" s="319"/>
      <c r="K115" s="319"/>
      <c r="L115" s="319"/>
      <c r="M115" s="319"/>
      <c r="N115" s="319"/>
      <c r="O115" s="319"/>
      <c r="P115" s="319"/>
      <c r="BA115" s="1051" t="s">
        <v>787</v>
      </c>
      <c r="BB115" s="1087">
        <f>'Default Data'!BN114</f>
        <v>0</v>
      </c>
      <c r="BC115" s="1157"/>
      <c r="BD115" s="1089">
        <f>'Default Data'!BD114</f>
        <v>0</v>
      </c>
      <c r="BE115" s="1118"/>
      <c r="BF115" s="1086">
        <f>'Default Data'!BH114</f>
        <v>0</v>
      </c>
    </row>
    <row r="116" spans="1:58" ht="15.75" thickBot="1" x14ac:dyDescent="0.3">
      <c r="A116" s="305" t="s">
        <v>743</v>
      </c>
      <c r="B116" s="1088">
        <f>'Default Data'!N115</f>
        <v>60</v>
      </c>
      <c r="C116" s="319"/>
      <c r="D116" s="1089">
        <f>'Default Data'!D115</f>
        <v>1130368.3704580641</v>
      </c>
      <c r="E116" s="467">
        <f t="shared" si="12"/>
        <v>2.4611473186237281E-2</v>
      </c>
      <c r="F116" s="1090">
        <f>'Default Data'!H115</f>
        <v>0</v>
      </c>
      <c r="G116" s="319"/>
      <c r="H116" s="319"/>
      <c r="I116" s="319"/>
      <c r="J116" s="319"/>
      <c r="K116" s="319"/>
      <c r="L116" s="319"/>
      <c r="M116" s="319"/>
      <c r="N116" s="319"/>
      <c r="O116" s="319"/>
      <c r="P116" s="319"/>
      <c r="BA116" s="1051" t="s">
        <v>743</v>
      </c>
      <c r="BB116" s="1088">
        <f>'Default Data'!BN115</f>
        <v>0</v>
      </c>
      <c r="BC116" s="1157"/>
      <c r="BD116" s="1089">
        <f>'Default Data'!BD115</f>
        <v>0</v>
      </c>
      <c r="BE116" s="1118"/>
      <c r="BF116" s="1090">
        <f>'Default Data'!BH115</f>
        <v>0</v>
      </c>
    </row>
    <row r="117" spans="1:58" x14ac:dyDescent="0.25">
      <c r="A117" s="656" t="s">
        <v>788</v>
      </c>
      <c r="B117" s="458"/>
      <c r="C117" s="458"/>
      <c r="D117" s="457">
        <f>SUM(D112:D116)</f>
        <v>3767894.5681935479</v>
      </c>
      <c r="E117" s="665">
        <f t="shared" si="12"/>
        <v>8.203824395412429E-2</v>
      </c>
      <c r="F117" s="1091"/>
      <c r="G117" s="444"/>
      <c r="H117" s="444"/>
      <c r="I117" s="444"/>
      <c r="J117" s="444"/>
      <c r="K117" s="444"/>
      <c r="L117" s="444"/>
      <c r="M117" s="444"/>
      <c r="N117" s="444"/>
      <c r="O117" s="444"/>
      <c r="P117" s="444"/>
      <c r="BA117" s="1056" t="s">
        <v>788</v>
      </c>
      <c r="BB117" s="1158"/>
      <c r="BC117" s="1158"/>
      <c r="BD117" s="1151">
        <f>SUM(BD112:BD116)</f>
        <v>0</v>
      </c>
      <c r="BE117" s="1152"/>
      <c r="BF117" s="1125"/>
    </row>
    <row r="118" spans="1:58" ht="15.75" customHeight="1" x14ac:dyDescent="0.25">
      <c r="A118" s="310" t="str">
        <f>IF(B$18="Flash","Binary Plant Equipment - not applicable","Binary Plant Equipment")</f>
        <v>Binary Plant Equipment</v>
      </c>
      <c r="B118" s="305"/>
      <c r="C118" s="336"/>
      <c r="D118" s="351" t="s">
        <v>148</v>
      </c>
      <c r="E118" s="339" t="s">
        <v>750</v>
      </c>
      <c r="F118" s="339" t="s">
        <v>751</v>
      </c>
      <c r="G118" s="326"/>
      <c r="H118" s="326"/>
      <c r="I118" s="326"/>
      <c r="J118" s="326"/>
      <c r="K118" s="326"/>
      <c r="L118" s="326"/>
      <c r="M118" s="326"/>
      <c r="N118" s="326"/>
      <c r="O118" s="326"/>
      <c r="P118" s="326"/>
      <c r="BA118" s="1052" t="str">
        <f>IF(BB$18="Flash","Binary Plant Equipment - not applicable","Binary Plant Equipment")</f>
        <v>Binary Plant Equipment</v>
      </c>
      <c r="BB118" s="1119"/>
      <c r="BC118" s="1089"/>
      <c r="BD118" s="1133" t="s">
        <v>148</v>
      </c>
      <c r="BE118" s="1131"/>
      <c r="BF118" s="1134" t="s">
        <v>751</v>
      </c>
    </row>
    <row r="119" spans="1:58" x14ac:dyDescent="0.25">
      <c r="A119" s="305" t="s">
        <v>789</v>
      </c>
      <c r="B119" s="321"/>
      <c r="C119" s="336"/>
      <c r="D119" s="1092">
        <f>'Default Data'!D118</f>
        <v>10048974.813372191</v>
      </c>
      <c r="E119" s="467">
        <f>D119/D$137</f>
        <v>0.21879599662564947</v>
      </c>
      <c r="F119" s="1086">
        <f>'Default Data'!H118</f>
        <v>0</v>
      </c>
      <c r="G119" s="1037"/>
      <c r="H119" s="327"/>
      <c r="I119" s="327"/>
      <c r="J119" s="327"/>
      <c r="K119" s="327"/>
      <c r="L119" s="327"/>
      <c r="M119" s="327"/>
      <c r="N119" s="327"/>
      <c r="O119" s="327"/>
      <c r="P119" s="327"/>
      <c r="BA119" s="1051" t="s">
        <v>789</v>
      </c>
      <c r="BB119" s="1159"/>
      <c r="BC119" s="1089"/>
      <c r="BD119" s="1092">
        <f>'Default Data'!BD118</f>
        <v>0</v>
      </c>
      <c r="BE119" s="1118"/>
      <c r="BF119" s="1086">
        <f>'Default Data'!BH118</f>
        <v>0</v>
      </c>
    </row>
    <row r="120" spans="1:58" x14ac:dyDescent="0.25">
      <c r="A120" s="305" t="s">
        <v>790</v>
      </c>
      <c r="B120" s="321"/>
      <c r="C120" s="336"/>
      <c r="D120" s="1092">
        <f>'Default Data'!D119</f>
        <v>7477386.7705800943</v>
      </c>
      <c r="E120" s="467">
        <f>D120/D$137</f>
        <v>0.16280489512695961</v>
      </c>
      <c r="F120" s="1086">
        <f>'Default Data'!H119</f>
        <v>0</v>
      </c>
      <c r="G120" s="1037"/>
      <c r="H120" s="328"/>
      <c r="I120" s="328"/>
      <c r="J120" s="328"/>
      <c r="K120" s="328"/>
      <c r="L120" s="328"/>
      <c r="M120" s="328"/>
      <c r="N120" s="328"/>
      <c r="O120" s="328"/>
      <c r="P120" s="328"/>
      <c r="BA120" s="1051" t="s">
        <v>790</v>
      </c>
      <c r="BB120" s="1159"/>
      <c r="BC120" s="1089"/>
      <c r="BD120" s="1092">
        <f>'Default Data'!BD119</f>
        <v>0</v>
      </c>
      <c r="BE120" s="1118"/>
      <c r="BF120" s="1086">
        <f>'Default Data'!BH119</f>
        <v>0</v>
      </c>
    </row>
    <row r="121" spans="1:58" x14ac:dyDescent="0.25">
      <c r="A121" s="305" t="s">
        <v>791</v>
      </c>
      <c r="B121" s="321"/>
      <c r="C121" s="336"/>
      <c r="D121" s="1092">
        <f>'Default Data'!D120</f>
        <v>737847.95381650131</v>
      </c>
      <c r="E121" s="467">
        <f>D121/D$137</f>
        <v>1.6065139122316385E-2</v>
      </c>
      <c r="F121" s="1086">
        <f>'Default Data'!H120</f>
        <v>0</v>
      </c>
      <c r="G121" s="1037"/>
      <c r="H121" s="328"/>
      <c r="I121" s="328"/>
      <c r="J121" s="328"/>
      <c r="K121" s="328"/>
      <c r="L121" s="328"/>
      <c r="M121" s="328"/>
      <c r="N121" s="328"/>
      <c r="O121" s="328"/>
      <c r="P121" s="328"/>
      <c r="BA121" s="1051" t="s">
        <v>791</v>
      </c>
      <c r="BB121" s="1159"/>
      <c r="BC121" s="1089"/>
      <c r="BD121" s="1092">
        <f>'Default Data'!BD120</f>
        <v>0</v>
      </c>
      <c r="BE121" s="1118"/>
      <c r="BF121" s="1086">
        <f>'Default Data'!BH120</f>
        <v>0</v>
      </c>
    </row>
    <row r="122" spans="1:58" ht="15.75" thickBot="1" x14ac:dyDescent="0.3">
      <c r="A122" s="305" t="s">
        <v>792</v>
      </c>
      <c r="B122" s="321"/>
      <c r="C122" s="336"/>
      <c r="D122" s="1093">
        <f>'Default Data'!D121</f>
        <v>1517236.9452473368</v>
      </c>
      <c r="E122" s="467">
        <f>D122/D$137</f>
        <v>3.3034749884226999E-2</v>
      </c>
      <c r="F122" s="1090">
        <f>'Default Data'!H121</f>
        <v>0</v>
      </c>
      <c r="G122" s="1037"/>
      <c r="H122" s="328"/>
      <c r="I122" s="328"/>
      <c r="J122" s="328"/>
      <c r="K122" s="328"/>
      <c r="L122" s="328"/>
      <c r="M122" s="328"/>
      <c r="N122" s="328"/>
      <c r="O122" s="328"/>
      <c r="P122" s="328"/>
      <c r="BA122" s="1051" t="s">
        <v>792</v>
      </c>
      <c r="BB122" s="1159"/>
      <c r="BC122" s="1089"/>
      <c r="BD122" s="1093">
        <f>'Default Data'!BD121</f>
        <v>0</v>
      </c>
      <c r="BE122" s="1118"/>
      <c r="BF122" s="1090">
        <f>'Default Data'!BH121</f>
        <v>0</v>
      </c>
    </row>
    <row r="123" spans="1:58" ht="15.75" thickBot="1" x14ac:dyDescent="0.3">
      <c r="A123" s="338" t="s">
        <v>788</v>
      </c>
      <c r="B123" s="661"/>
      <c r="C123" s="661"/>
      <c r="D123" s="1027">
        <f>SUM(D119:D122)</f>
        <v>19781446.483016122</v>
      </c>
      <c r="E123" s="1028">
        <f>D123/D$137</f>
        <v>0.43070078075915241</v>
      </c>
      <c r="F123" s="1094"/>
      <c r="G123" s="1037"/>
      <c r="H123" s="328"/>
      <c r="I123" s="328"/>
      <c r="J123" s="328"/>
      <c r="K123" s="328"/>
      <c r="L123" s="328"/>
      <c r="M123" s="328"/>
      <c r="N123" s="328"/>
      <c r="O123" s="328"/>
      <c r="P123" s="328"/>
      <c r="BA123" s="1056" t="s">
        <v>788</v>
      </c>
      <c r="BB123" s="1160"/>
      <c r="BC123" s="1160"/>
      <c r="BD123" s="1161">
        <f>SUM(BD119:BD122)</f>
        <v>0</v>
      </c>
      <c r="BE123" s="1162"/>
      <c r="BF123" s="1163"/>
    </row>
    <row r="124" spans="1:58" x14ac:dyDescent="0.25">
      <c r="A124" s="656" t="s">
        <v>388</v>
      </c>
      <c r="B124" s="458"/>
      <c r="C124" s="458"/>
      <c r="D124" s="457">
        <f>D123+D117</f>
        <v>23549341.05120967</v>
      </c>
      <c r="E124" s="665">
        <f>E123+E117</f>
        <v>0.5127390247132767</v>
      </c>
      <c r="F124" s="753"/>
      <c r="G124" s="1037"/>
      <c r="H124" s="328"/>
      <c r="I124" s="328"/>
      <c r="J124" s="328"/>
      <c r="K124" s="328"/>
      <c r="L124" s="328"/>
      <c r="M124" s="328"/>
      <c r="N124" s="328"/>
      <c r="O124" s="328"/>
      <c r="P124" s="328"/>
      <c r="BA124" s="1053" t="s">
        <v>388</v>
      </c>
      <c r="BB124" s="1158"/>
      <c r="BC124" s="1158"/>
      <c r="BD124" s="1151">
        <f>BD123+BD117</f>
        <v>0</v>
      </c>
      <c r="BE124" s="1152"/>
      <c r="BF124" s="1125"/>
    </row>
    <row r="125" spans="1:58" x14ac:dyDescent="0.25">
      <c r="A125" s="313"/>
      <c r="B125" s="320"/>
      <c r="C125" s="337"/>
      <c r="D125" s="337"/>
      <c r="E125" s="329"/>
      <c r="F125" s="754"/>
      <c r="G125" s="328"/>
      <c r="H125" s="328"/>
      <c r="I125" s="328"/>
      <c r="J125" s="328"/>
      <c r="K125" s="328"/>
      <c r="L125" s="328"/>
      <c r="M125" s="328"/>
      <c r="N125" s="328"/>
      <c r="O125" s="328"/>
      <c r="P125" s="328"/>
      <c r="BA125" s="1054"/>
      <c r="BB125" s="1164"/>
      <c r="BC125" s="1165"/>
      <c r="BD125" s="1165"/>
      <c r="BE125" s="1166"/>
      <c r="BF125" s="1130"/>
    </row>
    <row r="126" spans="1:58" ht="21" x14ac:dyDescent="0.35">
      <c r="A126" s="306" t="str">
        <f>IF(B$18="Binary","Flash Plant Equipment - not applicable","Flash Plant Equipment")</f>
        <v>Flash Plant Equipment - not applicable</v>
      </c>
      <c r="B126" s="322"/>
      <c r="C126" s="305"/>
      <c r="D126" s="351" t="s">
        <v>148</v>
      </c>
      <c r="E126" s="339" t="s">
        <v>750</v>
      </c>
      <c r="F126" s="755" t="s">
        <v>751</v>
      </c>
      <c r="G126" s="328"/>
      <c r="H126" s="328"/>
      <c r="I126" s="328"/>
      <c r="J126" s="328"/>
      <c r="K126" s="328"/>
      <c r="L126" s="328"/>
      <c r="M126" s="328"/>
      <c r="N126" s="328"/>
      <c r="O126" s="328"/>
      <c r="P126" s="328"/>
      <c r="BA126" s="1062" t="str">
        <f>IF(BB$18="Binary","Flash Plant Equipment - not applicable","Flash Plant Equipment")</f>
        <v>Flash Plant Equipment</v>
      </c>
      <c r="BB126" s="1167"/>
      <c r="BC126" s="1119"/>
      <c r="BD126" s="1133" t="s">
        <v>148</v>
      </c>
      <c r="BE126" s="1131"/>
      <c r="BF126" s="1134" t="s">
        <v>751</v>
      </c>
    </row>
    <row r="127" spans="1:58" x14ac:dyDescent="0.25">
      <c r="A127" s="305" t="s">
        <v>391</v>
      </c>
      <c r="B127" s="323"/>
      <c r="C127" s="323"/>
      <c r="D127" s="1092">
        <f>'Default Data'!D126</f>
        <v>0</v>
      </c>
      <c r="E127" s="467">
        <f t="shared" ref="E127:E137" si="13">D127/D$137</f>
        <v>0</v>
      </c>
      <c r="F127" s="1114">
        <f>'Default Data'!H126</f>
        <v>0</v>
      </c>
      <c r="G127" s="1038"/>
      <c r="H127" s="328"/>
      <c r="I127" s="328"/>
      <c r="J127" s="328"/>
      <c r="K127" s="328"/>
      <c r="L127" s="328"/>
      <c r="M127" s="328"/>
      <c r="N127" s="328"/>
      <c r="O127" s="328"/>
      <c r="P127" s="328"/>
      <c r="BA127" s="1051" t="s">
        <v>391</v>
      </c>
      <c r="BB127" s="1168"/>
      <c r="BC127" s="1168"/>
      <c r="BD127" s="1092">
        <f>'Default Data'!BD126</f>
        <v>0</v>
      </c>
      <c r="BE127" s="1169"/>
      <c r="BF127" s="1114">
        <f>'Default Data'!BH126</f>
        <v>0</v>
      </c>
    </row>
    <row r="128" spans="1:58" x14ac:dyDescent="0.25">
      <c r="A128" s="305" t="s">
        <v>392</v>
      </c>
      <c r="B128" s="323"/>
      <c r="C128" s="323"/>
      <c r="D128" s="1092">
        <f>'Default Data'!D127</f>
        <v>0</v>
      </c>
      <c r="E128" s="467">
        <f t="shared" si="13"/>
        <v>0</v>
      </c>
      <c r="F128" s="1114">
        <f>'Default Data'!H127</f>
        <v>0</v>
      </c>
      <c r="G128" s="1038"/>
      <c r="H128" s="328"/>
      <c r="I128" s="328"/>
      <c r="J128" s="328"/>
      <c r="K128" s="328"/>
      <c r="L128" s="328"/>
      <c r="M128" s="328"/>
      <c r="N128" s="328"/>
      <c r="O128" s="328"/>
      <c r="P128" s="328"/>
      <c r="BA128" s="1051" t="s">
        <v>392</v>
      </c>
      <c r="BB128" s="1168"/>
      <c r="BC128" s="1168"/>
      <c r="BD128" s="1092">
        <f>'Default Data'!BD127</f>
        <v>0</v>
      </c>
      <c r="BE128" s="1169"/>
      <c r="BF128" s="1114">
        <f>'Default Data'!BH127</f>
        <v>0</v>
      </c>
    </row>
    <row r="129" spans="1:58" x14ac:dyDescent="0.25">
      <c r="A129" s="305" t="s">
        <v>393</v>
      </c>
      <c r="B129" s="323"/>
      <c r="C129" s="323"/>
      <c r="D129" s="1092">
        <f>'Default Data'!D128</f>
        <v>0</v>
      </c>
      <c r="E129" s="467">
        <f t="shared" si="13"/>
        <v>0</v>
      </c>
      <c r="F129" s="1114">
        <f>'Default Data'!H128</f>
        <v>0</v>
      </c>
      <c r="G129" s="1038"/>
      <c r="H129" s="328"/>
      <c r="I129" s="328"/>
      <c r="J129" s="328"/>
      <c r="K129" s="328"/>
      <c r="L129" s="328"/>
      <c r="M129" s="328"/>
      <c r="N129" s="328"/>
      <c r="O129" s="328"/>
      <c r="P129" s="328"/>
      <c r="BA129" s="1051" t="s">
        <v>393</v>
      </c>
      <c r="BB129" s="1168"/>
      <c r="BC129" s="1168"/>
      <c r="BD129" s="1092">
        <f>'Default Data'!BD128</f>
        <v>0</v>
      </c>
      <c r="BE129" s="1169"/>
      <c r="BF129" s="1114">
        <f>'Default Data'!BH128</f>
        <v>0</v>
      </c>
    </row>
    <row r="130" spans="1:58" x14ac:dyDescent="0.25">
      <c r="A130" s="305" t="s">
        <v>394</v>
      </c>
      <c r="B130" s="323"/>
      <c r="C130" s="323"/>
      <c r="D130" s="1092">
        <f>'Default Data'!D129</f>
        <v>0</v>
      </c>
      <c r="E130" s="467">
        <f t="shared" si="13"/>
        <v>0</v>
      </c>
      <c r="F130" s="1114">
        <f>'Default Data'!H129</f>
        <v>0</v>
      </c>
      <c r="G130" s="1038"/>
      <c r="H130" s="328"/>
      <c r="I130" s="328"/>
      <c r="J130" s="328"/>
      <c r="K130" s="328"/>
      <c r="L130" s="328"/>
      <c r="M130" s="328"/>
      <c r="N130" s="328"/>
      <c r="O130" s="328"/>
      <c r="P130" s="328"/>
      <c r="BA130" s="1051" t="s">
        <v>394</v>
      </c>
      <c r="BB130" s="1168"/>
      <c r="BC130" s="1168"/>
      <c r="BD130" s="1092">
        <f>'Default Data'!BD129</f>
        <v>0</v>
      </c>
      <c r="BE130" s="1169"/>
      <c r="BF130" s="1114">
        <f>'Default Data'!BH129</f>
        <v>0</v>
      </c>
    </row>
    <row r="131" spans="1:58" x14ac:dyDescent="0.25">
      <c r="A131" s="305" t="s">
        <v>395</v>
      </c>
      <c r="B131" s="323"/>
      <c r="C131" s="323"/>
      <c r="D131" s="1092">
        <f>'Default Data'!D130</f>
        <v>0</v>
      </c>
      <c r="E131" s="467">
        <f t="shared" si="13"/>
        <v>0</v>
      </c>
      <c r="F131" s="1114">
        <f>'Default Data'!H130</f>
        <v>0</v>
      </c>
      <c r="G131" s="1038"/>
      <c r="H131" s="328"/>
      <c r="I131" s="328"/>
      <c r="J131" s="328"/>
      <c r="K131" s="328"/>
      <c r="L131" s="328"/>
      <c r="M131" s="328"/>
      <c r="N131" s="328"/>
      <c r="O131" s="328"/>
      <c r="P131" s="328"/>
      <c r="BA131" s="1051" t="s">
        <v>395</v>
      </c>
      <c r="BB131" s="1168"/>
      <c r="BC131" s="1168"/>
      <c r="BD131" s="1092">
        <f>'Default Data'!BD130</f>
        <v>0</v>
      </c>
      <c r="BE131" s="1169"/>
      <c r="BF131" s="1114">
        <f>'Default Data'!BH130</f>
        <v>0</v>
      </c>
    </row>
    <row r="132" spans="1:58" x14ac:dyDescent="0.25">
      <c r="A132" s="305" t="s">
        <v>396</v>
      </c>
      <c r="B132" s="323"/>
      <c r="C132" s="323"/>
      <c r="D132" s="1092">
        <f>'Default Data'!D131</f>
        <v>0</v>
      </c>
      <c r="E132" s="467">
        <f t="shared" si="13"/>
        <v>0</v>
      </c>
      <c r="F132" s="1114">
        <f>'Default Data'!H131</f>
        <v>0</v>
      </c>
      <c r="G132" s="1038"/>
      <c r="H132" s="328"/>
      <c r="I132" s="328"/>
      <c r="J132" s="328"/>
      <c r="K132" s="328"/>
      <c r="L132" s="328"/>
      <c r="M132" s="328"/>
      <c r="N132" s="328"/>
      <c r="O132" s="328"/>
      <c r="P132" s="328"/>
      <c r="BA132" s="1051" t="s">
        <v>396</v>
      </c>
      <c r="BB132" s="1168"/>
      <c r="BC132" s="1168"/>
      <c r="BD132" s="1092">
        <f>'Default Data'!BD131</f>
        <v>0</v>
      </c>
      <c r="BE132" s="1169"/>
      <c r="BF132" s="1114">
        <f>'Default Data'!BH131</f>
        <v>0</v>
      </c>
    </row>
    <row r="133" spans="1:58" ht="15.75" thickBot="1" x14ac:dyDescent="0.3">
      <c r="A133" s="305" t="s">
        <v>397</v>
      </c>
      <c r="B133" s="323"/>
      <c r="C133" s="323"/>
      <c r="D133" s="1093">
        <f>'Default Data'!D132</f>
        <v>0</v>
      </c>
      <c r="E133" s="467">
        <f t="shared" si="13"/>
        <v>0</v>
      </c>
      <c r="F133" s="1115">
        <f>'Default Data'!H132</f>
        <v>0</v>
      </c>
      <c r="G133" s="1038"/>
      <c r="H133" s="328"/>
      <c r="I133" s="328"/>
      <c r="J133" s="328"/>
      <c r="K133" s="328"/>
      <c r="L133" s="328"/>
      <c r="M133" s="328"/>
      <c r="N133" s="328"/>
      <c r="O133" s="328"/>
      <c r="P133" s="328"/>
      <c r="BA133" s="1051" t="s">
        <v>397</v>
      </c>
      <c r="BB133" s="1168"/>
      <c r="BC133" s="1168"/>
      <c r="BD133" s="1093">
        <f>'Default Data'!BD132</f>
        <v>0</v>
      </c>
      <c r="BE133" s="1170"/>
      <c r="BF133" s="1115">
        <f>'Default Data'!BH132</f>
        <v>0</v>
      </c>
    </row>
    <row r="134" spans="1:58" x14ac:dyDescent="0.25">
      <c r="A134" s="656" t="s">
        <v>624</v>
      </c>
      <c r="B134" s="1039"/>
      <c r="C134" s="1039"/>
      <c r="D134" s="457">
        <f>SUM(D127:D133)</f>
        <v>0</v>
      </c>
      <c r="E134" s="665">
        <f t="shared" si="13"/>
        <v>0</v>
      </c>
      <c r="F134" s="1079"/>
      <c r="G134" s="1038"/>
      <c r="H134" s="328"/>
      <c r="I134" s="328"/>
      <c r="J134" s="328"/>
      <c r="K134" s="328"/>
      <c r="L134" s="328"/>
      <c r="M134" s="328"/>
      <c r="N134" s="328"/>
      <c r="O134" s="328"/>
      <c r="P134" s="328"/>
      <c r="BA134" s="1056" t="s">
        <v>624</v>
      </c>
      <c r="BB134" s="1171"/>
      <c r="BC134" s="1171"/>
      <c r="BD134" s="1151">
        <f>SUM(BD127:BD133)</f>
        <v>0</v>
      </c>
      <c r="BE134" s="1152"/>
      <c r="BF134" s="1158"/>
    </row>
    <row r="135" spans="1:58" x14ac:dyDescent="0.25">
      <c r="A135" s="325" t="s">
        <v>951</v>
      </c>
      <c r="B135" s="324"/>
      <c r="C135" s="324"/>
      <c r="D135" s="1025">
        <f>IF(B18="Flash",IF(B17="EGS",(D$134+D$117+D$108+D$90+D$69+D$48),(D$134+D$117+D$90+D$69+D$48)),IF(B17="EGS",(D$117+D$123+D$108+D$90+D$69+D$48),(D$117+D$123+D$90+D$69+D$48)))</f>
        <v>43741441.117801815</v>
      </c>
      <c r="E135" s="1024">
        <f t="shared" si="13"/>
        <v>0.95238095238095233</v>
      </c>
      <c r="F135" s="320"/>
      <c r="G135" s="328"/>
      <c r="H135" s="328"/>
      <c r="I135" s="328"/>
      <c r="J135" s="328"/>
      <c r="K135" s="328"/>
      <c r="L135" s="328"/>
      <c r="M135" s="328"/>
      <c r="N135" s="328"/>
      <c r="O135" s="328"/>
      <c r="P135" s="328"/>
      <c r="BA135" s="1060" t="s">
        <v>951</v>
      </c>
      <c r="BB135" s="1172"/>
      <c r="BC135" s="1172"/>
      <c r="BD135" s="1092">
        <f>(BD$134+BD$123+BD$117+BD$108+BD$90+BD$69+BD$48)</f>
        <v>0</v>
      </c>
      <c r="BE135" s="1129"/>
      <c r="BF135" s="1164"/>
    </row>
    <row r="136" spans="1:58" x14ac:dyDescent="0.25">
      <c r="A136" s="325" t="s">
        <v>803</v>
      </c>
      <c r="B136" s="313"/>
      <c r="C136" s="313"/>
      <c r="D136" s="1025">
        <f>D135*B29</f>
        <v>2187072.0558900908</v>
      </c>
      <c r="E136" s="1026">
        <f t="shared" si="13"/>
        <v>4.7619047619047616E-2</v>
      </c>
      <c r="F136" s="313"/>
      <c r="G136" s="328"/>
      <c r="H136" s="328"/>
      <c r="I136" s="328"/>
      <c r="J136" s="328"/>
      <c r="K136" s="328"/>
      <c r="L136" s="328"/>
      <c r="M136" s="328"/>
      <c r="N136" s="328"/>
      <c r="O136" s="328"/>
      <c r="P136" s="328"/>
      <c r="BA136" s="1060" t="s">
        <v>803</v>
      </c>
      <c r="BB136" s="1140"/>
      <c r="BC136" s="1140"/>
      <c r="BD136" s="1092">
        <f>BD135*BB29</f>
        <v>0</v>
      </c>
      <c r="BE136" s="1118"/>
      <c r="BF136" s="1140"/>
    </row>
    <row r="137" spans="1:58" x14ac:dyDescent="0.25">
      <c r="A137" s="325" t="s">
        <v>949</v>
      </c>
      <c r="B137" s="324"/>
      <c r="C137" s="323"/>
      <c r="D137" s="1025">
        <f>D136+D135</f>
        <v>45928513.173691906</v>
      </c>
      <c r="E137" s="1026">
        <f t="shared" si="13"/>
        <v>1</v>
      </c>
      <c r="F137" s="320"/>
      <c r="G137" s="328"/>
      <c r="H137" s="328"/>
      <c r="I137" s="328"/>
      <c r="J137" s="328"/>
      <c r="K137" s="328"/>
      <c r="L137" s="328"/>
      <c r="M137" s="328"/>
      <c r="N137" s="328"/>
      <c r="O137" s="328"/>
      <c r="P137" s="328"/>
      <c r="BA137" s="1060" t="s">
        <v>949</v>
      </c>
      <c r="BB137" s="1172"/>
      <c r="BC137" s="1168"/>
      <c r="BD137" s="1092">
        <f>BD136+BD135</f>
        <v>0</v>
      </c>
      <c r="BE137" s="1118"/>
      <c r="BF137" s="1164"/>
    </row>
    <row r="138" spans="1:58" x14ac:dyDescent="0.25">
      <c r="A138" s="313"/>
      <c r="B138" s="324"/>
      <c r="C138" s="337"/>
      <c r="D138" s="331"/>
      <c r="E138" s="332"/>
      <c r="F138" s="320"/>
      <c r="G138" s="328"/>
      <c r="H138" s="328"/>
      <c r="I138" s="328"/>
      <c r="J138" s="328"/>
      <c r="K138" s="328"/>
      <c r="L138" s="328"/>
      <c r="M138" s="328"/>
      <c r="N138" s="328"/>
      <c r="O138" s="328"/>
      <c r="P138" s="328"/>
      <c r="BA138" s="1054"/>
      <c r="BB138" s="1172"/>
      <c r="BC138" s="1165"/>
      <c r="BD138" s="1173"/>
      <c r="BE138" s="1174"/>
      <c r="BF138" s="1164"/>
    </row>
    <row r="139" spans="1:58" ht="18.75" x14ac:dyDescent="0.3">
      <c r="A139" s="312" t="str">
        <f>CONCATENATE(B$18," Plant O&amp;M Costs")</f>
        <v>Binary Plant O&amp;M Costs</v>
      </c>
      <c r="B139" s="313"/>
      <c r="C139" s="313"/>
      <c r="D139" s="331"/>
      <c r="E139" s="332"/>
      <c r="F139" s="320"/>
      <c r="G139" s="328"/>
      <c r="H139" s="328"/>
      <c r="I139" s="328"/>
      <c r="J139" s="328"/>
      <c r="K139" s="328"/>
      <c r="L139" s="328"/>
      <c r="M139" s="328"/>
      <c r="N139" s="328"/>
      <c r="O139" s="328"/>
      <c r="P139" s="328"/>
      <c r="BA139" s="1061" t="str">
        <f>CONCATENATE(BB$18," Plant O&amp;M Costs")</f>
        <v xml:space="preserve"> Plant O&amp;M Costs</v>
      </c>
      <c r="BB139" s="1140"/>
      <c r="BC139" s="1140"/>
      <c r="BD139" s="1173"/>
      <c r="BE139" s="1174"/>
      <c r="BF139" s="1164"/>
    </row>
    <row r="140" spans="1:58" x14ac:dyDescent="0.25">
      <c r="A140" s="657" t="s">
        <v>798</v>
      </c>
      <c r="B140" s="313"/>
      <c r="C140" s="462"/>
      <c r="D140" s="351" t="s">
        <v>148</v>
      </c>
      <c r="E140" s="339" t="s">
        <v>750</v>
      </c>
      <c r="F140" s="339" t="s">
        <v>751</v>
      </c>
      <c r="G140" s="328"/>
      <c r="H140" s="328"/>
      <c r="I140" s="328"/>
      <c r="J140" s="328"/>
      <c r="K140" s="328"/>
      <c r="L140" s="328"/>
      <c r="M140" s="328"/>
      <c r="N140" s="328"/>
      <c r="O140" s="328"/>
      <c r="P140" s="328"/>
      <c r="BA140" s="815" t="s">
        <v>798</v>
      </c>
      <c r="BB140" s="1140"/>
      <c r="BC140" s="1175"/>
      <c r="BD140" s="1133" t="s">
        <v>148</v>
      </c>
      <c r="BE140" s="1131"/>
      <c r="BF140" s="1176" t="s">
        <v>751</v>
      </c>
    </row>
    <row r="141" spans="1:58" x14ac:dyDescent="0.25">
      <c r="A141" s="459" t="s">
        <v>761</v>
      </c>
      <c r="B141" s="313"/>
      <c r="C141" s="462"/>
      <c r="D141" s="1095">
        <f>'Default Data'!G173+'Default Data'!G151</f>
        <v>119164.48859722647</v>
      </c>
      <c r="E141" s="548">
        <f>D141/D$161</f>
        <v>7.89862299302376E-2</v>
      </c>
      <c r="F141" s="1096">
        <f>'Default Data'!H173</f>
        <v>1</v>
      </c>
      <c r="G141" s="328"/>
      <c r="H141" s="328"/>
      <c r="I141" s="328"/>
      <c r="J141" s="328"/>
      <c r="K141" s="328"/>
      <c r="L141" s="328"/>
      <c r="M141" s="328"/>
      <c r="N141" s="328"/>
      <c r="O141" s="328"/>
      <c r="P141" s="328"/>
      <c r="BA141" s="420" t="s">
        <v>761</v>
      </c>
      <c r="BB141" s="1140"/>
      <c r="BC141" s="1175"/>
      <c r="BD141" s="1095">
        <f>'Default Data'!BG173+'Default Data'!BG151</f>
        <v>0</v>
      </c>
      <c r="BE141" s="1169"/>
      <c r="BF141" s="1096">
        <f>'Default Data'!BH173</f>
        <v>0</v>
      </c>
    </row>
    <row r="142" spans="1:58" x14ac:dyDescent="0.25">
      <c r="A142" s="459" t="s">
        <v>762</v>
      </c>
      <c r="B142" s="313"/>
      <c r="C142" s="462"/>
      <c r="D142" s="1095">
        <f>'Default Data'!G174+'Default Data'!G152</f>
        <v>918517.90742217377</v>
      </c>
      <c r="E142" s="548">
        <f>D142/D$161</f>
        <v>0.60882455406582503</v>
      </c>
      <c r="F142" s="1096">
        <f>'Default Data'!H174</f>
        <v>1</v>
      </c>
      <c r="G142" s="328"/>
      <c r="H142" s="328"/>
      <c r="I142" s="328"/>
      <c r="J142" s="328"/>
      <c r="K142" s="328"/>
      <c r="L142" s="328"/>
      <c r="M142" s="328"/>
      <c r="N142" s="328"/>
      <c r="O142" s="328"/>
      <c r="P142" s="328"/>
      <c r="BA142" s="420" t="s">
        <v>762</v>
      </c>
      <c r="BB142" s="1140"/>
      <c r="BC142" s="1175"/>
      <c r="BD142" s="1095">
        <f>'Default Data'!BG174+'Default Data'!BG152</f>
        <v>0</v>
      </c>
      <c r="BE142" s="1169"/>
      <c r="BF142" s="1096">
        <f>'Default Data'!BH174</f>
        <v>0</v>
      </c>
    </row>
    <row r="143" spans="1:58" x14ac:dyDescent="0.25">
      <c r="A143" s="459" t="s">
        <v>948</v>
      </c>
      <c r="B143" s="313"/>
      <c r="C143" s="462"/>
      <c r="D143" s="462">
        <f>D142+D141</f>
        <v>1037682.3960194002</v>
      </c>
      <c r="E143" s="548">
        <f>D143/D$161</f>
        <v>0.68781078399606266</v>
      </c>
      <c r="F143" s="320"/>
      <c r="G143" s="328"/>
      <c r="H143" s="328"/>
      <c r="I143" s="328"/>
      <c r="J143" s="328"/>
      <c r="K143" s="328"/>
      <c r="L143" s="328"/>
      <c r="M143" s="328"/>
      <c r="N143" s="328"/>
      <c r="O143" s="328"/>
      <c r="P143" s="328"/>
      <c r="BA143" s="420" t="s">
        <v>948</v>
      </c>
      <c r="BB143" s="1140"/>
      <c r="BC143" s="1175"/>
      <c r="BD143" s="1095">
        <f>BD142+BD141</f>
        <v>0</v>
      </c>
      <c r="BE143" s="1169"/>
      <c r="BF143" s="1177"/>
    </row>
    <row r="144" spans="1:58" x14ac:dyDescent="0.25">
      <c r="A144" s="657" t="s">
        <v>797</v>
      </c>
      <c r="B144" s="313"/>
      <c r="C144" s="462"/>
      <c r="D144" s="462"/>
      <c r="E144" s="332"/>
      <c r="F144" s="320"/>
      <c r="G144" s="328"/>
      <c r="H144" s="328"/>
      <c r="I144" s="328"/>
      <c r="J144" s="328"/>
      <c r="K144" s="328"/>
      <c r="L144" s="328"/>
      <c r="M144" s="328"/>
      <c r="N144" s="328"/>
      <c r="O144" s="328"/>
      <c r="P144" s="328"/>
      <c r="BA144" s="815" t="s">
        <v>797</v>
      </c>
      <c r="BB144" s="1140"/>
      <c r="BC144" s="1175"/>
      <c r="BD144" s="1095"/>
      <c r="BE144" s="1178"/>
      <c r="BF144" s="1177"/>
    </row>
    <row r="145" spans="1:58" x14ac:dyDescent="0.25">
      <c r="A145" s="459" t="s">
        <v>794</v>
      </c>
      <c r="B145" s="313"/>
      <c r="C145" s="462"/>
      <c r="D145" s="1095">
        <f>'Default Data'!T15*B30</f>
        <v>470986.82102419343</v>
      </c>
      <c r="E145" s="548">
        <f t="shared" ref="E145:E151" si="14">D145/D$161</f>
        <v>0.31218590183581302</v>
      </c>
      <c r="F145" s="1096">
        <f>'Default Data'!H188</f>
        <v>0</v>
      </c>
      <c r="G145" s="328"/>
      <c r="H145" s="328"/>
      <c r="I145" s="328"/>
      <c r="J145" s="328"/>
      <c r="K145" s="328"/>
      <c r="L145" s="328"/>
      <c r="M145" s="328"/>
      <c r="N145" s="328"/>
      <c r="O145" s="328"/>
      <c r="P145" s="328"/>
      <c r="BA145" s="420" t="s">
        <v>794</v>
      </c>
      <c r="BB145" s="1140"/>
      <c r="BC145" s="1175"/>
      <c r="BD145" s="1095">
        <f>'Default Data'!BT15*BB30</f>
        <v>0</v>
      </c>
      <c r="BE145" s="1169"/>
      <c r="BF145" s="1096">
        <f>'Default Data'!BH188</f>
        <v>0</v>
      </c>
    </row>
    <row r="146" spans="1:58" x14ac:dyDescent="0.25">
      <c r="A146" s="459" t="s">
        <v>795</v>
      </c>
      <c r="B146" s="313"/>
      <c r="C146" s="462"/>
      <c r="D146" s="1095"/>
      <c r="E146" s="548">
        <f t="shared" si="14"/>
        <v>0</v>
      </c>
      <c r="F146" s="1096">
        <f>'Default Data'!H189</f>
        <v>0</v>
      </c>
      <c r="G146" s="328"/>
      <c r="H146" s="328"/>
      <c r="I146" s="328"/>
      <c r="J146" s="328"/>
      <c r="K146" s="328"/>
      <c r="L146" s="328"/>
      <c r="M146" s="328"/>
      <c r="N146" s="328"/>
      <c r="O146" s="328"/>
      <c r="P146" s="328"/>
      <c r="BA146" s="420" t="s">
        <v>795</v>
      </c>
      <c r="BB146" s="1140"/>
      <c r="BC146" s="1175"/>
      <c r="BD146" s="1095"/>
      <c r="BE146" s="1169"/>
      <c r="BF146" s="1096">
        <f>'Default Data'!BH189</f>
        <v>0</v>
      </c>
    </row>
    <row r="147" spans="1:58" x14ac:dyDescent="0.25">
      <c r="A147" s="305" t="s">
        <v>97</v>
      </c>
      <c r="B147" s="313"/>
      <c r="C147" s="462"/>
      <c r="D147" s="1095"/>
      <c r="E147" s="548">
        <f t="shared" si="14"/>
        <v>0</v>
      </c>
      <c r="F147" s="1096">
        <f>'Default Data'!H190</f>
        <v>0</v>
      </c>
      <c r="G147" s="328"/>
      <c r="H147" s="328"/>
      <c r="I147" s="328"/>
      <c r="J147" s="328"/>
      <c r="K147" s="328"/>
      <c r="L147" s="328"/>
      <c r="M147" s="328"/>
      <c r="N147" s="328"/>
      <c r="O147" s="328"/>
      <c r="P147" s="328"/>
      <c r="BA147" s="1051" t="s">
        <v>97</v>
      </c>
      <c r="BB147" s="1140"/>
      <c r="BC147" s="1175"/>
      <c r="BD147" s="1095"/>
      <c r="BE147" s="1169"/>
      <c r="BF147" s="1096">
        <f>'Default Data'!BH190</f>
        <v>0</v>
      </c>
    </row>
    <row r="148" spans="1:58" x14ac:dyDescent="0.25">
      <c r="A148" s="305" t="s">
        <v>96</v>
      </c>
      <c r="B148" s="313"/>
      <c r="C148" s="462"/>
      <c r="D148" s="1095"/>
      <c r="E148" s="548">
        <f t="shared" si="14"/>
        <v>0</v>
      </c>
      <c r="F148" s="1096">
        <f>'Default Data'!H191</f>
        <v>0</v>
      </c>
      <c r="G148" s="328"/>
      <c r="H148" s="328"/>
      <c r="I148" s="328"/>
      <c r="J148" s="328"/>
      <c r="K148" s="328"/>
      <c r="L148" s="328"/>
      <c r="M148" s="328"/>
      <c r="N148" s="328"/>
      <c r="O148" s="328"/>
      <c r="P148" s="328"/>
      <c r="BA148" s="1051" t="s">
        <v>96</v>
      </c>
      <c r="BB148" s="1140"/>
      <c r="BC148" s="1175"/>
      <c r="BD148" s="1095"/>
      <c r="BE148" s="1169"/>
      <c r="BF148" s="1096">
        <f>'Default Data'!BH191</f>
        <v>0</v>
      </c>
    </row>
    <row r="149" spans="1:58" x14ac:dyDescent="0.25">
      <c r="A149" s="305" t="s">
        <v>94</v>
      </c>
      <c r="B149" s="313"/>
      <c r="C149" s="462"/>
      <c r="D149" s="1095"/>
      <c r="E149" s="548">
        <f t="shared" si="14"/>
        <v>0</v>
      </c>
      <c r="F149" s="1096">
        <f>'Default Data'!H192</f>
        <v>0</v>
      </c>
      <c r="G149" s="328"/>
      <c r="H149" s="328"/>
      <c r="I149" s="328"/>
      <c r="J149" s="328"/>
      <c r="K149" s="328"/>
      <c r="L149" s="328"/>
      <c r="M149" s="328"/>
      <c r="N149" s="328"/>
      <c r="O149" s="328"/>
      <c r="P149" s="328"/>
      <c r="BA149" s="1051" t="s">
        <v>94</v>
      </c>
      <c r="BB149" s="1140"/>
      <c r="BC149" s="1175"/>
      <c r="BD149" s="1095"/>
      <c r="BE149" s="1169"/>
      <c r="BF149" s="1096">
        <f>'Default Data'!BH192</f>
        <v>0</v>
      </c>
    </row>
    <row r="150" spans="1:58" x14ac:dyDescent="0.25">
      <c r="A150" s="305" t="s">
        <v>796</v>
      </c>
      <c r="B150" s="313"/>
      <c r="C150" s="462"/>
      <c r="D150" s="1095"/>
      <c r="E150" s="548">
        <f t="shared" si="14"/>
        <v>0</v>
      </c>
      <c r="F150" s="1096">
        <f>'Default Data'!H193</f>
        <v>0</v>
      </c>
      <c r="G150" s="328"/>
      <c r="H150" s="328"/>
      <c r="I150" s="328"/>
      <c r="J150" s="328"/>
      <c r="K150" s="328"/>
      <c r="L150" s="328"/>
      <c r="M150" s="328"/>
      <c r="N150" s="328"/>
      <c r="O150" s="328"/>
      <c r="P150" s="328"/>
      <c r="BA150" s="1051" t="s">
        <v>796</v>
      </c>
      <c r="BB150" s="1140"/>
      <c r="BC150" s="1175"/>
      <c r="BD150" s="1095"/>
      <c r="BE150" s="1169"/>
      <c r="BF150" s="1096">
        <f>'Default Data'!BH193</f>
        <v>0</v>
      </c>
    </row>
    <row r="151" spans="1:58" x14ac:dyDescent="0.25">
      <c r="A151" s="459" t="s">
        <v>948</v>
      </c>
      <c r="B151" s="313"/>
      <c r="C151" s="462"/>
      <c r="D151" s="462">
        <f>SUM(D145:D150)</f>
        <v>470986.82102419343</v>
      </c>
      <c r="E151" s="548">
        <f t="shared" si="14"/>
        <v>0.31218590183581302</v>
      </c>
      <c r="F151" s="320"/>
      <c r="G151" s="328"/>
      <c r="H151" s="328"/>
      <c r="I151" s="328"/>
      <c r="J151" s="328"/>
      <c r="K151" s="328"/>
      <c r="L151" s="328"/>
      <c r="M151" s="328"/>
      <c r="N151" s="328"/>
      <c r="O151" s="328"/>
      <c r="P151" s="328"/>
      <c r="BA151" s="420" t="s">
        <v>948</v>
      </c>
      <c r="BB151" s="1140"/>
      <c r="BC151" s="1175"/>
      <c r="BD151" s="1095">
        <f>SUM(BD145:BD150)</f>
        <v>0</v>
      </c>
      <c r="BE151" s="1169"/>
      <c r="BF151" s="1177"/>
    </row>
    <row r="152" spans="1:58" ht="13.5" customHeight="1" x14ac:dyDescent="0.25">
      <c r="A152" s="309" t="s">
        <v>799</v>
      </c>
      <c r="B152" s="313"/>
      <c r="C152" s="462"/>
      <c r="D152" s="462"/>
      <c r="E152" s="332"/>
      <c r="F152" s="320"/>
      <c r="G152" s="328"/>
      <c r="H152" s="328"/>
      <c r="I152" s="328"/>
      <c r="J152" s="328"/>
      <c r="K152" s="328"/>
      <c r="L152" s="328"/>
      <c r="M152" s="328"/>
      <c r="N152" s="328"/>
      <c r="O152" s="328"/>
      <c r="P152" s="328"/>
      <c r="BA152" s="1059" t="s">
        <v>799</v>
      </c>
      <c r="BB152" s="1140"/>
      <c r="BC152" s="1175"/>
      <c r="BD152" s="1095"/>
      <c r="BE152" s="1178"/>
      <c r="BF152" s="1177"/>
    </row>
    <row r="153" spans="1:58" ht="15" customHeight="1" x14ac:dyDescent="0.25">
      <c r="A153" s="305" t="s">
        <v>794</v>
      </c>
      <c r="B153" s="313"/>
      <c r="C153" s="462"/>
      <c r="D153" s="1097">
        <f>('Default Data'!T18*'Default Data'!C184)-D141</f>
        <v>680265.91439942003</v>
      </c>
      <c r="E153" s="548">
        <f t="shared" ref="E153:E161" si="15">D153/D$161</f>
        <v>0.4509031219029333</v>
      </c>
      <c r="F153" s="1096">
        <f>'Default Data'!H196</f>
        <v>0</v>
      </c>
      <c r="G153" s="330"/>
      <c r="H153" s="330"/>
      <c r="I153" s="330"/>
      <c r="J153" s="330"/>
      <c r="K153" s="330"/>
      <c r="L153" s="330"/>
      <c r="M153" s="330"/>
      <c r="N153" s="330"/>
      <c r="O153" s="330"/>
      <c r="P153" s="330"/>
      <c r="BA153" s="1051" t="s">
        <v>794</v>
      </c>
      <c r="BB153" s="1140"/>
      <c r="BC153" s="1175"/>
      <c r="BD153" s="1097">
        <f>('Default Data'!BT18*'Default Data'!BC184)-BD141</f>
        <v>0</v>
      </c>
      <c r="BE153" s="1169"/>
      <c r="BF153" s="1096">
        <f>'Default Data'!BH196</f>
        <v>0</v>
      </c>
    </row>
    <row r="154" spans="1:58" ht="15" customHeight="1" x14ac:dyDescent="0.25">
      <c r="A154" s="305" t="s">
        <v>795</v>
      </c>
      <c r="B154" s="313"/>
      <c r="C154" s="462"/>
      <c r="D154" s="1095"/>
      <c r="E154" s="548">
        <f t="shared" si="15"/>
        <v>0</v>
      </c>
      <c r="F154" s="1096">
        <f>'Default Data'!H197</f>
        <v>0</v>
      </c>
      <c r="G154" s="327"/>
      <c r="H154" s="327"/>
      <c r="I154" s="327"/>
      <c r="J154" s="327"/>
      <c r="K154" s="327"/>
      <c r="L154" s="327"/>
      <c r="M154" s="327"/>
      <c r="N154" s="327"/>
      <c r="O154" s="327"/>
      <c r="P154" s="327"/>
      <c r="BA154" s="1051" t="s">
        <v>795</v>
      </c>
      <c r="BB154" s="1140"/>
      <c r="BC154" s="1175"/>
      <c r="BD154" s="1095"/>
      <c r="BE154" s="1169"/>
      <c r="BF154" s="1096">
        <f>'Default Data'!BH197</f>
        <v>0</v>
      </c>
    </row>
    <row r="155" spans="1:58" x14ac:dyDescent="0.25">
      <c r="A155" s="463" t="s">
        <v>95</v>
      </c>
      <c r="B155" s="313"/>
      <c r="C155" s="462"/>
      <c r="D155" s="1095"/>
      <c r="E155" s="548">
        <f t="shared" si="15"/>
        <v>0</v>
      </c>
      <c r="F155" s="1096">
        <f>'Default Data'!H198</f>
        <v>0</v>
      </c>
      <c r="G155" s="328"/>
      <c r="H155" s="328"/>
      <c r="I155" s="328"/>
      <c r="J155" s="328"/>
      <c r="K155" s="328"/>
      <c r="L155" s="328"/>
      <c r="M155" s="328"/>
      <c r="N155" s="328"/>
      <c r="O155" s="328"/>
      <c r="P155" s="328"/>
      <c r="BA155" s="1063" t="s">
        <v>95</v>
      </c>
      <c r="BB155" s="1140"/>
      <c r="BC155" s="1175"/>
      <c r="BD155" s="1095"/>
      <c r="BE155" s="1169"/>
      <c r="BF155" s="1096">
        <f>'Default Data'!BH198</f>
        <v>0</v>
      </c>
    </row>
    <row r="156" spans="1:58" x14ac:dyDescent="0.25">
      <c r="A156" s="305" t="s">
        <v>94</v>
      </c>
      <c r="B156" s="313"/>
      <c r="C156" s="462"/>
      <c r="D156" s="1095"/>
      <c r="E156" s="548">
        <f t="shared" si="15"/>
        <v>0</v>
      </c>
      <c r="F156" s="1096">
        <f>'Default Data'!H199</f>
        <v>0</v>
      </c>
      <c r="G156" s="328"/>
      <c r="H156" s="328"/>
      <c r="I156" s="328"/>
      <c r="J156" s="328"/>
      <c r="K156" s="328"/>
      <c r="L156" s="328"/>
      <c r="M156" s="328"/>
      <c r="N156" s="328"/>
      <c r="O156" s="328"/>
      <c r="P156" s="328"/>
      <c r="BA156" s="1051" t="s">
        <v>94</v>
      </c>
      <c r="BB156" s="1140"/>
      <c r="BC156" s="1175"/>
      <c r="BD156" s="1095"/>
      <c r="BE156" s="1169"/>
      <c r="BF156" s="1096">
        <f>'Default Data'!BH199</f>
        <v>0</v>
      </c>
    </row>
    <row r="157" spans="1:58" x14ac:dyDescent="0.25">
      <c r="A157" s="305" t="s">
        <v>796</v>
      </c>
      <c r="B157" s="313"/>
      <c r="C157" s="462"/>
      <c r="D157" s="1095"/>
      <c r="E157" s="548">
        <f t="shared" si="15"/>
        <v>0</v>
      </c>
      <c r="F157" s="1096">
        <f>'Default Data'!H200</f>
        <v>0</v>
      </c>
      <c r="G157" s="328"/>
      <c r="H157" s="328"/>
      <c r="I157" s="328"/>
      <c r="J157" s="328"/>
      <c r="K157" s="328"/>
      <c r="L157" s="328"/>
      <c r="M157" s="328"/>
      <c r="N157" s="328"/>
      <c r="O157" s="328"/>
      <c r="P157" s="328"/>
      <c r="BA157" s="1051" t="s">
        <v>796</v>
      </c>
      <c r="BB157" s="1140"/>
      <c r="BC157" s="1175"/>
      <c r="BD157" s="1095"/>
      <c r="BE157" s="1169"/>
      <c r="BF157" s="1096">
        <f>'Default Data'!BH200</f>
        <v>0</v>
      </c>
    </row>
    <row r="158" spans="1:58" ht="15.75" thickBot="1" x14ac:dyDescent="0.3">
      <c r="A158" s="459" t="s">
        <v>948</v>
      </c>
      <c r="B158" s="313"/>
      <c r="C158" s="462"/>
      <c r="D158" s="1080">
        <v>5</v>
      </c>
      <c r="E158" s="548">
        <f t="shared" si="15"/>
        <v>3.3141681242475445E-6</v>
      </c>
      <c r="F158" s="1081"/>
      <c r="G158" s="328"/>
      <c r="H158" s="328"/>
      <c r="I158" s="328"/>
      <c r="J158" s="328"/>
      <c r="K158" s="328"/>
      <c r="L158" s="328"/>
      <c r="M158" s="328"/>
      <c r="N158" s="328"/>
      <c r="O158" s="328"/>
      <c r="P158" s="328"/>
      <c r="BA158" s="420" t="s">
        <v>948</v>
      </c>
      <c r="BB158" s="1140"/>
      <c r="BC158" s="1175"/>
      <c r="BD158" s="1175">
        <f>SUM(BD153:BD157)</f>
        <v>0</v>
      </c>
      <c r="BE158" s="1129"/>
      <c r="BF158" s="1164"/>
    </row>
    <row r="159" spans="1:58" x14ac:dyDescent="0.25">
      <c r="A159" s="660" t="s">
        <v>763</v>
      </c>
      <c r="B159" s="338"/>
      <c r="C159" s="658"/>
      <c r="D159" s="659">
        <f>D142+D151</f>
        <v>1389504.7284463672</v>
      </c>
      <c r="E159" s="468">
        <f t="shared" si="15"/>
        <v>0.9210104559016381</v>
      </c>
      <c r="F159" s="458"/>
      <c r="G159" s="330"/>
      <c r="H159" s="330"/>
      <c r="I159" s="330"/>
      <c r="J159" s="330"/>
      <c r="K159" s="330"/>
      <c r="L159" s="330"/>
      <c r="M159" s="330"/>
      <c r="N159" s="330"/>
      <c r="O159" s="330"/>
      <c r="P159" s="330"/>
      <c r="BA159" s="1049" t="s">
        <v>763</v>
      </c>
      <c r="BB159" s="1137"/>
      <c r="BC159" s="1179"/>
      <c r="BD159" s="1180">
        <f>BD142+BD151</f>
        <v>0</v>
      </c>
      <c r="BE159" s="1152"/>
      <c r="BF159" s="1158"/>
    </row>
    <row r="160" spans="1:58" ht="15" customHeight="1" x14ac:dyDescent="0.25">
      <c r="A160" s="657" t="s">
        <v>800</v>
      </c>
      <c r="B160" s="313"/>
      <c r="C160" s="462"/>
      <c r="D160" s="1023">
        <f>D141+D158</f>
        <v>119169.48859722647</v>
      </c>
      <c r="E160" s="548">
        <f t="shared" si="15"/>
        <v>7.8989544098361841E-2</v>
      </c>
      <c r="F160" s="320"/>
      <c r="G160" s="327"/>
      <c r="H160" s="327"/>
      <c r="I160" s="327"/>
      <c r="J160" s="327"/>
      <c r="K160" s="327"/>
      <c r="L160" s="327"/>
      <c r="M160" s="327"/>
      <c r="N160" s="327"/>
      <c r="O160" s="327"/>
      <c r="P160" s="327"/>
      <c r="BA160" s="815" t="s">
        <v>800</v>
      </c>
      <c r="BB160" s="1140"/>
      <c r="BC160" s="1175"/>
      <c r="BD160" s="1089">
        <f>BD141+BD158</f>
        <v>0</v>
      </c>
      <c r="BE160" s="1129"/>
      <c r="BF160" s="1164"/>
    </row>
    <row r="161" spans="1:58" x14ac:dyDescent="0.25">
      <c r="A161" s="464" t="s">
        <v>377</v>
      </c>
      <c r="B161" s="313"/>
      <c r="C161" s="462"/>
      <c r="D161" s="1022">
        <f>D160+D159</f>
        <v>1508674.2170435938</v>
      </c>
      <c r="E161" s="1024">
        <f t="shared" si="15"/>
        <v>1</v>
      </c>
      <c r="F161" s="320"/>
      <c r="G161" s="328"/>
      <c r="H161" s="328"/>
      <c r="I161" s="328"/>
      <c r="J161" s="328"/>
      <c r="K161" s="328"/>
      <c r="L161" s="328"/>
      <c r="M161" s="328"/>
      <c r="N161" s="328"/>
      <c r="O161" s="328"/>
      <c r="P161" s="328"/>
      <c r="BA161" s="470" t="s">
        <v>377</v>
      </c>
      <c r="BB161" s="1140"/>
      <c r="BC161" s="1175"/>
      <c r="BD161" s="1128">
        <f>BD160+BD159</f>
        <v>0</v>
      </c>
      <c r="BE161" s="1129"/>
      <c r="BF161" s="1164"/>
    </row>
    <row r="162" spans="1:58" x14ac:dyDescent="0.25">
      <c r="A162" s="313"/>
      <c r="B162" s="324"/>
      <c r="C162" s="337"/>
      <c r="D162" s="331"/>
      <c r="E162" s="332"/>
      <c r="F162" s="320"/>
      <c r="G162" s="328"/>
      <c r="H162" s="328"/>
      <c r="I162" s="328"/>
      <c r="J162" s="328"/>
      <c r="K162" s="328"/>
      <c r="L162" s="328"/>
      <c r="M162" s="328"/>
      <c r="N162" s="328"/>
      <c r="O162" s="328"/>
      <c r="P162" s="328"/>
      <c r="BA162" s="1054"/>
      <c r="BB162" s="1172"/>
      <c r="BC162" s="1165"/>
      <c r="BD162" s="1173"/>
      <c r="BE162" s="1174"/>
      <c r="BF162" s="1164"/>
    </row>
    <row r="163" spans="1:58" ht="18.75" x14ac:dyDescent="0.3">
      <c r="A163" s="599" t="s">
        <v>890</v>
      </c>
      <c r="B163" s="305"/>
      <c r="C163" s="305"/>
      <c r="D163" s="305"/>
      <c r="E163" s="305"/>
      <c r="F163" s="305"/>
      <c r="G163" s="305"/>
      <c r="H163" s="305"/>
      <c r="I163" s="305"/>
      <c r="J163" s="305"/>
      <c r="K163" s="305"/>
      <c r="L163" s="305"/>
      <c r="M163" s="305"/>
      <c r="N163" s="305"/>
      <c r="O163" s="305"/>
      <c r="P163" s="305"/>
      <c r="BA163" s="1064" t="s">
        <v>890</v>
      </c>
      <c r="BB163" s="1119"/>
      <c r="BC163" s="1119"/>
      <c r="BD163" s="1119"/>
      <c r="BE163" s="1119"/>
      <c r="BF163" s="1119"/>
    </row>
    <row r="164" spans="1:58" ht="15.75" x14ac:dyDescent="0.25">
      <c r="A164" s="721" t="s">
        <v>991</v>
      </c>
      <c r="B164" s="687"/>
      <c r="C164" s="718"/>
      <c r="D164" s="687"/>
      <c r="E164" s="705" t="s">
        <v>751</v>
      </c>
      <c r="F164" s="305"/>
      <c r="G164" s="305"/>
      <c r="H164" s="305"/>
      <c r="I164" s="305"/>
      <c r="J164" s="305"/>
      <c r="K164" s="305"/>
      <c r="L164" s="305"/>
      <c r="M164" s="305"/>
      <c r="N164" s="305"/>
      <c r="O164" s="305"/>
      <c r="P164" s="305"/>
      <c r="BA164" s="1065" t="s">
        <v>991</v>
      </c>
      <c r="BB164" s="1181"/>
      <c r="BC164" s="1182"/>
      <c r="BD164" s="1181"/>
      <c r="BE164" s="1183" t="s">
        <v>751</v>
      </c>
      <c r="BF164" s="1119"/>
    </row>
    <row r="165" spans="1:58" x14ac:dyDescent="0.25">
      <c r="A165" s="706" t="s">
        <v>992</v>
      </c>
      <c r="B165" s="687"/>
      <c r="C165" s="718"/>
      <c r="D165" s="687"/>
      <c r="E165" s="687"/>
      <c r="F165" s="305"/>
      <c r="G165" s="305"/>
      <c r="H165" s="305"/>
      <c r="I165" s="305"/>
      <c r="J165" s="305"/>
      <c r="K165" s="305"/>
      <c r="L165" s="305"/>
      <c r="M165" s="305"/>
      <c r="N165" s="305"/>
      <c r="O165" s="305"/>
      <c r="P165" s="305"/>
      <c r="BA165" s="1067" t="s">
        <v>992</v>
      </c>
      <c r="BB165" s="1181"/>
      <c r="BC165" s="1182"/>
      <c r="BD165" s="1181"/>
      <c r="BE165" s="1181"/>
      <c r="BF165" s="1119"/>
    </row>
    <row r="166" spans="1:58" x14ac:dyDescent="0.25">
      <c r="A166" s="687" t="s">
        <v>993</v>
      </c>
      <c r="B166" s="1099">
        <f>'Default Data'!C210</f>
        <v>0.7</v>
      </c>
      <c r="C166" s="718"/>
      <c r="D166" s="687"/>
      <c r="E166" s="1099">
        <f>'Default Data'!E210</f>
        <v>0</v>
      </c>
      <c r="F166" s="305"/>
      <c r="G166" s="305"/>
      <c r="H166" s="305"/>
      <c r="I166" s="305"/>
      <c r="J166" s="305"/>
      <c r="K166" s="305"/>
      <c r="L166" s="305"/>
      <c r="M166" s="305"/>
      <c r="N166" s="305"/>
      <c r="O166" s="305"/>
      <c r="P166" s="305"/>
      <c r="BA166" s="1066" t="s">
        <v>993</v>
      </c>
      <c r="BB166" s="1099">
        <f>'Default Data'!BC210</f>
        <v>0</v>
      </c>
      <c r="BC166" s="1182"/>
      <c r="BD166" s="1181"/>
      <c r="BE166" s="1099">
        <f>'Default Data'!BE210</f>
        <v>0</v>
      </c>
      <c r="BF166" s="1119"/>
    </row>
    <row r="167" spans="1:58" x14ac:dyDescent="0.25">
      <c r="A167" s="687" t="s">
        <v>994</v>
      </c>
      <c r="B167" s="1100">
        <f>'Default Data'!C211</f>
        <v>15</v>
      </c>
      <c r="C167" s="718"/>
      <c r="D167" s="687"/>
      <c r="E167" s="759"/>
      <c r="F167" s="305"/>
      <c r="G167" s="305"/>
      <c r="H167" s="305"/>
      <c r="I167" s="305"/>
      <c r="J167" s="305"/>
      <c r="K167" s="305"/>
      <c r="L167" s="305"/>
      <c r="M167" s="305"/>
      <c r="N167" s="305"/>
      <c r="O167" s="305"/>
      <c r="P167" s="305"/>
      <c r="BA167" s="1066" t="s">
        <v>994</v>
      </c>
      <c r="BB167" s="1100">
        <f>'Default Data'!BC211</f>
        <v>0</v>
      </c>
      <c r="BC167" s="1182"/>
      <c r="BD167" s="1181"/>
      <c r="BE167" s="1184"/>
      <c r="BF167" s="1119"/>
    </row>
    <row r="168" spans="1:58" x14ac:dyDescent="0.25">
      <c r="A168" s="687" t="s">
        <v>995</v>
      </c>
      <c r="B168" s="1099">
        <f>'Default Data'!C212</f>
        <v>0.1</v>
      </c>
      <c r="C168" s="718"/>
      <c r="D168" s="687"/>
      <c r="E168" s="759"/>
      <c r="F168" s="305"/>
      <c r="G168" s="305"/>
      <c r="H168" s="305"/>
      <c r="I168" s="305"/>
      <c r="J168" s="305"/>
      <c r="K168" s="305"/>
      <c r="L168" s="305"/>
      <c r="M168" s="305"/>
      <c r="N168" s="305"/>
      <c r="O168" s="305"/>
      <c r="P168" s="305"/>
      <c r="BA168" s="1066" t="s">
        <v>995</v>
      </c>
      <c r="BB168" s="1099">
        <f>'Default Data'!BC212</f>
        <v>0</v>
      </c>
      <c r="BC168" s="1182"/>
      <c r="BD168" s="1181"/>
      <c r="BE168" s="1184"/>
      <c r="BF168" s="1119"/>
    </row>
    <row r="169" spans="1:58" x14ac:dyDescent="0.25">
      <c r="A169" s="713" t="s">
        <v>996</v>
      </c>
      <c r="B169" s="705"/>
      <c r="C169" s="718"/>
      <c r="D169" s="687"/>
      <c r="E169" s="760"/>
      <c r="F169" s="305"/>
      <c r="G169" s="305"/>
      <c r="H169" s="305"/>
      <c r="I169" s="305"/>
      <c r="J169" s="305"/>
      <c r="K169" s="305"/>
      <c r="L169" s="305"/>
      <c r="M169" s="305"/>
      <c r="N169" s="305"/>
      <c r="O169" s="305"/>
      <c r="P169" s="305"/>
      <c r="BA169" s="1050" t="s">
        <v>996</v>
      </c>
      <c r="BB169" s="1183"/>
      <c r="BC169" s="1182"/>
      <c r="BD169" s="1181"/>
      <c r="BE169" s="1185"/>
      <c r="BF169" s="1119"/>
    </row>
    <row r="170" spans="1:58" x14ac:dyDescent="0.25">
      <c r="A170" s="687" t="s">
        <v>997</v>
      </c>
      <c r="B170" s="727">
        <f>1-B166</f>
        <v>0.30000000000000004</v>
      </c>
      <c r="C170" s="718"/>
      <c r="D170" s="687"/>
      <c r="E170" s="760"/>
      <c r="F170" s="305"/>
      <c r="G170" s="305"/>
      <c r="H170" s="305"/>
      <c r="I170" s="305"/>
      <c r="J170" s="305"/>
      <c r="K170" s="305"/>
      <c r="L170" s="305"/>
      <c r="M170" s="305"/>
      <c r="N170" s="305"/>
      <c r="O170" s="305"/>
      <c r="P170" s="305"/>
      <c r="BA170" s="1066" t="s">
        <v>997</v>
      </c>
      <c r="BB170" s="1186">
        <f>1-BB166</f>
        <v>1</v>
      </c>
      <c r="BC170" s="1182"/>
      <c r="BD170" s="1181"/>
      <c r="BE170" s="1185"/>
      <c r="BF170" s="1119"/>
    </row>
    <row r="171" spans="1:58" x14ac:dyDescent="0.25">
      <c r="A171" s="687" t="s">
        <v>998</v>
      </c>
      <c r="B171" s="1099">
        <f>'Default Data'!C216</f>
        <v>0</v>
      </c>
      <c r="C171" s="718"/>
      <c r="D171" s="687"/>
      <c r="E171" s="1099">
        <f>'Default Data'!E216</f>
        <v>1</v>
      </c>
      <c r="F171" s="305"/>
      <c r="G171" s="305"/>
      <c r="H171" s="305"/>
      <c r="I171" s="305"/>
      <c r="J171" s="305"/>
      <c r="K171" s="305"/>
      <c r="L171" s="305"/>
      <c r="M171" s="305"/>
      <c r="N171" s="305"/>
      <c r="O171" s="305"/>
      <c r="P171" s="305"/>
      <c r="BA171" s="1066" t="s">
        <v>998</v>
      </c>
      <c r="BB171" s="1099">
        <f>'Default Data'!BC216</f>
        <v>0</v>
      </c>
      <c r="BC171" s="1182"/>
      <c r="BD171" s="1181"/>
      <c r="BE171" s="1099">
        <f>'Default Data'!BE216</f>
        <v>0</v>
      </c>
      <c r="BF171" s="1119"/>
    </row>
    <row r="172" spans="1:58" x14ac:dyDescent="0.25">
      <c r="A172" s="687" t="s">
        <v>999</v>
      </c>
      <c r="B172" s="761">
        <f>1-B171</f>
        <v>1</v>
      </c>
      <c r="C172" s="718"/>
      <c r="D172" s="687"/>
      <c r="E172" s="1099">
        <f>'Default Data'!E217</f>
        <v>0</v>
      </c>
      <c r="F172" s="305"/>
      <c r="G172" s="305"/>
      <c r="H172" s="305"/>
      <c r="I172" s="305"/>
      <c r="J172" s="305"/>
      <c r="K172" s="305"/>
      <c r="L172" s="305"/>
      <c r="M172" s="305"/>
      <c r="N172" s="305"/>
      <c r="O172" s="305"/>
      <c r="P172" s="305"/>
      <c r="BA172" s="1066" t="s">
        <v>999</v>
      </c>
      <c r="BB172" s="1096">
        <f>1-BB171</f>
        <v>1</v>
      </c>
      <c r="BC172" s="1182"/>
      <c r="BD172" s="1181"/>
      <c r="BE172" s="1099">
        <f>'Default Data'!BE217</f>
        <v>0</v>
      </c>
      <c r="BF172" s="1119"/>
    </row>
    <row r="173" spans="1:58" x14ac:dyDescent="0.25">
      <c r="A173" s="744" t="s">
        <v>1000</v>
      </c>
      <c r="B173" s="1099">
        <f>'Default Data'!C218</f>
        <v>0.16</v>
      </c>
      <c r="C173" s="718"/>
      <c r="D173" s="1098"/>
      <c r="E173" s="759"/>
      <c r="F173" s="305"/>
      <c r="G173" s="322"/>
      <c r="H173" s="322"/>
      <c r="I173" s="322"/>
      <c r="J173" s="322"/>
      <c r="K173" s="322"/>
      <c r="L173" s="322"/>
      <c r="M173" s="322"/>
      <c r="N173" s="322"/>
      <c r="O173" s="322"/>
      <c r="P173" s="322"/>
      <c r="BA173" s="1066" t="s">
        <v>1000</v>
      </c>
      <c r="BB173" s="1099">
        <f>'Default Data'!BC218</f>
        <v>0</v>
      </c>
      <c r="BC173" s="1182"/>
      <c r="BD173" s="1181"/>
      <c r="BE173" s="1184"/>
      <c r="BF173" s="1119"/>
    </row>
    <row r="174" spans="1:58" x14ac:dyDescent="0.25">
      <c r="A174" s="744" t="s">
        <v>1001</v>
      </c>
      <c r="B174" s="1100">
        <f>'Default Data'!C219</f>
        <v>10</v>
      </c>
      <c r="C174" s="718"/>
      <c r="D174" s="687"/>
      <c r="E174" s="759"/>
      <c r="F174" s="305"/>
      <c r="G174" s="322"/>
      <c r="H174" s="322"/>
      <c r="I174" s="322"/>
      <c r="J174" s="322"/>
      <c r="K174" s="322"/>
      <c r="L174" s="322"/>
      <c r="M174" s="322"/>
      <c r="N174" s="322"/>
      <c r="O174" s="322"/>
      <c r="P174" s="322"/>
      <c r="BA174" s="1066" t="s">
        <v>1001</v>
      </c>
      <c r="BB174" s="1100">
        <f>'Default Data'!BC219</f>
        <v>0</v>
      </c>
      <c r="BC174" s="1182"/>
      <c r="BD174" s="1181"/>
      <c r="BE174" s="1184"/>
      <c r="BF174" s="1119"/>
    </row>
    <row r="175" spans="1:58" x14ac:dyDescent="0.25">
      <c r="A175" s="745" t="s">
        <v>1002</v>
      </c>
      <c r="B175" s="718"/>
      <c r="C175" s="718"/>
      <c r="D175" s="687"/>
      <c r="E175" s="762"/>
      <c r="F175" s="305"/>
      <c r="G175" s="322"/>
      <c r="H175" s="322"/>
      <c r="I175" s="322"/>
      <c r="J175" s="322"/>
      <c r="K175" s="322"/>
      <c r="L175" s="322"/>
      <c r="M175" s="322"/>
      <c r="N175" s="322"/>
      <c r="O175" s="322"/>
      <c r="P175" s="322"/>
      <c r="BA175" s="1050" t="s">
        <v>1002</v>
      </c>
      <c r="BB175" s="1182"/>
      <c r="BC175" s="1182"/>
      <c r="BD175" s="1181"/>
      <c r="BE175" s="1182"/>
      <c r="BF175" s="1119"/>
    </row>
    <row r="176" spans="1:58" x14ac:dyDescent="0.25">
      <c r="A176" s="744" t="s">
        <v>1003</v>
      </c>
      <c r="B176" s="1099">
        <f>'Default Data'!C221</f>
        <v>0</v>
      </c>
      <c r="C176" s="763"/>
      <c r="D176" s="687"/>
      <c r="E176" s="759"/>
      <c r="F176" s="305"/>
      <c r="G176" s="322"/>
      <c r="H176" s="322"/>
      <c r="I176" s="322"/>
      <c r="J176" s="322"/>
      <c r="K176" s="322"/>
      <c r="L176" s="322"/>
      <c r="M176" s="322"/>
      <c r="N176" s="322"/>
      <c r="O176" s="322"/>
      <c r="P176" s="322"/>
      <c r="BA176" s="1066" t="s">
        <v>1003</v>
      </c>
      <c r="BB176" s="1099">
        <f>'Default Data'!BC221</f>
        <v>0</v>
      </c>
      <c r="BC176" s="1167"/>
      <c r="BD176" s="1181"/>
      <c r="BE176" s="1184"/>
      <c r="BF176" s="1119"/>
    </row>
    <row r="177" spans="1:58" x14ac:dyDescent="0.25">
      <c r="A177" s="744" t="s">
        <v>1004</v>
      </c>
      <c r="B177" s="1099">
        <f>'Default Data'!C222</f>
        <v>0</v>
      </c>
      <c r="C177" s="718"/>
      <c r="D177" s="687"/>
      <c r="E177" s="759"/>
      <c r="F177" s="305"/>
      <c r="G177" s="322"/>
      <c r="H177" s="322"/>
      <c r="I177" s="322"/>
      <c r="J177" s="322"/>
      <c r="K177" s="322"/>
      <c r="L177" s="322"/>
      <c r="M177" s="322"/>
      <c r="N177" s="322"/>
      <c r="O177" s="322"/>
      <c r="P177" s="322"/>
      <c r="BA177" s="1066" t="s">
        <v>1004</v>
      </c>
      <c r="BB177" s="1099">
        <f>'Default Data'!BC222</f>
        <v>0</v>
      </c>
      <c r="BC177" s="1182"/>
      <c r="BD177" s="1181"/>
      <c r="BE177" s="1184"/>
      <c r="BF177" s="1119"/>
    </row>
    <row r="178" spans="1:58" x14ac:dyDescent="0.25">
      <c r="A178" s="744" t="s">
        <v>1005</v>
      </c>
      <c r="B178" s="1099">
        <f>'Default Data'!C223</f>
        <v>0</v>
      </c>
      <c r="C178" s="718"/>
      <c r="D178" s="687"/>
      <c r="E178" s="759"/>
      <c r="F178" s="305"/>
      <c r="G178" s="305"/>
      <c r="H178" s="305"/>
      <c r="I178" s="305"/>
      <c r="J178" s="305"/>
      <c r="K178" s="305"/>
      <c r="L178" s="305"/>
      <c r="M178" s="305"/>
      <c r="N178" s="305"/>
      <c r="O178" s="305"/>
      <c r="P178" s="305"/>
      <c r="BA178" s="1066" t="s">
        <v>1005</v>
      </c>
      <c r="BB178" s="1099">
        <f>'Default Data'!BC223</f>
        <v>0</v>
      </c>
      <c r="BC178" s="1182"/>
      <c r="BD178" s="1181"/>
      <c r="BE178" s="1184"/>
      <c r="BF178" s="1119"/>
    </row>
    <row r="179" spans="1:58" x14ac:dyDescent="0.25">
      <c r="A179" s="744" t="s">
        <v>1006</v>
      </c>
      <c r="B179" s="1101">
        <f>D137*B177*B178</f>
        <v>0</v>
      </c>
      <c r="C179" s="764"/>
      <c r="D179" s="687"/>
      <c r="E179" s="759"/>
      <c r="F179" s="305"/>
      <c r="G179" s="305"/>
      <c r="H179" s="305"/>
      <c r="I179" s="305"/>
      <c r="J179" s="305"/>
      <c r="K179" s="305"/>
      <c r="L179" s="305"/>
      <c r="M179" s="305"/>
      <c r="N179" s="305"/>
      <c r="O179" s="305"/>
      <c r="P179" s="305"/>
      <c r="BA179" s="1066" t="s">
        <v>1006</v>
      </c>
      <c r="BB179" s="1101">
        <f>BD137*BB177*BB178</f>
        <v>0</v>
      </c>
      <c r="BC179" s="1187"/>
      <c r="BD179" s="1181"/>
      <c r="BE179" s="1184"/>
      <c r="BF179" s="1119"/>
    </row>
    <row r="180" spans="1:58" x14ac:dyDescent="0.25">
      <c r="A180" s="744" t="s">
        <v>1007</v>
      </c>
      <c r="B180" s="1101">
        <f>B179*B176</f>
        <v>0</v>
      </c>
      <c r="C180" s="726"/>
      <c r="D180" s="687"/>
      <c r="E180" s="1099">
        <f>'Default Data'!E225</f>
        <v>1</v>
      </c>
      <c r="F180" s="305"/>
      <c r="G180" s="305"/>
      <c r="H180" s="305"/>
      <c r="I180" s="305"/>
      <c r="J180" s="305"/>
      <c r="K180" s="305"/>
      <c r="L180" s="305"/>
      <c r="M180" s="305"/>
      <c r="N180" s="305"/>
      <c r="O180" s="305"/>
      <c r="P180" s="305"/>
      <c r="R180" s="98"/>
      <c r="BA180" s="1066" t="s">
        <v>1007</v>
      </c>
      <c r="BB180" s="1101">
        <f>BB179*BB176</f>
        <v>0</v>
      </c>
      <c r="BC180" s="1188"/>
      <c r="BD180" s="1181"/>
      <c r="BE180" s="1099">
        <f>'Default Data'!BE225</f>
        <v>0</v>
      </c>
      <c r="BF180" s="1119"/>
    </row>
    <row r="181" spans="1:58" x14ac:dyDescent="0.25">
      <c r="A181" s="745" t="s">
        <v>1008</v>
      </c>
      <c r="B181" s="1102"/>
      <c r="C181" s="726"/>
      <c r="D181" s="726"/>
      <c r="E181" s="726"/>
      <c r="F181" s="305"/>
      <c r="G181" s="305"/>
      <c r="H181" s="305"/>
      <c r="I181" s="305"/>
      <c r="J181" s="305"/>
      <c r="K181" s="305"/>
      <c r="L181" s="305"/>
      <c r="M181" s="305"/>
      <c r="N181" s="305"/>
      <c r="O181" s="305"/>
      <c r="P181" s="305"/>
      <c r="BA181" s="1050" t="s">
        <v>1008</v>
      </c>
      <c r="BB181" s="1188"/>
      <c r="BC181" s="1188"/>
      <c r="BD181" s="1188"/>
      <c r="BE181" s="1188"/>
      <c r="BF181" s="1119"/>
    </row>
    <row r="182" spans="1:58" x14ac:dyDescent="0.25">
      <c r="A182" s="772" t="s">
        <v>1079</v>
      </c>
      <c r="B182" s="1103">
        <f>'Rates &amp; Misc'!C73</f>
        <v>2420</v>
      </c>
      <c r="C182" s="726"/>
      <c r="D182" s="726"/>
      <c r="E182" s="726"/>
      <c r="F182" s="305"/>
      <c r="G182" s="305"/>
      <c r="H182" s="305"/>
      <c r="I182" s="305"/>
      <c r="J182" s="305"/>
      <c r="K182" s="305"/>
      <c r="L182" s="305"/>
      <c r="M182" s="305"/>
      <c r="N182" s="305"/>
      <c r="O182" s="305"/>
      <c r="P182" s="305"/>
      <c r="BA182" s="1068" t="s">
        <v>1079</v>
      </c>
      <c r="BB182" s="1103">
        <f>'Rates &amp; Misc'!BC73</f>
        <v>0</v>
      </c>
      <c r="BC182" s="1188"/>
      <c r="BD182" s="1188"/>
      <c r="BE182" s="1188"/>
      <c r="BF182" s="1119"/>
    </row>
    <row r="183" spans="1:58" x14ac:dyDescent="0.25">
      <c r="A183" s="819" t="s">
        <v>1127</v>
      </c>
      <c r="B183" s="1104">
        <f>'Rates &amp; Misc'!C74</f>
        <v>319</v>
      </c>
      <c r="C183" s="726"/>
      <c r="D183" s="726"/>
      <c r="E183" s="726"/>
      <c r="F183" s="305"/>
      <c r="G183" s="305"/>
      <c r="H183" s="305"/>
      <c r="I183" s="305"/>
      <c r="J183" s="305"/>
      <c r="K183" s="305"/>
      <c r="L183" s="305"/>
      <c r="M183" s="305"/>
      <c r="N183" s="305"/>
      <c r="O183" s="305"/>
      <c r="P183" s="305"/>
      <c r="BA183" s="1069" t="s">
        <v>1127</v>
      </c>
      <c r="BB183" s="1104">
        <f>'Rates &amp; Misc'!BC74</f>
        <v>0</v>
      </c>
      <c r="BC183" s="1188"/>
      <c r="BD183" s="1188"/>
      <c r="BE183" s="1188"/>
      <c r="BF183" s="1119"/>
    </row>
    <row r="184" spans="1:58" x14ac:dyDescent="0.25">
      <c r="A184" s="819" t="s">
        <v>1128</v>
      </c>
      <c r="B184" s="821">
        <f>B182*B183</f>
        <v>771980</v>
      </c>
      <c r="C184" s="726"/>
      <c r="D184" s="726"/>
      <c r="E184" s="726"/>
      <c r="F184" s="305"/>
      <c r="G184" s="305"/>
      <c r="H184" s="305"/>
      <c r="I184" s="305"/>
      <c r="J184" s="305"/>
      <c r="K184" s="305"/>
      <c r="L184" s="305"/>
      <c r="M184" s="305"/>
      <c r="N184" s="305"/>
      <c r="O184" s="305"/>
      <c r="P184" s="305"/>
      <c r="BA184" s="1069" t="s">
        <v>1128</v>
      </c>
      <c r="BB184" s="1104">
        <f>BB182*BB183</f>
        <v>0</v>
      </c>
      <c r="BC184" s="1188"/>
      <c r="BD184" s="1188"/>
      <c r="BE184" s="1188"/>
      <c r="BF184" s="1119"/>
    </row>
    <row r="185" spans="1:58" x14ac:dyDescent="0.25">
      <c r="A185" s="772" t="s">
        <v>1129</v>
      </c>
      <c r="B185" s="1104">
        <f>'Rates &amp; Misc'!C76</f>
        <v>5</v>
      </c>
      <c r="C185" s="305"/>
      <c r="D185" s="305"/>
      <c r="E185" s="305"/>
      <c r="F185" s="305"/>
      <c r="G185" s="305"/>
      <c r="H185" s="305"/>
      <c r="I185" s="305"/>
      <c r="J185" s="305"/>
      <c r="K185" s="305"/>
      <c r="L185" s="305"/>
      <c r="M185" s="305"/>
      <c r="N185" s="305"/>
      <c r="O185" s="305"/>
      <c r="P185" s="305"/>
      <c r="BA185" s="1068" t="s">
        <v>1129</v>
      </c>
      <c r="BB185" s="1104">
        <f>'Rates &amp; Misc'!BC76</f>
        <v>0</v>
      </c>
      <c r="BC185" s="1119"/>
      <c r="BD185" s="1119"/>
      <c r="BE185" s="1119"/>
      <c r="BF185" s="1119"/>
    </row>
    <row r="186" spans="1:58" x14ac:dyDescent="0.25">
      <c r="A186" s="772" t="s">
        <v>1130</v>
      </c>
      <c r="B186" s="821">
        <f>B185*B182</f>
        <v>12100</v>
      </c>
      <c r="C186" s="305"/>
      <c r="D186" s="305"/>
      <c r="E186" s="305"/>
      <c r="F186" s="305"/>
      <c r="G186" s="305"/>
      <c r="H186" s="305"/>
      <c r="I186" s="305"/>
      <c r="J186" s="305"/>
      <c r="K186" s="305"/>
      <c r="L186" s="305"/>
      <c r="M186" s="305"/>
      <c r="N186" s="305"/>
      <c r="O186" s="305"/>
      <c r="P186" s="305"/>
      <c r="BA186" s="1068" t="s">
        <v>1130</v>
      </c>
      <c r="BB186" s="1189"/>
      <c r="BC186" s="1119"/>
      <c r="BD186" s="1119"/>
      <c r="BE186" s="1119"/>
      <c r="BF186" s="1119"/>
    </row>
    <row r="187" spans="1:58" x14ac:dyDescent="0.25">
      <c r="A187" s="772" t="s">
        <v>1094</v>
      </c>
      <c r="B187" s="1109" t="str">
        <f>'Default Data'!C232</f>
        <v>P</v>
      </c>
      <c r="C187" s="305"/>
      <c r="D187" s="305"/>
      <c r="E187" s="1109">
        <f>'Default Data'!E232</f>
        <v>0</v>
      </c>
      <c r="F187" s="305"/>
      <c r="G187" s="746"/>
      <c r="H187" s="746"/>
      <c r="I187" s="746"/>
      <c r="J187" s="746"/>
      <c r="K187" s="746"/>
      <c r="L187" s="746"/>
      <c r="M187" s="746"/>
      <c r="N187" s="746"/>
      <c r="O187" s="746"/>
      <c r="P187" s="746"/>
      <c r="R187" s="31"/>
      <c r="BA187" s="1068" t="s">
        <v>1094</v>
      </c>
      <c r="BB187" s="1109">
        <f>'Default Data'!BC232</f>
        <v>0</v>
      </c>
      <c r="BC187" s="1119"/>
      <c r="BD187" s="1119"/>
      <c r="BE187" s="1109">
        <f>'Default Data'!BE232</f>
        <v>0</v>
      </c>
      <c r="BF187" s="1119"/>
    </row>
    <row r="188" spans="1:58" x14ac:dyDescent="0.25">
      <c r="A188" s="772"/>
      <c r="B188" s="772"/>
      <c r="C188" s="772"/>
      <c r="D188" s="772"/>
      <c r="E188" s="772"/>
      <c r="F188" s="305"/>
      <c r="G188" s="746"/>
      <c r="H188" s="746"/>
      <c r="I188" s="746"/>
      <c r="J188" s="746"/>
      <c r="K188" s="746"/>
      <c r="L188" s="746"/>
      <c r="M188" s="746"/>
      <c r="N188" s="746"/>
      <c r="O188" s="746"/>
      <c r="P188" s="746"/>
      <c r="R188" s="31"/>
      <c r="BA188" s="1068"/>
      <c r="BB188" s="1190"/>
      <c r="BC188" s="1190"/>
      <c r="BD188" s="1190"/>
      <c r="BE188" s="1190"/>
      <c r="BF188" s="1119"/>
    </row>
    <row r="189" spans="1:58" ht="15.75" x14ac:dyDescent="0.25">
      <c r="A189" s="783" t="s">
        <v>1048</v>
      </c>
      <c r="B189" s="305"/>
      <c r="C189" s="305"/>
      <c r="D189" s="305"/>
      <c r="E189" s="305"/>
      <c r="F189" s="305"/>
      <c r="G189" s="322"/>
      <c r="H189" s="322"/>
      <c r="I189" s="322"/>
      <c r="J189" s="322"/>
      <c r="K189" s="322"/>
      <c r="L189" s="322"/>
      <c r="M189" s="322"/>
      <c r="N189" s="322"/>
      <c r="O189" s="322"/>
      <c r="P189" s="322"/>
      <c r="BA189" s="1070" t="s">
        <v>1048</v>
      </c>
      <c r="BB189" s="1119"/>
      <c r="BC189" s="1119"/>
      <c r="BD189" s="1119"/>
      <c r="BE189" s="1119"/>
      <c r="BF189" s="1119"/>
    </row>
    <row r="190" spans="1:58" x14ac:dyDescent="0.25">
      <c r="A190" s="777" t="s">
        <v>879</v>
      </c>
      <c r="B190" s="1105">
        <f>'Rates &amp; Misc'!C10</f>
        <v>1.5</v>
      </c>
      <c r="C190" s="305"/>
      <c r="D190" s="305"/>
      <c r="E190" s="305"/>
      <c r="F190" s="305"/>
      <c r="G190" s="322"/>
      <c r="H190" s="322"/>
      <c r="I190" s="322"/>
      <c r="J190" s="322"/>
      <c r="K190" s="322"/>
      <c r="L190" s="322"/>
      <c r="M190" s="322"/>
      <c r="N190" s="322"/>
      <c r="O190" s="322"/>
      <c r="P190" s="322"/>
      <c r="BA190" s="1071" t="s">
        <v>879</v>
      </c>
      <c r="BB190" s="1105">
        <f>'Rates &amp; Misc'!BC10</f>
        <v>0</v>
      </c>
      <c r="BC190" s="1119"/>
      <c r="BD190" s="1119"/>
      <c r="BE190" s="1119"/>
      <c r="BF190" s="1119"/>
    </row>
    <row r="191" spans="1:58" x14ac:dyDescent="0.25">
      <c r="A191" s="777" t="s">
        <v>767</v>
      </c>
      <c r="B191" s="351" t="s">
        <v>901</v>
      </c>
      <c r="C191" s="305"/>
      <c r="D191" s="777" t="s">
        <v>1049</v>
      </c>
      <c r="E191" s="305"/>
      <c r="F191" s="351" t="s">
        <v>901</v>
      </c>
      <c r="G191" s="322"/>
      <c r="H191" s="322"/>
      <c r="I191" s="322"/>
      <c r="J191" s="322"/>
      <c r="K191" s="322"/>
      <c r="L191" s="322"/>
      <c r="M191" s="322"/>
      <c r="N191" s="322"/>
      <c r="O191" s="322"/>
      <c r="P191" s="322"/>
      <c r="BA191" s="1071" t="s">
        <v>767</v>
      </c>
      <c r="BB191" s="1133" t="s">
        <v>901</v>
      </c>
      <c r="BC191" s="1119"/>
      <c r="BD191" s="1191" t="s">
        <v>1049</v>
      </c>
      <c r="BE191" s="1119"/>
      <c r="BF191" s="1133" t="s">
        <v>901</v>
      </c>
    </row>
    <row r="192" spans="1:58" x14ac:dyDescent="0.25">
      <c r="A192" s="305" t="s">
        <v>98</v>
      </c>
      <c r="B192" s="1106">
        <f>'Rates &amp; Misc'!G28</f>
        <v>40</v>
      </c>
      <c r="C192" s="305"/>
      <c r="D192" s="305" t="s">
        <v>109</v>
      </c>
      <c r="E192" s="305"/>
      <c r="F192" s="1106">
        <f>'Rates &amp; Misc'!G38</f>
        <v>42.5</v>
      </c>
      <c r="G192" s="322"/>
      <c r="H192" s="322"/>
      <c r="I192" s="322"/>
      <c r="J192" s="322"/>
      <c r="K192" s="322"/>
      <c r="L192" s="322"/>
      <c r="M192" s="322"/>
      <c r="N192" s="322"/>
      <c r="O192" s="322"/>
      <c r="P192" s="322"/>
      <c r="BA192" s="1051" t="s">
        <v>98</v>
      </c>
      <c r="BB192" s="1106">
        <f>'Rates &amp; Misc'!BG28</f>
        <v>0</v>
      </c>
      <c r="BC192" s="1119"/>
      <c r="BD192" s="1119" t="s">
        <v>109</v>
      </c>
      <c r="BE192" s="1119"/>
      <c r="BF192" s="1106">
        <f>'Rates &amp; Misc'!BG38</f>
        <v>0</v>
      </c>
    </row>
    <row r="193" spans="1:58" x14ac:dyDescent="0.25">
      <c r="A193" s="305" t="s">
        <v>334</v>
      </c>
      <c r="B193" s="1106">
        <f>'Rates &amp; Misc'!G29</f>
        <v>13.7</v>
      </c>
      <c r="C193" s="305"/>
      <c r="D193" s="305" t="s">
        <v>99</v>
      </c>
      <c r="E193" s="305"/>
      <c r="F193" s="1106">
        <f>'Rates &amp; Misc'!G39</f>
        <v>13.71</v>
      </c>
      <c r="G193" s="322"/>
      <c r="H193" s="322"/>
      <c r="I193" s="322"/>
      <c r="J193" s="322"/>
      <c r="K193" s="322"/>
      <c r="L193" s="322"/>
      <c r="M193" s="322"/>
      <c r="N193" s="322"/>
      <c r="O193" s="322"/>
      <c r="P193" s="322"/>
      <c r="BA193" s="1051" t="s">
        <v>334</v>
      </c>
      <c r="BB193" s="1106">
        <f>'Rates &amp; Misc'!BG29</f>
        <v>0</v>
      </c>
      <c r="BC193" s="1119"/>
      <c r="BD193" s="1119" t="s">
        <v>99</v>
      </c>
      <c r="BE193" s="1119"/>
      <c r="BF193" s="1106">
        <f>'Rates &amp; Misc'!BG39</f>
        <v>0</v>
      </c>
    </row>
    <row r="194" spans="1:58" x14ac:dyDescent="0.25">
      <c r="A194" s="305" t="s">
        <v>387</v>
      </c>
      <c r="B194" s="1106">
        <f>'Rates &amp; Misc'!G30</f>
        <v>16.87</v>
      </c>
      <c r="C194" s="305"/>
      <c r="D194" s="305" t="s">
        <v>107</v>
      </c>
      <c r="E194" s="305"/>
      <c r="F194" s="1106">
        <f>'Rates &amp; Misc'!G40</f>
        <v>17.5</v>
      </c>
      <c r="G194" s="322"/>
      <c r="H194" s="322"/>
      <c r="I194" s="322"/>
      <c r="J194" s="322"/>
      <c r="K194" s="322"/>
      <c r="L194" s="322"/>
      <c r="M194" s="322"/>
      <c r="N194" s="322"/>
      <c r="O194" s="322"/>
      <c r="P194" s="322"/>
      <c r="BA194" s="1051" t="s">
        <v>387</v>
      </c>
      <c r="BB194" s="1106">
        <f>'Rates &amp; Misc'!BG30</f>
        <v>0</v>
      </c>
      <c r="BC194" s="1119"/>
      <c r="BD194" s="1119" t="s">
        <v>107</v>
      </c>
      <c r="BE194" s="1119"/>
      <c r="BF194" s="1106">
        <f>'Rates &amp; Misc'!BG40</f>
        <v>0</v>
      </c>
    </row>
    <row r="195" spans="1:58" x14ac:dyDescent="0.25">
      <c r="A195" s="305" t="s">
        <v>1047</v>
      </c>
      <c r="B195" s="1106">
        <f>'Rates &amp; Misc'!G31</f>
        <v>50</v>
      </c>
      <c r="C195" s="305"/>
      <c r="D195" s="305" t="s">
        <v>83</v>
      </c>
      <c r="E195" s="305"/>
      <c r="F195" s="1106">
        <f>'Rates &amp; Misc'!G41</f>
        <v>22.32</v>
      </c>
      <c r="G195" s="322"/>
      <c r="H195" s="322"/>
      <c r="I195" s="322"/>
      <c r="J195" s="322"/>
      <c r="K195" s="322"/>
      <c r="L195" s="322"/>
      <c r="M195" s="322"/>
      <c r="N195" s="322"/>
      <c r="O195" s="322"/>
      <c r="P195" s="322"/>
      <c r="BA195" s="1051" t="s">
        <v>1047</v>
      </c>
      <c r="BB195" s="1106">
        <f>'Rates &amp; Misc'!BG31</f>
        <v>0</v>
      </c>
      <c r="BC195" s="1119"/>
      <c r="BD195" s="1119" t="s">
        <v>83</v>
      </c>
      <c r="BE195" s="1119"/>
      <c r="BF195" s="1106">
        <f>'Rates &amp; Misc'!BG41</f>
        <v>0</v>
      </c>
    </row>
    <row r="196" spans="1:58" x14ac:dyDescent="0.25">
      <c r="A196" s="305" t="s">
        <v>336</v>
      </c>
      <c r="B196" s="1106">
        <f>'Rates &amp; Misc'!G32</f>
        <v>13.7</v>
      </c>
      <c r="C196" s="305"/>
      <c r="D196" s="305" t="s">
        <v>98</v>
      </c>
      <c r="E196" s="305"/>
      <c r="F196" s="1106">
        <f>'Rates &amp; Misc'!G42</f>
        <v>40</v>
      </c>
      <c r="G196" s="322"/>
      <c r="H196" s="322"/>
      <c r="I196" s="322"/>
      <c r="J196" s="322"/>
      <c r="K196" s="322"/>
      <c r="L196" s="322"/>
      <c r="M196" s="322"/>
      <c r="N196" s="322"/>
      <c r="O196" s="322"/>
      <c r="P196" s="322"/>
      <c r="BA196" s="1051" t="s">
        <v>336</v>
      </c>
      <c r="BB196" s="1106">
        <f>'Rates &amp; Misc'!BG32</f>
        <v>0</v>
      </c>
      <c r="BC196" s="1119"/>
      <c r="BD196" s="1119" t="s">
        <v>98</v>
      </c>
      <c r="BE196" s="1119"/>
      <c r="BF196" s="1106">
        <f>'Rates &amp; Misc'!BG42</f>
        <v>0</v>
      </c>
    </row>
    <row r="197" spans="1:58" x14ac:dyDescent="0.25">
      <c r="A197" s="305" t="s">
        <v>339</v>
      </c>
      <c r="B197" s="1106">
        <f>'Rates &amp; Misc'!G33</f>
        <v>13.7</v>
      </c>
      <c r="C197" s="305"/>
      <c r="D197" s="305"/>
      <c r="E197" s="305"/>
      <c r="F197" s="1108"/>
      <c r="G197" s="322"/>
      <c r="H197" s="322"/>
      <c r="I197" s="322"/>
      <c r="J197" s="322"/>
      <c r="K197" s="322"/>
      <c r="L197" s="322"/>
      <c r="M197" s="322"/>
      <c r="N197" s="322"/>
      <c r="O197" s="322"/>
      <c r="P197" s="322"/>
      <c r="BA197" s="1051" t="s">
        <v>339</v>
      </c>
      <c r="BB197" s="1106">
        <f>'Rates &amp; Misc'!BG33</f>
        <v>0</v>
      </c>
      <c r="BC197" s="1119"/>
      <c r="BD197" s="1119"/>
      <c r="BE197" s="1119"/>
      <c r="BF197" s="1119"/>
    </row>
    <row r="198" spans="1:58" x14ac:dyDescent="0.25">
      <c r="A198" s="305" t="s">
        <v>1367</v>
      </c>
      <c r="B198" s="1106">
        <f>'Rates &amp; Misc'!G34</f>
        <v>17.920000000000002</v>
      </c>
      <c r="C198" s="305"/>
      <c r="D198" s="305"/>
      <c r="E198" s="305"/>
      <c r="F198" s="305"/>
      <c r="G198" s="322"/>
      <c r="H198" s="322"/>
      <c r="I198" s="322"/>
      <c r="J198" s="322"/>
      <c r="K198" s="322"/>
      <c r="L198" s="322"/>
      <c r="M198" s="322"/>
      <c r="N198" s="322"/>
      <c r="O198" s="322"/>
      <c r="P198" s="322"/>
      <c r="BA198" s="1051" t="s">
        <v>29</v>
      </c>
      <c r="BB198" s="1106">
        <f>'Rates &amp; Misc'!BG34</f>
        <v>0</v>
      </c>
      <c r="BC198" s="1119"/>
      <c r="BD198" s="1119"/>
      <c r="BE198" s="1119"/>
      <c r="BF198" s="1119"/>
    </row>
    <row r="199" spans="1:58" x14ac:dyDescent="0.25">
      <c r="A199" s="305" t="s">
        <v>1368</v>
      </c>
      <c r="B199" s="1106">
        <f>'Rates &amp; Misc'!G35</f>
        <v>13.7</v>
      </c>
      <c r="C199" s="305"/>
      <c r="D199" s="305"/>
      <c r="E199" s="305"/>
      <c r="F199" s="305"/>
      <c r="G199" s="322"/>
      <c r="H199" s="322"/>
      <c r="I199" s="322"/>
      <c r="J199" s="322"/>
      <c r="K199" s="322"/>
      <c r="L199" s="322"/>
      <c r="M199" s="322"/>
      <c r="N199" s="322"/>
      <c r="O199" s="322"/>
      <c r="P199" s="322"/>
      <c r="BA199" s="1051" t="s">
        <v>340</v>
      </c>
      <c r="BB199" s="1106">
        <f>'Rates &amp; Misc'!BG35</f>
        <v>0</v>
      </c>
      <c r="BC199" s="1119"/>
      <c r="BD199" s="1119"/>
      <c r="BE199" s="1119"/>
      <c r="BF199" s="1119"/>
    </row>
    <row r="200" spans="1:58" x14ac:dyDescent="0.25">
      <c r="A200" s="305"/>
      <c r="B200" s="305"/>
      <c r="C200" s="305"/>
      <c r="D200" s="305"/>
      <c r="E200" s="305"/>
      <c r="F200" s="305"/>
      <c r="G200" s="322"/>
      <c r="H200" s="322"/>
      <c r="I200" s="322"/>
      <c r="J200" s="322"/>
      <c r="K200" s="322"/>
      <c r="L200" s="322"/>
      <c r="M200" s="322"/>
      <c r="N200" s="322"/>
      <c r="O200" s="322"/>
      <c r="P200" s="322"/>
      <c r="BA200" s="1051"/>
      <c r="BB200" s="1119"/>
      <c r="BC200" s="1119"/>
      <c r="BD200" s="1119"/>
      <c r="BE200" s="1119"/>
      <c r="BF200" s="1119"/>
    </row>
    <row r="201" spans="1:58" ht="15.75" x14ac:dyDescent="0.25">
      <c r="A201" s="784" t="s">
        <v>1038</v>
      </c>
      <c r="B201" s="305"/>
      <c r="C201" s="333"/>
      <c r="D201" s="305"/>
      <c r="E201" s="305"/>
      <c r="F201" s="322"/>
      <c r="G201" s="322"/>
      <c r="H201" s="322"/>
      <c r="I201" s="322"/>
      <c r="J201" s="322"/>
      <c r="K201" s="322"/>
      <c r="L201" s="322"/>
      <c r="M201" s="322"/>
      <c r="N201" s="322"/>
      <c r="O201" s="322"/>
      <c r="P201" s="322"/>
      <c r="R201" s="31"/>
      <c r="BA201" s="1072" t="s">
        <v>1038</v>
      </c>
      <c r="BB201" s="1119"/>
      <c r="BC201" s="1192"/>
      <c r="BD201" s="1119"/>
      <c r="BE201" s="1119"/>
      <c r="BF201" s="1167"/>
    </row>
    <row r="202" spans="1:58" x14ac:dyDescent="0.25">
      <c r="A202" s="777" t="s">
        <v>879</v>
      </c>
      <c r="B202" s="1105">
        <f>'Rates &amp; Misc'!C12</f>
        <v>2.5</v>
      </c>
      <c r="C202" s="333"/>
      <c r="D202" s="305"/>
      <c r="E202" s="305"/>
      <c r="F202" s="322"/>
      <c r="G202" s="322"/>
      <c r="H202" s="322"/>
      <c r="I202" s="322"/>
      <c r="J202" s="322"/>
      <c r="K202" s="322"/>
      <c r="L202" s="322"/>
      <c r="M202" s="322"/>
      <c r="N202" s="322"/>
      <c r="O202" s="322"/>
      <c r="P202" s="322"/>
      <c r="BA202" s="1071" t="s">
        <v>879</v>
      </c>
      <c r="BB202" s="1105">
        <f>'Rates &amp; Misc'!BC12</f>
        <v>0</v>
      </c>
      <c r="BC202" s="1192"/>
      <c r="BD202" s="1119"/>
      <c r="BE202" s="1119"/>
      <c r="BF202" s="1167"/>
    </row>
    <row r="203" spans="1:58" x14ac:dyDescent="0.25">
      <c r="A203" s="777" t="s">
        <v>767</v>
      </c>
      <c r="B203" s="351" t="s">
        <v>901</v>
      </c>
      <c r="C203" s="305"/>
      <c r="D203" s="305"/>
      <c r="E203" s="305"/>
      <c r="F203" s="305"/>
      <c r="G203" s="322"/>
      <c r="H203" s="322"/>
      <c r="I203" s="322"/>
      <c r="J203" s="322"/>
      <c r="K203" s="322"/>
      <c r="L203" s="322"/>
      <c r="M203" s="322"/>
      <c r="N203" s="322"/>
      <c r="O203" s="322"/>
      <c r="P203" s="322"/>
      <c r="BA203" s="1071" t="s">
        <v>767</v>
      </c>
      <c r="BB203" s="1133" t="s">
        <v>901</v>
      </c>
      <c r="BC203" s="1119"/>
      <c r="BD203" s="1119"/>
      <c r="BE203" s="1119"/>
      <c r="BF203" s="1119"/>
    </row>
    <row r="204" spans="1:58" x14ac:dyDescent="0.25">
      <c r="A204" s="460" t="s">
        <v>768</v>
      </c>
      <c r="B204" s="1107">
        <f>IF(B$18="Flash",'Default Data'!C163,'Default Data'!C141)</f>
        <v>23.388090349075977</v>
      </c>
      <c r="C204" s="305"/>
      <c r="D204" s="305"/>
      <c r="E204" s="305"/>
      <c r="F204" s="305"/>
      <c r="G204" s="322"/>
      <c r="H204" s="322"/>
      <c r="I204" s="322"/>
      <c r="J204" s="322"/>
      <c r="K204" s="322"/>
      <c r="L204" s="322"/>
      <c r="M204" s="322"/>
      <c r="N204" s="322"/>
      <c r="O204" s="322"/>
      <c r="P204" s="322"/>
      <c r="BA204" s="426" t="s">
        <v>768</v>
      </c>
      <c r="BB204" s="1107">
        <f>IF(BB$18="Flash",'Default Data'!BC163,'Default Data'!BC141)</f>
        <v>0</v>
      </c>
      <c r="BC204" s="1119"/>
      <c r="BD204" s="1119"/>
      <c r="BE204" s="1119"/>
      <c r="BF204" s="1119"/>
    </row>
    <row r="205" spans="1:58" x14ac:dyDescent="0.25">
      <c r="A205" s="460" t="s">
        <v>769</v>
      </c>
      <c r="B205" s="1107">
        <f>IF(B$18="Flash",'Default Data'!C164,'Default Data'!C142)</f>
        <v>28.06570841889117</v>
      </c>
      <c r="C205" s="305"/>
      <c r="D205" s="305"/>
      <c r="E205" s="305"/>
      <c r="F205" s="305"/>
      <c r="G205" s="322"/>
      <c r="H205" s="322"/>
      <c r="I205" s="322"/>
      <c r="J205" s="322"/>
      <c r="K205" s="322"/>
      <c r="L205" s="322"/>
      <c r="M205" s="322"/>
      <c r="N205" s="322"/>
      <c r="O205" s="322"/>
      <c r="P205" s="322"/>
      <c r="BA205" s="426" t="s">
        <v>769</v>
      </c>
      <c r="BB205" s="1107">
        <f>IF(BB$18="Flash",'Default Data'!BC164,'Default Data'!BC142)</f>
        <v>0</v>
      </c>
      <c r="BC205" s="1119"/>
      <c r="BD205" s="1119"/>
      <c r="BE205" s="1119"/>
      <c r="BF205" s="1119"/>
    </row>
    <row r="206" spans="1:58" x14ac:dyDescent="0.25">
      <c r="A206" s="460" t="s">
        <v>770</v>
      </c>
      <c r="B206" s="1107">
        <f>IF(B$18="Flash",'Default Data'!C165,'Default Data'!C143)</f>
        <v>28.06570841889117</v>
      </c>
      <c r="C206" s="305"/>
      <c r="D206" s="305"/>
      <c r="E206" s="305"/>
      <c r="F206" s="305"/>
      <c r="G206" s="322"/>
      <c r="H206" s="322"/>
      <c r="I206" s="322"/>
      <c r="J206" s="322"/>
      <c r="K206" s="322"/>
      <c r="L206" s="322"/>
      <c r="M206" s="322"/>
      <c r="N206" s="322"/>
      <c r="O206" s="322"/>
      <c r="P206" s="322"/>
      <c r="BA206" s="426" t="s">
        <v>770</v>
      </c>
      <c r="BB206" s="1107">
        <f>IF(BB$18="Flash",'Default Data'!BC165,'Default Data'!BC143)</f>
        <v>0</v>
      </c>
      <c r="BC206" s="1119"/>
      <c r="BD206" s="1119"/>
      <c r="BE206" s="1119"/>
      <c r="BF206" s="1119"/>
    </row>
    <row r="207" spans="1:58" x14ac:dyDescent="0.25">
      <c r="A207" s="460" t="s">
        <v>771</v>
      </c>
      <c r="B207" s="1107">
        <f>IF(B$18="Flash",'Default Data'!C166,'Default Data'!C144)</f>
        <v>20.464579055441479</v>
      </c>
      <c r="C207" s="305"/>
      <c r="D207" s="305"/>
      <c r="E207" s="305"/>
      <c r="F207" s="305"/>
      <c r="G207" s="331"/>
      <c r="H207" s="331"/>
      <c r="I207" s="331"/>
      <c r="J207" s="331"/>
      <c r="K207" s="331"/>
      <c r="L207" s="331"/>
      <c r="M207" s="331"/>
      <c r="N207" s="331"/>
      <c r="O207" s="331"/>
      <c r="P207" s="331"/>
      <c r="BA207" s="426" t="s">
        <v>771</v>
      </c>
      <c r="BB207" s="1107">
        <f>IF(BB$18="Flash",'Default Data'!BC166,'Default Data'!BC144)</f>
        <v>0</v>
      </c>
      <c r="BC207" s="1119"/>
      <c r="BD207" s="1119"/>
      <c r="BE207" s="1119"/>
      <c r="BF207" s="1119"/>
    </row>
    <row r="208" spans="1:58" x14ac:dyDescent="0.25">
      <c r="A208" s="460" t="s">
        <v>772</v>
      </c>
      <c r="B208" s="1107">
        <f>IF(B$18="Flash",'Default Data'!C167,'Default Data'!C145)</f>
        <v>46.776180698151954</v>
      </c>
      <c r="C208" s="305"/>
      <c r="D208" s="305"/>
      <c r="E208" s="305"/>
      <c r="F208" s="305"/>
      <c r="G208" s="322"/>
      <c r="H208" s="322"/>
      <c r="I208" s="322"/>
      <c r="J208" s="322"/>
      <c r="K208" s="322"/>
      <c r="L208" s="322"/>
      <c r="M208" s="322"/>
      <c r="N208" s="322"/>
      <c r="O208" s="322"/>
      <c r="P208" s="322"/>
      <c r="BA208" s="426" t="s">
        <v>772</v>
      </c>
      <c r="BB208" s="1107">
        <f>IF(BB$18="Flash",'Default Data'!BC167,'Default Data'!BC145)</f>
        <v>0</v>
      </c>
      <c r="BC208" s="1119"/>
      <c r="BD208" s="1119"/>
      <c r="BE208" s="1119"/>
      <c r="BF208" s="1119"/>
    </row>
    <row r="209" spans="1:58" x14ac:dyDescent="0.25">
      <c r="A209" s="460" t="s">
        <v>773</v>
      </c>
      <c r="B209" s="1107">
        <f>IF(B$18="Flash",'Default Data'!C168,'Default Data'!C146)</f>
        <v>35.082135523613964</v>
      </c>
      <c r="C209" s="305"/>
      <c r="D209" s="305"/>
      <c r="E209" s="305"/>
      <c r="F209" s="305"/>
      <c r="G209" s="322"/>
      <c r="H209" s="322"/>
      <c r="I209" s="322"/>
      <c r="J209" s="322"/>
      <c r="K209" s="322"/>
      <c r="L209" s="322"/>
      <c r="M209" s="322"/>
      <c r="N209" s="322"/>
      <c r="O209" s="322"/>
      <c r="P209" s="322"/>
      <c r="BA209" s="426" t="s">
        <v>773</v>
      </c>
      <c r="BB209" s="1107">
        <f>IF(BB$18="Flash",'Default Data'!BC168,'Default Data'!BC146)</f>
        <v>0</v>
      </c>
      <c r="BC209" s="1119"/>
      <c r="BD209" s="1119"/>
      <c r="BE209" s="1119"/>
      <c r="BF209" s="1119"/>
    </row>
    <row r="210" spans="1:58" x14ac:dyDescent="0.25">
      <c r="A210" s="460" t="s">
        <v>774</v>
      </c>
      <c r="B210" s="1107">
        <f>IF(B$18="Flash",'Default Data'!C169,'Default Data'!C147)</f>
        <v>14.032854209445585</v>
      </c>
      <c r="C210" s="305"/>
      <c r="D210" s="305"/>
      <c r="E210" s="305"/>
      <c r="F210" s="305"/>
      <c r="G210" s="322"/>
      <c r="H210" s="322"/>
      <c r="I210" s="322"/>
      <c r="J210" s="322"/>
      <c r="K210" s="322"/>
      <c r="L210" s="322"/>
      <c r="M210" s="322"/>
      <c r="N210" s="322"/>
      <c r="O210" s="322"/>
      <c r="P210" s="322"/>
      <c r="BA210" s="426" t="s">
        <v>774</v>
      </c>
      <c r="BB210" s="1107">
        <f>IF(BB$18="Flash",'Default Data'!BC169,'Default Data'!BC147)</f>
        <v>0</v>
      </c>
      <c r="BC210" s="1119"/>
      <c r="BD210" s="1119"/>
      <c r="BE210" s="1119"/>
      <c r="BF210" s="1119"/>
    </row>
    <row r="211" spans="1:58" x14ac:dyDescent="0.25">
      <c r="A211" s="305"/>
      <c r="B211" s="305"/>
      <c r="C211" s="305"/>
      <c r="D211" s="305"/>
      <c r="E211" s="305"/>
      <c r="F211" s="305"/>
      <c r="G211" s="322"/>
      <c r="H211" s="322"/>
      <c r="I211" s="322"/>
      <c r="J211" s="322"/>
      <c r="K211" s="322"/>
      <c r="L211" s="322"/>
      <c r="M211" s="322"/>
      <c r="N211" s="322"/>
      <c r="O211" s="322"/>
      <c r="P211" s="322"/>
    </row>
    <row r="212" spans="1:58" x14ac:dyDescent="0.25">
      <c r="A212" s="305"/>
      <c r="B212" s="305"/>
      <c r="C212" s="305"/>
      <c r="D212" s="305"/>
      <c r="E212" s="305"/>
      <c r="F212" s="305"/>
      <c r="G212" s="305"/>
      <c r="H212" s="305"/>
      <c r="I212" s="305"/>
      <c r="J212" s="305"/>
      <c r="K212" s="305"/>
      <c r="L212" s="305"/>
      <c r="M212" s="305"/>
      <c r="N212" s="305"/>
      <c r="O212" s="305"/>
      <c r="P212" s="305"/>
    </row>
    <row r="213" spans="1:58" x14ac:dyDescent="0.25">
      <c r="A213" s="959" t="s">
        <v>1374</v>
      </c>
      <c r="B213" s="305"/>
      <c r="C213" s="335"/>
      <c r="D213" s="1269" t="s">
        <v>1375</v>
      </c>
      <c r="E213" s="1270"/>
      <c r="F213" s="1270"/>
      <c r="G213" s="305"/>
      <c r="H213" s="305"/>
      <c r="I213" s="305"/>
      <c r="J213" s="305"/>
      <c r="K213" s="305"/>
      <c r="L213" s="305"/>
      <c r="M213" s="305"/>
      <c r="N213" s="305"/>
      <c r="O213" s="305"/>
      <c r="P213" s="305"/>
    </row>
    <row r="214" spans="1:58" ht="15" customHeight="1" x14ac:dyDescent="0.25">
      <c r="A214" s="305"/>
      <c r="B214" s="305"/>
      <c r="C214" s="305"/>
      <c r="D214" s="1270"/>
      <c r="E214" s="1270"/>
      <c r="F214" s="1270"/>
      <c r="G214" s="313"/>
      <c r="H214" s="313"/>
      <c r="I214" s="313"/>
      <c r="J214" s="313"/>
      <c r="K214" s="313"/>
      <c r="L214" s="313"/>
      <c r="M214" s="313"/>
      <c r="N214" s="313"/>
      <c r="O214" s="313"/>
      <c r="P214" s="313"/>
    </row>
    <row r="215" spans="1:58" x14ac:dyDescent="0.25">
      <c r="A215" s="305"/>
      <c r="B215" s="305"/>
      <c r="C215" s="305"/>
      <c r="D215" s="1270"/>
      <c r="E215" s="1270"/>
      <c r="F215" s="1270"/>
      <c r="G215" s="313"/>
      <c r="H215" s="313"/>
      <c r="I215" s="313"/>
      <c r="J215" s="313"/>
      <c r="K215" s="313"/>
      <c r="L215" s="313"/>
      <c r="M215" s="313"/>
      <c r="N215" s="313"/>
      <c r="O215" s="313"/>
      <c r="P215" s="313"/>
    </row>
    <row r="216" spans="1:58" x14ac:dyDescent="0.25">
      <c r="A216" s="305"/>
      <c r="B216" s="305"/>
      <c r="C216" s="305"/>
      <c r="D216" s="1270"/>
      <c r="E216" s="1270"/>
      <c r="F216" s="1270"/>
      <c r="G216" s="313"/>
      <c r="H216" s="313"/>
      <c r="I216" s="313"/>
      <c r="J216" s="313"/>
      <c r="K216" s="313"/>
      <c r="L216" s="313"/>
      <c r="M216" s="313"/>
      <c r="N216" s="313"/>
      <c r="O216" s="313"/>
      <c r="P216" s="313"/>
    </row>
    <row r="217" spans="1:58" x14ac:dyDescent="0.25">
      <c r="A217" s="305"/>
      <c r="B217" s="305"/>
      <c r="C217" s="305"/>
      <c r="D217" s="1270"/>
      <c r="E217" s="1270"/>
      <c r="F217" s="1270"/>
      <c r="G217" s="313"/>
      <c r="H217" s="313"/>
      <c r="I217" s="313"/>
      <c r="J217" s="313"/>
      <c r="K217" s="313"/>
      <c r="L217" s="313"/>
      <c r="M217" s="313"/>
      <c r="N217" s="313"/>
      <c r="O217" s="313"/>
      <c r="P217" s="313"/>
    </row>
    <row r="218" spans="1:58" x14ac:dyDescent="0.25">
      <c r="A218" s="305"/>
      <c r="B218" s="305"/>
      <c r="C218" s="305"/>
      <c r="D218" s="305"/>
      <c r="E218" s="305"/>
      <c r="F218" s="305"/>
      <c r="G218" s="313"/>
      <c r="H218" s="313"/>
      <c r="I218" s="313"/>
      <c r="J218" s="313"/>
      <c r="K218" s="313"/>
      <c r="L218" s="313"/>
      <c r="M218" s="313"/>
      <c r="N218" s="313"/>
      <c r="O218" s="313"/>
      <c r="P218" s="313"/>
    </row>
    <row r="219" spans="1:58" x14ac:dyDescent="0.25">
      <c r="A219" s="305"/>
      <c r="B219" s="305"/>
      <c r="C219" s="305"/>
      <c r="D219" s="305"/>
      <c r="E219" s="305"/>
      <c r="F219" s="305"/>
      <c r="G219" s="313"/>
      <c r="H219" s="313"/>
      <c r="I219" s="313"/>
      <c r="J219" s="313"/>
      <c r="K219" s="313"/>
      <c r="L219" s="313"/>
      <c r="M219" s="313"/>
      <c r="N219" s="313"/>
      <c r="O219" s="313"/>
      <c r="P219" s="313"/>
    </row>
    <row r="220" spans="1:58" x14ac:dyDescent="0.25">
      <c r="A220" s="305"/>
      <c r="B220" s="305"/>
      <c r="C220" s="305"/>
      <c r="D220" s="305"/>
      <c r="E220" s="305"/>
      <c r="F220" s="305"/>
      <c r="G220" s="313"/>
      <c r="H220" s="313"/>
      <c r="I220" s="313"/>
      <c r="J220" s="313"/>
      <c r="K220" s="313"/>
      <c r="L220" s="313"/>
      <c r="M220" s="313"/>
      <c r="N220" s="313"/>
      <c r="O220" s="313"/>
      <c r="P220" s="313"/>
    </row>
    <row r="221" spans="1:58" x14ac:dyDescent="0.25">
      <c r="A221" s="305"/>
      <c r="B221" s="305"/>
      <c r="C221" s="305"/>
      <c r="D221" s="305"/>
      <c r="E221" s="305"/>
      <c r="F221" s="305"/>
      <c r="G221" s="313"/>
      <c r="H221" s="313"/>
      <c r="I221" s="313"/>
      <c r="J221" s="313"/>
      <c r="K221" s="313"/>
      <c r="L221" s="313"/>
      <c r="M221" s="313"/>
      <c r="N221" s="313"/>
      <c r="O221" s="313"/>
      <c r="P221" s="313"/>
    </row>
    <row r="222" spans="1:58" x14ac:dyDescent="0.25">
      <c r="A222" s="305"/>
      <c r="B222" s="305"/>
      <c r="C222" s="305"/>
      <c r="D222" s="305"/>
      <c r="E222" s="305"/>
      <c r="F222" s="305"/>
      <c r="G222" s="313"/>
      <c r="H222" s="313"/>
      <c r="I222" s="313"/>
      <c r="J222" s="313"/>
      <c r="K222" s="313"/>
      <c r="L222" s="313"/>
      <c r="M222" s="313"/>
      <c r="N222" s="313"/>
      <c r="O222" s="313"/>
      <c r="P222" s="313"/>
    </row>
    <row r="223" spans="1:58" x14ac:dyDescent="0.25">
      <c r="A223" s="305"/>
      <c r="B223" s="305"/>
      <c r="C223" s="305"/>
      <c r="D223" s="305"/>
      <c r="E223" s="305"/>
      <c r="F223" s="305"/>
      <c r="G223" s="322"/>
      <c r="H223" s="322"/>
      <c r="I223" s="322"/>
      <c r="J223" s="322"/>
      <c r="K223" s="322"/>
      <c r="L223" s="322"/>
      <c r="M223" s="322"/>
      <c r="N223" s="322"/>
      <c r="O223" s="322"/>
      <c r="P223" s="322"/>
    </row>
    <row r="224" spans="1:58" x14ac:dyDescent="0.25">
      <c r="A224" s="305"/>
      <c r="B224" s="305"/>
      <c r="C224" s="305"/>
      <c r="D224" s="305"/>
      <c r="E224" s="305"/>
      <c r="F224" s="305"/>
      <c r="G224" s="322"/>
      <c r="H224" s="322"/>
      <c r="I224" s="322"/>
      <c r="J224" s="322"/>
      <c r="K224" s="322"/>
      <c r="L224" s="322"/>
      <c r="M224" s="322"/>
      <c r="N224" s="322"/>
      <c r="O224" s="322"/>
      <c r="P224" s="322"/>
    </row>
    <row r="225" spans="1:16" x14ac:dyDescent="0.25">
      <c r="A225" s="305"/>
      <c r="B225" s="305"/>
      <c r="C225" s="305"/>
      <c r="D225" s="305"/>
      <c r="E225" s="305"/>
      <c r="F225" s="305"/>
      <c r="G225" s="322"/>
      <c r="H225" s="322"/>
      <c r="I225" s="322"/>
      <c r="J225" s="322"/>
      <c r="K225" s="322"/>
      <c r="L225" s="322"/>
      <c r="M225" s="322"/>
      <c r="N225" s="322"/>
      <c r="O225" s="322"/>
      <c r="P225" s="322"/>
    </row>
    <row r="226" spans="1:16" x14ac:dyDescent="0.25">
      <c r="G226" s="28"/>
      <c r="H226" s="28"/>
      <c r="I226" s="28"/>
      <c r="J226" s="28"/>
      <c r="K226" s="28"/>
      <c r="L226" s="28"/>
      <c r="M226" s="28"/>
      <c r="N226" s="28"/>
      <c r="O226" s="28"/>
      <c r="P226" s="28"/>
    </row>
    <row r="227" spans="1:16" x14ac:dyDescent="0.25">
      <c r="G227" s="28"/>
      <c r="H227" s="28"/>
      <c r="I227" s="28"/>
      <c r="J227" s="28"/>
      <c r="K227" s="28"/>
      <c r="L227" s="28"/>
      <c r="M227" s="28"/>
      <c r="N227" s="28"/>
      <c r="O227" s="28"/>
      <c r="P227" s="28"/>
    </row>
    <row r="228" spans="1:16" x14ac:dyDescent="0.25">
      <c r="D228" s="36"/>
      <c r="E228" s="36"/>
      <c r="F228" s="36"/>
      <c r="G228" s="28"/>
      <c r="H228" s="28"/>
      <c r="I228" s="28"/>
      <c r="J228" s="28"/>
      <c r="K228" s="28"/>
      <c r="L228" s="28"/>
      <c r="M228" s="28"/>
      <c r="N228" s="28"/>
      <c r="O228" s="28"/>
      <c r="P228" s="28"/>
    </row>
    <row r="229" spans="1:16" x14ac:dyDescent="0.25">
      <c r="D229" s="36"/>
      <c r="E229" s="36"/>
      <c r="F229" s="36"/>
      <c r="G229" s="28"/>
      <c r="H229" s="28"/>
      <c r="I229" s="28"/>
      <c r="J229" s="28"/>
      <c r="K229" s="28"/>
      <c r="L229" s="28"/>
      <c r="M229" s="28"/>
      <c r="N229" s="28"/>
      <c r="O229" s="28"/>
      <c r="P229" s="28"/>
    </row>
    <row r="230" spans="1:16" x14ac:dyDescent="0.25">
      <c r="D230" s="36"/>
      <c r="E230" s="36"/>
      <c r="F230" s="36"/>
      <c r="G230" s="28"/>
      <c r="H230" s="28"/>
      <c r="I230" s="28"/>
      <c r="J230" s="28"/>
      <c r="K230" s="28"/>
      <c r="L230" s="28"/>
      <c r="M230" s="28"/>
      <c r="N230" s="28"/>
      <c r="O230" s="28"/>
      <c r="P230" s="28"/>
    </row>
    <row r="231" spans="1:16" x14ac:dyDescent="0.25">
      <c r="D231" s="36"/>
      <c r="E231" s="36"/>
      <c r="F231" s="36"/>
      <c r="G231" s="28"/>
      <c r="H231" s="28"/>
      <c r="I231" s="28"/>
      <c r="J231" s="28"/>
      <c r="K231" s="28"/>
      <c r="L231" s="28"/>
      <c r="M231" s="28"/>
      <c r="N231" s="28"/>
      <c r="O231" s="28"/>
      <c r="P231" s="28"/>
    </row>
    <row r="232" spans="1:16" x14ac:dyDescent="0.25">
      <c r="D232" s="36"/>
      <c r="E232" s="36"/>
      <c r="F232" s="36"/>
      <c r="G232" s="28"/>
      <c r="H232" s="28"/>
      <c r="I232" s="28"/>
      <c r="J232" s="28"/>
      <c r="K232" s="28"/>
      <c r="L232" s="28"/>
      <c r="M232" s="28"/>
      <c r="N232" s="28"/>
      <c r="O232" s="28"/>
      <c r="P232" s="28"/>
    </row>
    <row r="233" spans="1:16" x14ac:dyDescent="0.25">
      <c r="D233" s="36"/>
      <c r="E233" s="36"/>
      <c r="F233" s="36"/>
      <c r="G233" s="28"/>
      <c r="H233" s="28"/>
      <c r="I233" s="28"/>
      <c r="J233" s="28"/>
      <c r="K233" s="28"/>
      <c r="L233" s="28"/>
      <c r="M233" s="28"/>
      <c r="N233" s="28"/>
      <c r="O233" s="28"/>
      <c r="P233" s="28"/>
    </row>
    <row r="234" spans="1:16" x14ac:dyDescent="0.25">
      <c r="A234" s="101"/>
      <c r="C234" s="122"/>
      <c r="F234" s="28"/>
      <c r="G234" s="28"/>
      <c r="H234" s="28"/>
      <c r="I234" s="28"/>
      <c r="J234" s="28"/>
      <c r="K234" s="28"/>
      <c r="L234" s="28"/>
      <c r="M234" s="28"/>
      <c r="N234" s="28"/>
      <c r="O234" s="28"/>
      <c r="P234" s="28"/>
    </row>
    <row r="235" spans="1:16" x14ac:dyDescent="0.25">
      <c r="A235" s="101"/>
      <c r="C235" s="122"/>
      <c r="F235" s="28"/>
    </row>
    <row r="236" spans="1:16" x14ac:dyDescent="0.25">
      <c r="A236" s="101"/>
      <c r="C236" s="122"/>
      <c r="F236" s="28"/>
    </row>
    <row r="237" spans="1:16" x14ac:dyDescent="0.25">
      <c r="A237" s="98"/>
      <c r="F237" s="28"/>
    </row>
    <row r="238" spans="1:16" x14ac:dyDescent="0.25">
      <c r="A238" s="98"/>
      <c r="F238" s="28"/>
      <c r="G238" s="28"/>
      <c r="H238" s="28"/>
      <c r="I238" s="28"/>
      <c r="J238" s="28"/>
      <c r="K238" s="28"/>
      <c r="L238" s="28"/>
      <c r="M238" s="28"/>
      <c r="N238" s="28"/>
      <c r="O238" s="28"/>
      <c r="P238" s="28"/>
    </row>
    <row r="239" spans="1:16" x14ac:dyDescent="0.25">
      <c r="F239" s="28"/>
    </row>
    <row r="240" spans="1:16" x14ac:dyDescent="0.25">
      <c r="F240" s="28"/>
    </row>
    <row r="241" spans="1:6" x14ac:dyDescent="0.25">
      <c r="F241" s="28"/>
    </row>
    <row r="242" spans="1:6" x14ac:dyDescent="0.25">
      <c r="A242" s="31"/>
      <c r="F242" s="28"/>
    </row>
    <row r="243" spans="1:6" x14ac:dyDescent="0.25">
      <c r="F243" s="28"/>
    </row>
    <row r="244" spans="1:6" x14ac:dyDescent="0.25">
      <c r="A244" s="31"/>
      <c r="F244" s="28"/>
    </row>
    <row r="245" spans="1:6" x14ac:dyDescent="0.25">
      <c r="F245" s="28"/>
    </row>
    <row r="247" spans="1:6" ht="18.75" x14ac:dyDescent="0.3">
      <c r="A247" s="102"/>
    </row>
    <row r="248" spans="1:6" x14ac:dyDescent="0.25">
      <c r="A248" s="98"/>
    </row>
    <row r="249" spans="1:6" x14ac:dyDescent="0.25">
      <c r="A249" s="98"/>
      <c r="F249" s="28"/>
    </row>
    <row r="250" spans="1:6" x14ac:dyDescent="0.25">
      <c r="A250" s="98"/>
    </row>
    <row r="261" spans="2:3" x14ac:dyDescent="0.25">
      <c r="C261" s="141"/>
    </row>
    <row r="262" spans="2:3" x14ac:dyDescent="0.25">
      <c r="B262" s="121"/>
      <c r="C262" s="48"/>
    </row>
    <row r="263" spans="2:3" x14ac:dyDescent="0.25">
      <c r="B263" s="121"/>
      <c r="C263" s="48"/>
    </row>
    <row r="264" spans="2:3" x14ac:dyDescent="0.25">
      <c r="B264" s="121"/>
      <c r="C264" s="48"/>
    </row>
    <row r="265" spans="2:3" x14ac:dyDescent="0.25">
      <c r="B265" s="121"/>
      <c r="C265" s="48"/>
    </row>
    <row r="266" spans="2:3" x14ac:dyDescent="0.25">
      <c r="B266" s="121"/>
      <c r="C266" s="48"/>
    </row>
    <row r="792" spans="25:25" x14ac:dyDescent="0.25">
      <c r="Y792" s="445" t="s">
        <v>775</v>
      </c>
    </row>
    <row r="793" spans="25:25" x14ac:dyDescent="0.25">
      <c r="Y793" s="445" t="s">
        <v>776</v>
      </c>
    </row>
    <row r="794" spans="25:25" x14ac:dyDescent="0.25">
      <c r="Y794" s="445" t="s">
        <v>626</v>
      </c>
    </row>
    <row r="795" spans="25:25" x14ac:dyDescent="0.25">
      <c r="Y795" s="445" t="s">
        <v>627</v>
      </c>
    </row>
    <row r="796" spans="25:25" x14ac:dyDescent="0.25">
      <c r="Y796" s="445" t="s">
        <v>628</v>
      </c>
    </row>
    <row r="797" spans="25:25" x14ac:dyDescent="0.25">
      <c r="Y797" s="445" t="s">
        <v>629</v>
      </c>
    </row>
    <row r="798" spans="25:25" x14ac:dyDescent="0.25">
      <c r="Y798" s="445" t="s">
        <v>630</v>
      </c>
    </row>
    <row r="799" spans="25:25" x14ac:dyDescent="0.25">
      <c r="Y799" s="445" t="s">
        <v>631</v>
      </c>
    </row>
    <row r="800" spans="25:25" x14ac:dyDescent="0.25">
      <c r="Y800" s="445" t="s">
        <v>632</v>
      </c>
    </row>
    <row r="801" spans="25:25" x14ac:dyDescent="0.25">
      <c r="Y801" s="445" t="s">
        <v>633</v>
      </c>
    </row>
    <row r="802" spans="25:25" ht="30" x14ac:dyDescent="0.25">
      <c r="Y802" s="445" t="s">
        <v>634</v>
      </c>
    </row>
    <row r="803" spans="25:25" x14ac:dyDescent="0.25">
      <c r="Y803" s="445" t="s">
        <v>635</v>
      </c>
    </row>
    <row r="804" spans="25:25" x14ac:dyDescent="0.25">
      <c r="Y804" s="445" t="s">
        <v>636</v>
      </c>
    </row>
    <row r="805" spans="25:25" x14ac:dyDescent="0.25">
      <c r="Y805" s="445" t="s">
        <v>637</v>
      </c>
    </row>
    <row r="806" spans="25:25" x14ac:dyDescent="0.25">
      <c r="Y806" s="445" t="s">
        <v>638</v>
      </c>
    </row>
    <row r="807" spans="25:25" x14ac:dyDescent="0.25">
      <c r="Y807" s="445" t="s">
        <v>639</v>
      </c>
    </row>
    <row r="808" spans="25:25" x14ac:dyDescent="0.25">
      <c r="Y808" s="445" t="s">
        <v>640</v>
      </c>
    </row>
    <row r="809" spans="25:25" x14ac:dyDescent="0.25">
      <c r="Y809" s="445" t="s">
        <v>641</v>
      </c>
    </row>
    <row r="810" spans="25:25" x14ac:dyDescent="0.25">
      <c r="Y810" s="445" t="s">
        <v>642</v>
      </c>
    </row>
    <row r="811" spans="25:25" x14ac:dyDescent="0.25">
      <c r="Y811" s="445" t="s">
        <v>643</v>
      </c>
    </row>
    <row r="812" spans="25:25" x14ac:dyDescent="0.25">
      <c r="Y812" s="445" t="s">
        <v>644</v>
      </c>
    </row>
    <row r="813" spans="25:25" x14ac:dyDescent="0.25">
      <c r="Y813" s="445" t="s">
        <v>645</v>
      </c>
    </row>
    <row r="814" spans="25:25" x14ac:dyDescent="0.25">
      <c r="Y814" s="445" t="s">
        <v>646</v>
      </c>
    </row>
    <row r="815" spans="25:25" x14ac:dyDescent="0.25">
      <c r="Y815" s="445" t="s">
        <v>647</v>
      </c>
    </row>
    <row r="816" spans="25:25" x14ac:dyDescent="0.25">
      <c r="Y816" s="445" t="s">
        <v>648</v>
      </c>
    </row>
    <row r="817" spans="25:25" x14ac:dyDescent="0.25">
      <c r="Y817" s="445" t="s">
        <v>649</v>
      </c>
    </row>
    <row r="818" spans="25:25" x14ac:dyDescent="0.25">
      <c r="Y818" s="445" t="s">
        <v>650</v>
      </c>
    </row>
    <row r="819" spans="25:25" x14ac:dyDescent="0.25">
      <c r="Y819" s="445" t="s">
        <v>651</v>
      </c>
    </row>
    <row r="820" spans="25:25" x14ac:dyDescent="0.25">
      <c r="Y820" s="445" t="s">
        <v>652</v>
      </c>
    </row>
    <row r="821" spans="25:25" x14ac:dyDescent="0.25">
      <c r="Y821" s="445" t="s">
        <v>653</v>
      </c>
    </row>
    <row r="822" spans="25:25" x14ac:dyDescent="0.25">
      <c r="Y822" s="445" t="s">
        <v>654</v>
      </c>
    </row>
    <row r="823" spans="25:25" x14ac:dyDescent="0.25">
      <c r="Y823" s="445" t="s">
        <v>655</v>
      </c>
    </row>
    <row r="824" spans="25:25" x14ac:dyDescent="0.25">
      <c r="Y824" s="445" t="s">
        <v>656</v>
      </c>
    </row>
    <row r="825" spans="25:25" x14ac:dyDescent="0.25">
      <c r="Y825" s="445" t="s">
        <v>657</v>
      </c>
    </row>
    <row r="826" spans="25:25" x14ac:dyDescent="0.25">
      <c r="Y826" s="445" t="s">
        <v>658</v>
      </c>
    </row>
    <row r="827" spans="25:25" x14ac:dyDescent="0.25">
      <c r="Y827" s="445" t="s">
        <v>659</v>
      </c>
    </row>
    <row r="828" spans="25:25" x14ac:dyDescent="0.25">
      <c r="Y828" s="445" t="s">
        <v>660</v>
      </c>
    </row>
    <row r="829" spans="25:25" x14ac:dyDescent="0.25">
      <c r="Y829" s="445" t="s">
        <v>661</v>
      </c>
    </row>
    <row r="830" spans="25:25" x14ac:dyDescent="0.25">
      <c r="Y830" s="445" t="s">
        <v>662</v>
      </c>
    </row>
    <row r="831" spans="25:25" x14ac:dyDescent="0.25">
      <c r="Y831" s="445" t="s">
        <v>663</v>
      </c>
    </row>
    <row r="832" spans="25:25" x14ac:dyDescent="0.25">
      <c r="Y832" s="445" t="s">
        <v>664</v>
      </c>
    </row>
    <row r="833" spans="17:25" x14ac:dyDescent="0.25">
      <c r="Y833" s="445" t="s">
        <v>665</v>
      </c>
    </row>
    <row r="834" spans="17:25" x14ac:dyDescent="0.25">
      <c r="Y834" s="445" t="s">
        <v>666</v>
      </c>
    </row>
    <row r="835" spans="17:25" x14ac:dyDescent="0.25">
      <c r="Y835" s="445" t="s">
        <v>667</v>
      </c>
    </row>
    <row r="836" spans="17:25" x14ac:dyDescent="0.25">
      <c r="Y836" s="445" t="s">
        <v>668</v>
      </c>
    </row>
    <row r="837" spans="17:25" x14ac:dyDescent="0.25">
      <c r="Y837" s="445" t="s">
        <v>669</v>
      </c>
    </row>
    <row r="838" spans="17:25" s="1225" customFormat="1" x14ac:dyDescent="0.25">
      <c r="Q838" s="46"/>
      <c r="U838" s="99"/>
      <c r="Y838" s="445" t="s">
        <v>1415</v>
      </c>
    </row>
    <row r="839" spans="17:25" x14ac:dyDescent="0.25">
      <c r="Y839" s="445" t="s">
        <v>670</v>
      </c>
    </row>
    <row r="840" spans="17:25" x14ac:dyDescent="0.25">
      <c r="Y840" s="445" t="s">
        <v>671</v>
      </c>
    </row>
    <row r="841" spans="17:25" x14ac:dyDescent="0.25">
      <c r="Y841" s="445" t="s">
        <v>672</v>
      </c>
    </row>
    <row r="842" spans="17:25" x14ac:dyDescent="0.25">
      <c r="Y842" s="445" t="s">
        <v>673</v>
      </c>
    </row>
    <row r="843" spans="17:25" x14ac:dyDescent="0.25">
      <c r="Y843" s="445" t="s">
        <v>674</v>
      </c>
    </row>
    <row r="844" spans="17:25" x14ac:dyDescent="0.25">
      <c r="Y844" s="445" t="s">
        <v>675</v>
      </c>
    </row>
    <row r="845" spans="17:25" x14ac:dyDescent="0.25">
      <c r="Y845" s="445" t="s">
        <v>676</v>
      </c>
    </row>
  </sheetData>
  <sheetProtection password="DFD3" sheet="1" objects="1" scenarios="1"/>
  <dataConsolidate/>
  <mergeCells count="1">
    <mergeCell ref="D213:F217"/>
  </mergeCells>
  <conditionalFormatting sqref="B11">
    <cfRule type="expression" priority="4155">
      <formula>"if(B6=""Simple"")"</formula>
    </cfRule>
  </conditionalFormatting>
  <conditionalFormatting sqref="D10 E9">
    <cfRule type="colorScale" priority="4154">
      <colorScale>
        <cfvo type="formula" val="&quot;if(b6=&quot;&quot;Simple&quot;&quot;)&quot;"/>
        <cfvo type="max"/>
        <color rgb="FFFF7128"/>
        <color rgb="FFFFEF9C"/>
      </colorScale>
    </cfRule>
  </conditionalFormatting>
  <conditionalFormatting sqref="B28">
    <cfRule type="expression" dxfId="170" priority="4096">
      <formula>$B$11="Simple"</formula>
    </cfRule>
  </conditionalFormatting>
  <conditionalFormatting sqref="BB36:BB49 BD36:BD49 B36:B49 D36:D49">
    <cfRule type="expression" dxfId="169" priority="4141">
      <formula>$B$11="Simple"</formula>
    </cfRule>
    <cfRule type="expression" dxfId="168" priority="4149">
      <formula>$B$11="Simple"</formula>
    </cfRule>
  </conditionalFormatting>
  <conditionalFormatting sqref="A28 BA36:BF210 A213:F217 A33:F210">
    <cfRule type="expression" dxfId="167" priority="4140">
      <formula>$B$11="Simple"</formula>
    </cfRule>
  </conditionalFormatting>
  <conditionalFormatting sqref="A27:B27">
    <cfRule type="expression" dxfId="166" priority="4175">
      <formula>$B$11="Advanced"</formula>
    </cfRule>
  </conditionalFormatting>
  <conditionalFormatting sqref="A29:B30 B216 BA36:BF210 D32:F212 A32:C215">
    <cfRule type="expression" dxfId="165" priority="4186">
      <formula>$B$11="Simple"</formula>
    </cfRule>
  </conditionalFormatting>
  <conditionalFormatting sqref="BA118:BF124 A118:F124">
    <cfRule type="expression" dxfId="164" priority="4190">
      <formula>$B$18="Flash"</formula>
    </cfRule>
  </conditionalFormatting>
  <conditionalFormatting sqref="BA126:BF134 A126:F134">
    <cfRule type="expression" dxfId="163" priority="4192">
      <formula>$B$18="Binary"</formula>
    </cfRule>
  </conditionalFormatting>
  <conditionalFormatting sqref="A26:B26 BA92:BF108 A92:F108">
    <cfRule type="expression" dxfId="162" priority="4197">
      <formula>$B$17="Hydrothermal"</formula>
    </cfRule>
  </conditionalFormatting>
  <conditionalFormatting sqref="D21">
    <cfRule type="expression" dxfId="161" priority="1">
      <formula>$C$21="Model Derived"</formula>
    </cfRule>
  </conditionalFormatting>
  <dataValidations xWindow="235" yWindow="696" count="11">
    <dataValidation type="list" allowBlank="1" showInputMessage="1" showErrorMessage="1" error="You must choose a stimulation cost from the list." sqref="B26">
      <formula1>StimulationCosts</formula1>
    </dataValidation>
    <dataValidation type="list" allowBlank="1" showInputMessage="1" showErrorMessage="1" sqref="B28">
      <formula1>"Easy, Medium, Hard"</formula1>
    </dataValidation>
    <dataValidation type="list" allowBlank="1" showInputMessage="1" showErrorMessage="1" sqref="B27">
      <formula1>"Low, Medium, High"</formula1>
    </dataValidation>
    <dataValidation type="list" allowBlank="1" showInputMessage="1" showErrorMessage="1" sqref="C19">
      <formula1>"Celsius, Farenheit"</formula1>
    </dataValidation>
    <dataValidation type="list" allowBlank="1" showInputMessage="1" showErrorMessage="1" sqref="C20">
      <formula1>"Meters, Feet"</formula1>
    </dataValidation>
    <dataValidation type="list" allowBlank="1" showInputMessage="1" showErrorMessage="1" sqref="B18">
      <formula1>"Binary, Flash"</formula1>
    </dataValidation>
    <dataValidation type="list" allowBlank="1" showInputMessage="1" showErrorMessage="1" sqref="B17">
      <formula1>"Hydrothermal, EGS"</formula1>
    </dataValidation>
    <dataValidation type="list" allowBlank="1" showInputMessage="1" showErrorMessage="1" sqref="B11">
      <formula1>"Simple, Advanced"</formula1>
    </dataValidation>
    <dataValidation type="list" allowBlank="1" showInputMessage="1" showErrorMessage="1" sqref="B13">
      <formula1>Statelist</formula1>
    </dataValidation>
    <dataValidation allowBlank="1" showErrorMessage="1" promptTitle="Choose Default or Input Value" prompt="Use the drop down menu to select the default value in the top field or the second field to input a value. _x000a__x000a_Each change of a model paramter (depth, flow, temperature, etc. ) requires a manual update of this field if using the model derived value._x000a__x000a_" sqref="B21"/>
    <dataValidation type="list" allowBlank="1" showInputMessage="1" showErrorMessage="1" sqref="C21">
      <formula1>"Model Derived, Input Value"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771" r:id="rId4" name="Button 411">
              <controlPr defaultSize="0" print="0" autoFill="0" autoPict="0" macro="[0]!GoToSummaryResults">
                <anchor moveWithCells="1" sizeWithCells="1">
                  <from>
                    <xdr:col>3</xdr:col>
                    <xdr:colOff>95250</xdr:colOff>
                    <xdr:row>27</xdr:row>
                    <xdr:rowOff>57150</xdr:rowOff>
                  </from>
                  <to>
                    <xdr:col>4</xdr:col>
                    <xdr:colOff>1152525</xdr:colOff>
                    <xdr:row>29</xdr:row>
                    <xdr:rowOff>76200</xdr:rowOff>
                  </to>
                </anchor>
              </controlPr>
            </control>
          </mc:Choice>
        </mc:AlternateContent>
        <mc:AlternateContent xmlns:mc="http://schemas.openxmlformats.org/markup-compatibility/2006">
          <mc:Choice Requires="x14">
            <control shapeId="15828" r:id="rId5" name="Button 468">
              <controlPr defaultSize="0" print="0" autoFill="0" autoPict="0" macro="[0]!RestoreDefaultValues">
                <anchor moveWithCells="1" sizeWithCells="1">
                  <from>
                    <xdr:col>3</xdr:col>
                    <xdr:colOff>104775</xdr:colOff>
                    <xdr:row>30</xdr:row>
                    <xdr:rowOff>76200</xdr:rowOff>
                  </from>
                  <to>
                    <xdr:col>4</xdr:col>
                    <xdr:colOff>1152525</xdr:colOff>
                    <xdr:row>32</xdr:row>
                    <xdr:rowOff>104775</xdr:rowOff>
                  </to>
                </anchor>
              </controlPr>
            </control>
          </mc:Choice>
        </mc:AlternateContent>
        <mc:AlternateContent xmlns:mc="http://schemas.openxmlformats.org/markup-compatibility/2006">
          <mc:Choice Requires="x14">
            <control shapeId="15830" r:id="rId6" name="Button 470">
              <controlPr defaultSize="0" print="0" autoFill="0" autoPict="0" macro="[0]!GoToSummaryResults">
                <anchor moveWithCells="1" sizeWithCells="1">
                  <from>
                    <xdr:col>3</xdr:col>
                    <xdr:colOff>19050</xdr:colOff>
                    <xdr:row>206</xdr:row>
                    <xdr:rowOff>66675</xdr:rowOff>
                  </from>
                  <to>
                    <xdr:col>4</xdr:col>
                    <xdr:colOff>1076325</xdr:colOff>
                    <xdr:row>208</xdr:row>
                    <xdr:rowOff>85725</xdr:rowOff>
                  </to>
                </anchor>
              </controlPr>
            </control>
          </mc:Choice>
        </mc:AlternateContent>
        <mc:AlternateContent xmlns:mc="http://schemas.openxmlformats.org/markup-compatibility/2006">
          <mc:Choice Requires="x14">
            <control shapeId="15831" r:id="rId7" name="Button 471">
              <controlPr defaultSize="0" print="0" autoFill="0" autoPict="0" macro="[0]!RestoreDefaultValues">
                <anchor moveWithCells="1" sizeWithCells="1">
                  <from>
                    <xdr:col>3</xdr:col>
                    <xdr:colOff>38100</xdr:colOff>
                    <xdr:row>209</xdr:row>
                    <xdr:rowOff>66675</xdr:rowOff>
                  </from>
                  <to>
                    <xdr:col>4</xdr:col>
                    <xdr:colOff>1085850</xdr:colOff>
                    <xdr:row>211</xdr:row>
                    <xdr:rowOff>95250</xdr:rowOff>
                  </to>
                </anchor>
              </controlPr>
            </control>
          </mc:Choice>
        </mc:AlternateContent>
        <mc:AlternateContent xmlns:mc="http://schemas.openxmlformats.org/markup-compatibility/2006">
          <mc:Choice Requires="x14">
            <control shapeId="15877" r:id="rId8" name="Button 517">
              <controlPr defaultSize="0" print="0" autoFill="0" autoPict="0" macro="[0]!StartAnalysis">
                <anchor moveWithCells="1" sizeWithCells="1">
                  <from>
                    <xdr:col>3</xdr:col>
                    <xdr:colOff>19050</xdr:colOff>
                    <xdr:row>203</xdr:row>
                    <xdr:rowOff>66675</xdr:rowOff>
                  </from>
                  <to>
                    <xdr:col>4</xdr:col>
                    <xdr:colOff>1076325</xdr:colOff>
                    <xdr:row>205</xdr:row>
                    <xdr:rowOff>85725</xdr:rowOff>
                  </to>
                </anchor>
              </controlPr>
            </control>
          </mc:Choice>
        </mc:AlternateContent>
        <mc:AlternateContent xmlns:mc="http://schemas.openxmlformats.org/markup-compatibility/2006">
          <mc:Choice Requires="x14">
            <control shapeId="15878" r:id="rId9" name="Button 518">
              <controlPr defaultSize="0" print="0" autoFill="0" autoPict="0" macro="[0]!RestoreDefaultValues2">
                <anchor moveWithCells="1" sizeWithCells="1">
                  <from>
                    <xdr:col>4</xdr:col>
                    <xdr:colOff>1304925</xdr:colOff>
                    <xdr:row>30</xdr:row>
                    <xdr:rowOff>85725</xdr:rowOff>
                  </from>
                  <to>
                    <xdr:col>6</xdr:col>
                    <xdr:colOff>495300</xdr:colOff>
                    <xdr:row>32</xdr:row>
                    <xdr:rowOff>114300</xdr:rowOff>
                  </to>
                </anchor>
              </controlPr>
            </control>
          </mc:Choice>
        </mc:AlternateContent>
        <mc:AlternateContent xmlns:mc="http://schemas.openxmlformats.org/markup-compatibility/2006">
          <mc:Choice Requires="x14">
            <control shapeId="15879" r:id="rId10" name="Button 519">
              <controlPr defaultSize="0" print="0" autoFill="0" autoPict="0" macro="[0]!RestoreDefaultValues2">
                <anchor moveWithCells="1" sizeWithCells="1">
                  <from>
                    <xdr:col>4</xdr:col>
                    <xdr:colOff>1228725</xdr:colOff>
                    <xdr:row>209</xdr:row>
                    <xdr:rowOff>66675</xdr:rowOff>
                  </from>
                  <to>
                    <xdr:col>6</xdr:col>
                    <xdr:colOff>419100</xdr:colOff>
                    <xdr:row>211</xdr:row>
                    <xdr:rowOff>95250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B050"/>
    <pageSetUpPr autoPageBreaks="0"/>
  </sheetPr>
  <dimension ref="A1:BF248"/>
  <sheetViews>
    <sheetView zoomScale="85" zoomScaleNormal="85" workbookViewId="0">
      <selection activeCell="T1" sqref="T1"/>
    </sheetView>
  </sheetViews>
  <sheetFormatPr defaultColWidth="51.7109375" defaultRowHeight="15" x14ac:dyDescent="0.25"/>
  <cols>
    <col min="1" max="1" width="45.85546875" style="219" customWidth="1"/>
    <col min="2" max="2" width="16.85546875" style="219" customWidth="1"/>
    <col min="3" max="3" width="35.28515625" style="219" customWidth="1"/>
    <col min="4" max="4" width="16.5703125" style="219" customWidth="1"/>
    <col min="5" max="5" width="18" style="219" customWidth="1"/>
    <col min="6" max="6" width="31.42578125" style="219" customWidth="1"/>
    <col min="7" max="10" width="10.7109375" style="219" customWidth="1"/>
    <col min="11" max="18" width="10.7109375" style="489" customWidth="1"/>
    <col min="19" max="53" width="10.7109375" style="219" customWidth="1"/>
    <col min="54" max="54" width="39.7109375" style="219" customWidth="1"/>
    <col min="55" max="55" width="13.28515625" style="219" customWidth="1"/>
    <col min="56" max="56" width="36.5703125" style="219" customWidth="1"/>
    <col min="57" max="57" width="12" style="219" customWidth="1"/>
    <col min="58" max="58" width="10.28515625" style="219" customWidth="1"/>
    <col min="59" max="16384" width="51.7109375" style="219"/>
  </cols>
  <sheetData>
    <row r="1" spans="1:58" ht="18" x14ac:dyDescent="0.25">
      <c r="A1" s="743" t="str">
        <f>CONCATENATE("Geothermal Plant - Project Data Summary (based on ",ProjectData!B11," analysis)")</f>
        <v>Geothermal Plant - Project Data Summary (based on Advanced analysis)</v>
      </c>
      <c r="B1" s="686"/>
      <c r="C1" s="687"/>
      <c r="D1" s="687"/>
      <c r="E1" s="687"/>
      <c r="F1" s="687"/>
      <c r="G1" s="687"/>
      <c r="H1" s="687"/>
      <c r="I1" s="687"/>
      <c r="J1" s="687"/>
      <c r="K1" s="688"/>
      <c r="L1" s="688"/>
      <c r="M1" s="688"/>
      <c r="N1" s="688"/>
      <c r="O1" s="688"/>
      <c r="P1" s="688"/>
      <c r="Q1" s="688"/>
      <c r="R1" s="688"/>
      <c r="S1" s="688"/>
      <c r="T1" s="688"/>
      <c r="U1" s="688"/>
      <c r="V1" s="688"/>
      <c r="W1" s="688"/>
      <c r="X1" s="688"/>
      <c r="BB1" s="960" t="str">
        <f>A1</f>
        <v>Geothermal Plant - Project Data Summary (based on Advanced analysis)</v>
      </c>
      <c r="BC1" s="489"/>
      <c r="BE1" s="690"/>
      <c r="BF1" s="691"/>
    </row>
    <row r="2" spans="1:58" ht="18" x14ac:dyDescent="0.25">
      <c r="A2" s="743"/>
      <c r="B2" s="686"/>
      <c r="C2" s="687"/>
      <c r="D2" s="687"/>
      <c r="E2" s="687"/>
      <c r="F2" s="687"/>
      <c r="G2" s="687"/>
      <c r="H2" s="687"/>
      <c r="I2" s="687"/>
      <c r="J2" s="687"/>
      <c r="K2" s="688"/>
      <c r="L2" s="688"/>
      <c r="M2" s="688"/>
      <c r="N2" s="688"/>
      <c r="O2" s="688"/>
      <c r="P2" s="688"/>
      <c r="Q2" s="688"/>
      <c r="R2" s="688"/>
      <c r="S2" s="688"/>
      <c r="T2" s="688"/>
      <c r="U2" s="688"/>
      <c r="V2" s="688"/>
      <c r="W2" s="688"/>
      <c r="X2" s="688"/>
      <c r="BB2" s="689"/>
      <c r="BC2" s="489"/>
      <c r="BE2" s="690"/>
      <c r="BF2" s="691"/>
    </row>
    <row r="3" spans="1:58" x14ac:dyDescent="0.25">
      <c r="A3" s="309" t="s">
        <v>144</v>
      </c>
      <c r="B3" s="738" t="str">
        <f>ProjectData!B13</f>
        <v>IDAHO</v>
      </c>
      <c r="C3" s="706"/>
      <c r="D3" s="305"/>
      <c r="E3" s="305"/>
      <c r="F3" s="694"/>
      <c r="G3" s="687"/>
      <c r="H3" s="687"/>
      <c r="I3" s="687"/>
      <c r="J3" s="687"/>
      <c r="K3" s="688"/>
      <c r="L3" s="688"/>
      <c r="M3" s="688"/>
      <c r="N3" s="688"/>
      <c r="O3" s="688"/>
      <c r="P3" s="688"/>
      <c r="Q3" s="688"/>
      <c r="R3" s="688"/>
      <c r="S3" s="688"/>
      <c r="T3" s="688"/>
      <c r="U3" s="688"/>
      <c r="V3" s="688"/>
      <c r="W3" s="688"/>
      <c r="X3" s="688"/>
      <c r="BB3" s="963" t="s">
        <v>144</v>
      </c>
      <c r="BC3" s="969" t="str">
        <f>B3</f>
        <v>IDAHO</v>
      </c>
      <c r="BD3" s="695"/>
      <c r="BE3" s="961"/>
      <c r="BF3" s="691"/>
    </row>
    <row r="4" spans="1:58" x14ac:dyDescent="0.25">
      <c r="A4" s="309" t="s">
        <v>142</v>
      </c>
      <c r="B4" s="738">
        <f>ProjectData!B14</f>
        <v>2010</v>
      </c>
      <c r="C4" s="706" t="s">
        <v>419</v>
      </c>
      <c r="D4" s="739">
        <f>ProjectData!G18</f>
        <v>4592.8513173691908</v>
      </c>
      <c r="E4" s="739"/>
      <c r="F4" s="694"/>
      <c r="G4" s="687"/>
      <c r="H4" s="687"/>
      <c r="I4" s="687"/>
      <c r="J4" s="687"/>
      <c r="K4" s="688"/>
      <c r="L4" s="688"/>
      <c r="M4" s="688"/>
      <c r="N4" s="688"/>
      <c r="O4" s="688"/>
      <c r="P4" s="688"/>
      <c r="Q4" s="688"/>
      <c r="R4" s="688"/>
      <c r="S4" s="688"/>
      <c r="T4" s="688"/>
      <c r="U4" s="688"/>
      <c r="V4" s="688"/>
      <c r="W4" s="688"/>
      <c r="X4" s="688"/>
      <c r="BB4" s="964" t="s">
        <v>142</v>
      </c>
      <c r="BC4" s="969">
        <f t="shared" ref="BC4:BE17" si="0">B4</f>
        <v>2010</v>
      </c>
      <c r="BD4" s="507" t="s">
        <v>419</v>
      </c>
      <c r="BE4" s="971">
        <f t="shared" si="0"/>
        <v>4592.8513173691908</v>
      </c>
      <c r="BF4" s="691"/>
    </row>
    <row r="5" spans="1:58" x14ac:dyDescent="0.25">
      <c r="A5" s="325" t="s">
        <v>1019</v>
      </c>
      <c r="B5" s="738">
        <f>ProjectData!B15</f>
        <v>21</v>
      </c>
      <c r="C5" s="736" t="s">
        <v>1142</v>
      </c>
      <c r="D5" s="739">
        <f>ProjectData!G17</f>
        <v>150.86742170435937</v>
      </c>
      <c r="E5" s="739"/>
      <c r="F5" s="694"/>
      <c r="G5" s="687"/>
      <c r="H5" s="687"/>
      <c r="I5" s="687"/>
      <c r="J5" s="687"/>
      <c r="K5" s="688"/>
      <c r="L5" s="688"/>
      <c r="M5" s="688"/>
      <c r="N5" s="688"/>
      <c r="O5" s="688"/>
      <c r="P5" s="688"/>
      <c r="Q5" s="688"/>
      <c r="R5" s="688"/>
      <c r="S5" s="688"/>
      <c r="T5" s="688"/>
      <c r="U5" s="688"/>
      <c r="V5" s="688"/>
      <c r="W5" s="688"/>
      <c r="X5" s="688"/>
      <c r="BB5" s="964" t="s">
        <v>1019</v>
      </c>
      <c r="BC5" s="969">
        <f t="shared" si="0"/>
        <v>21</v>
      </c>
      <c r="BD5" s="507" t="s">
        <v>1142</v>
      </c>
      <c r="BE5" s="971">
        <f t="shared" si="0"/>
        <v>150.86742170435937</v>
      </c>
      <c r="BF5" s="691"/>
    </row>
    <row r="6" spans="1:58" x14ac:dyDescent="0.25">
      <c r="A6" s="309" t="s">
        <v>1390</v>
      </c>
      <c r="B6" s="779">
        <f>ProjectData!B16</f>
        <v>10</v>
      </c>
      <c r="C6" s="780" t="s">
        <v>971</v>
      </c>
      <c r="D6" s="309">
        <f>ProjectData!B31</f>
        <v>2010</v>
      </c>
      <c r="E6" s="309"/>
      <c r="F6" s="694"/>
      <c r="G6" s="687"/>
      <c r="H6" s="687"/>
      <c r="I6" s="687"/>
      <c r="J6" s="687"/>
      <c r="K6" s="688"/>
      <c r="L6" s="688"/>
      <c r="M6" s="688"/>
      <c r="N6" s="688"/>
      <c r="O6" s="688"/>
      <c r="P6" s="688"/>
      <c r="Q6" s="688"/>
      <c r="R6" s="688"/>
      <c r="S6" s="688"/>
      <c r="T6" s="688"/>
      <c r="U6" s="688"/>
      <c r="V6" s="688"/>
      <c r="W6" s="688"/>
      <c r="X6" s="688"/>
      <c r="BB6" s="963" t="s">
        <v>500</v>
      </c>
      <c r="BC6" s="969">
        <f t="shared" si="0"/>
        <v>10</v>
      </c>
      <c r="BD6" s="962" t="s">
        <v>971</v>
      </c>
      <c r="BE6" s="1016">
        <f t="shared" si="0"/>
        <v>2010</v>
      </c>
      <c r="BF6" s="691"/>
    </row>
    <row r="7" spans="1:58" x14ac:dyDescent="0.25">
      <c r="A7" s="309" t="s">
        <v>1017</v>
      </c>
      <c r="B7" s="778">
        <f>ProjectData!G13</f>
        <v>12.226195879750069</v>
      </c>
      <c r="C7" s="781" t="s">
        <v>972</v>
      </c>
      <c r="D7" s="739">
        <f>ProjectData!G14</f>
        <v>45928513.173691906</v>
      </c>
      <c r="E7" s="739"/>
      <c r="F7" s="694"/>
      <c r="G7" s="687"/>
      <c r="H7" s="687"/>
      <c r="I7" s="687"/>
      <c r="J7" s="687"/>
      <c r="K7" s="688"/>
      <c r="L7" s="688"/>
      <c r="M7" s="688"/>
      <c r="N7" s="688"/>
      <c r="O7" s="688"/>
      <c r="P7" s="688"/>
      <c r="Q7" s="688"/>
      <c r="R7" s="688"/>
      <c r="S7" s="688"/>
      <c r="T7" s="688"/>
      <c r="U7" s="688"/>
      <c r="V7" s="688"/>
      <c r="W7" s="688"/>
      <c r="X7" s="688"/>
      <c r="BB7" s="963" t="s">
        <v>1017</v>
      </c>
      <c r="BC7" s="969">
        <f t="shared" si="0"/>
        <v>12.226195879750069</v>
      </c>
      <c r="BD7" s="507" t="s">
        <v>972</v>
      </c>
      <c r="BE7" s="971">
        <f t="shared" si="0"/>
        <v>45928513.173691906</v>
      </c>
      <c r="BF7" s="691"/>
    </row>
    <row r="8" spans="1:58" x14ac:dyDescent="0.25">
      <c r="A8" s="309" t="s">
        <v>1039</v>
      </c>
      <c r="B8" s="738" t="str">
        <f>ProjectData!B17</f>
        <v>Hydrothermal</v>
      </c>
      <c r="C8" s="781" t="s">
        <v>973</v>
      </c>
      <c r="D8" s="739">
        <f>Calculations!N101</f>
        <v>10836118.103173165</v>
      </c>
      <c r="E8" s="739"/>
      <c r="F8" s="694"/>
      <c r="G8" s="687"/>
      <c r="H8" s="687"/>
      <c r="I8" s="687"/>
      <c r="J8" s="687"/>
      <c r="K8" s="688"/>
      <c r="L8" s="688"/>
      <c r="M8" s="688"/>
      <c r="N8" s="688"/>
      <c r="O8" s="688"/>
      <c r="P8" s="688"/>
      <c r="Q8" s="688"/>
      <c r="R8" s="688"/>
      <c r="S8" s="688"/>
      <c r="T8" s="688"/>
      <c r="U8" s="688"/>
      <c r="V8" s="688"/>
      <c r="W8" s="688"/>
      <c r="X8" s="688"/>
      <c r="BB8" s="965" t="s">
        <v>1039</v>
      </c>
      <c r="BC8" s="969" t="str">
        <f t="shared" si="0"/>
        <v>Hydrothermal</v>
      </c>
      <c r="BD8" s="507" t="s">
        <v>973</v>
      </c>
      <c r="BE8" s="971">
        <f t="shared" si="0"/>
        <v>10836118.103173165</v>
      </c>
      <c r="BF8" s="691"/>
    </row>
    <row r="9" spans="1:58" x14ac:dyDescent="0.25">
      <c r="A9" s="309" t="s">
        <v>272</v>
      </c>
      <c r="B9" s="738" t="str">
        <f>ProjectData!B18</f>
        <v>Binary</v>
      </c>
      <c r="C9" s="781" t="s">
        <v>974</v>
      </c>
      <c r="D9" s="739">
        <f>Calculations!C134+Calculations!C127</f>
        <v>14951952.908039041</v>
      </c>
      <c r="E9" s="739"/>
      <c r="F9" s="694"/>
      <c r="G9" s="687"/>
      <c r="H9" s="687"/>
      <c r="I9" s="687"/>
      <c r="J9" s="687"/>
      <c r="K9" s="688"/>
      <c r="L9" s="688"/>
      <c r="M9" s="688"/>
      <c r="N9" s="688"/>
      <c r="O9" s="688"/>
      <c r="P9" s="688"/>
      <c r="Q9" s="688"/>
      <c r="R9" s="688"/>
      <c r="S9" s="688"/>
      <c r="T9" s="688"/>
      <c r="U9" s="688"/>
      <c r="V9" s="688"/>
      <c r="W9" s="688"/>
      <c r="X9" s="688"/>
      <c r="BB9" s="966" t="s">
        <v>272</v>
      </c>
      <c r="BC9" s="969" t="str">
        <f t="shared" si="0"/>
        <v>Binary</v>
      </c>
      <c r="BD9" s="507" t="s">
        <v>974</v>
      </c>
      <c r="BE9" s="971">
        <f t="shared" si="0"/>
        <v>14951952.908039041</v>
      </c>
      <c r="BF9" s="691"/>
    </row>
    <row r="10" spans="1:58" x14ac:dyDescent="0.25">
      <c r="A10" s="309" t="str">
        <f>CONCATENATE("Resource Temperature (degrees ",ProjectData!$C$19,")")</f>
        <v>Resource Temperature (degrees Celsius)</v>
      </c>
      <c r="B10" s="738">
        <f>ProjectData!B19</f>
        <v>200</v>
      </c>
      <c r="C10" s="781" t="s">
        <v>975</v>
      </c>
      <c r="D10" s="739">
        <f>Calculations!C127</f>
        <v>2188935.1314430134</v>
      </c>
      <c r="E10" s="739"/>
      <c r="F10" s="694"/>
      <c r="G10" s="687"/>
      <c r="H10" s="687"/>
      <c r="I10" s="687"/>
      <c r="J10" s="687"/>
      <c r="K10" s="688"/>
      <c r="L10" s="688"/>
      <c r="M10" s="688"/>
      <c r="N10" s="688"/>
      <c r="O10" s="688"/>
      <c r="P10" s="688"/>
      <c r="Q10" s="688"/>
      <c r="R10" s="688"/>
      <c r="S10" s="688"/>
      <c r="T10" s="688"/>
      <c r="U10" s="688"/>
      <c r="V10" s="688"/>
      <c r="W10" s="688"/>
      <c r="X10" s="688"/>
      <c r="BB10" s="966" t="s">
        <v>1346</v>
      </c>
      <c r="BC10" s="969">
        <f t="shared" si="0"/>
        <v>200</v>
      </c>
      <c r="BD10" s="507" t="s">
        <v>975</v>
      </c>
      <c r="BE10" s="971">
        <f t="shared" si="0"/>
        <v>2188935.1314430134</v>
      </c>
      <c r="BF10" s="691"/>
    </row>
    <row r="11" spans="1:58" x14ac:dyDescent="0.25">
      <c r="A11" s="309" t="str">
        <f>CONCATENATE("Resource Depth (",ProjectData!$C$20,")")</f>
        <v>Resource Depth (Meters)</v>
      </c>
      <c r="B11" s="738">
        <f>ProjectData!B20</f>
        <v>2250</v>
      </c>
      <c r="C11" s="781" t="s">
        <v>976</v>
      </c>
      <c r="D11" s="739">
        <f>Calculations!F127</f>
        <v>1037682.3960194002</v>
      </c>
      <c r="E11" s="739"/>
      <c r="F11" s="698"/>
      <c r="G11" s="687"/>
      <c r="H11" s="687"/>
      <c r="I11" s="687"/>
      <c r="J11" s="687"/>
      <c r="K11" s="688"/>
      <c r="L11" s="688"/>
      <c r="M11" s="688"/>
      <c r="N11" s="688"/>
      <c r="O11" s="688"/>
      <c r="P11" s="688"/>
      <c r="Q11" s="688"/>
      <c r="R11" s="688"/>
      <c r="S11" s="688"/>
      <c r="T11" s="688"/>
      <c r="U11" s="688"/>
      <c r="V11" s="688"/>
      <c r="W11" s="688"/>
      <c r="X11" s="688"/>
      <c r="BB11" s="967" t="s">
        <v>1347</v>
      </c>
      <c r="BC11" s="969">
        <f t="shared" si="0"/>
        <v>2250</v>
      </c>
      <c r="BD11" s="507" t="s">
        <v>976</v>
      </c>
      <c r="BE11" s="971">
        <f t="shared" si="0"/>
        <v>1037682.3960194002</v>
      </c>
      <c r="BF11" s="691"/>
    </row>
    <row r="12" spans="1:58" x14ac:dyDescent="0.25">
      <c r="A12" s="309" t="s">
        <v>729</v>
      </c>
      <c r="B12" s="738">
        <f>ProjectData!B23</f>
        <v>2</v>
      </c>
      <c r="C12" s="781" t="s">
        <v>977</v>
      </c>
      <c r="D12" s="739">
        <f>Calculations!C134</f>
        <v>12763017.776596028</v>
      </c>
      <c r="E12" s="739"/>
      <c r="F12" s="698"/>
      <c r="G12" s="687"/>
      <c r="H12" s="687"/>
      <c r="I12" s="687"/>
      <c r="J12" s="687"/>
      <c r="K12" s="688"/>
      <c r="L12" s="688"/>
      <c r="M12" s="688"/>
      <c r="N12" s="688"/>
      <c r="O12" s="688"/>
      <c r="P12" s="688"/>
      <c r="Q12" s="688"/>
      <c r="R12" s="688"/>
      <c r="S12" s="688"/>
      <c r="T12" s="688"/>
      <c r="U12" s="688"/>
      <c r="V12" s="688"/>
      <c r="W12" s="688"/>
      <c r="X12" s="688"/>
      <c r="BB12" s="967" t="s">
        <v>729</v>
      </c>
      <c r="BC12" s="969">
        <f t="shared" si="0"/>
        <v>2</v>
      </c>
      <c r="BD12" s="507" t="s">
        <v>977</v>
      </c>
      <c r="BE12" s="971">
        <f t="shared" si="0"/>
        <v>12763017.776596028</v>
      </c>
      <c r="BF12" s="691"/>
    </row>
    <row r="13" spans="1:58" x14ac:dyDescent="0.25">
      <c r="A13" s="309" t="s">
        <v>1015</v>
      </c>
      <c r="B13" s="738">
        <f>ProjectData!G19</f>
        <v>1.8639767008858921</v>
      </c>
      <c r="C13" s="781" t="s">
        <v>976</v>
      </c>
      <c r="D13" s="739">
        <f>Calculations!F134</f>
        <v>0</v>
      </c>
      <c r="E13" s="739"/>
      <c r="F13" s="698"/>
      <c r="G13" s="687"/>
      <c r="H13" s="687"/>
      <c r="I13" s="687"/>
      <c r="J13" s="687"/>
      <c r="K13" s="688"/>
      <c r="L13" s="688"/>
      <c r="M13" s="688"/>
      <c r="N13" s="688"/>
      <c r="O13" s="688"/>
      <c r="P13" s="688"/>
      <c r="Q13" s="688"/>
      <c r="R13" s="688"/>
      <c r="S13" s="688"/>
      <c r="T13" s="688"/>
      <c r="U13" s="688"/>
      <c r="V13" s="688"/>
      <c r="W13" s="688"/>
      <c r="X13" s="688"/>
      <c r="BB13" s="967" t="s">
        <v>1015</v>
      </c>
      <c r="BC13" s="969">
        <f t="shared" si="0"/>
        <v>1.8639767008858921</v>
      </c>
      <c r="BD13" s="507" t="s">
        <v>976</v>
      </c>
      <c r="BE13" s="971">
        <f t="shared" si="0"/>
        <v>0</v>
      </c>
      <c r="BF13" s="691"/>
    </row>
    <row r="14" spans="1:58" x14ac:dyDescent="0.25">
      <c r="A14" s="309" t="s">
        <v>1016</v>
      </c>
      <c r="B14" s="738">
        <f>ProjectData!G20</f>
        <v>0.93198835044294603</v>
      </c>
      <c r="C14" s="781" t="s">
        <v>978</v>
      </c>
      <c r="D14" s="739">
        <f>Calculations!F129+Calculations!F130+Calculations!F131</f>
        <v>0</v>
      </c>
      <c r="E14" s="739"/>
      <c r="F14" s="698"/>
      <c r="G14" s="687"/>
      <c r="H14" s="687"/>
      <c r="I14" s="687"/>
      <c r="J14" s="687"/>
      <c r="K14" s="688"/>
      <c r="L14" s="688"/>
      <c r="M14" s="688"/>
      <c r="N14" s="688"/>
      <c r="O14" s="688"/>
      <c r="P14" s="688"/>
      <c r="Q14" s="688"/>
      <c r="R14" s="688"/>
      <c r="S14" s="688"/>
      <c r="T14" s="688"/>
      <c r="U14" s="688"/>
      <c r="V14" s="688"/>
      <c r="W14" s="688"/>
      <c r="X14" s="688"/>
      <c r="BB14" s="968" t="s">
        <v>1016</v>
      </c>
      <c r="BC14" s="969">
        <f t="shared" si="0"/>
        <v>0.93198835044294603</v>
      </c>
      <c r="BD14" s="507" t="s">
        <v>978</v>
      </c>
      <c r="BE14" s="971">
        <f t="shared" si="0"/>
        <v>0</v>
      </c>
      <c r="BF14" s="691"/>
    </row>
    <row r="15" spans="1:58" x14ac:dyDescent="0.25">
      <c r="A15" s="309" t="s">
        <v>1381</v>
      </c>
      <c r="B15" s="738">
        <f>ProjectData!B25</f>
        <v>80</v>
      </c>
      <c r="C15" s="781" t="s">
        <v>979</v>
      </c>
      <c r="D15" s="739">
        <f>Calculations!F132</f>
        <v>0</v>
      </c>
      <c r="E15" s="739"/>
      <c r="F15" s="698"/>
      <c r="G15" s="687"/>
      <c r="H15" s="687"/>
      <c r="I15" s="687"/>
      <c r="J15" s="687"/>
      <c r="K15" s="688"/>
      <c r="L15" s="688"/>
      <c r="M15" s="688"/>
      <c r="N15" s="688"/>
      <c r="O15" s="688"/>
      <c r="P15" s="688"/>
      <c r="Q15" s="688"/>
      <c r="R15" s="688"/>
      <c r="S15" s="688"/>
      <c r="T15" s="688"/>
      <c r="U15" s="688"/>
      <c r="V15" s="688"/>
      <c r="W15" s="688"/>
      <c r="X15" s="688"/>
      <c r="BB15" s="963" t="s">
        <v>451</v>
      </c>
      <c r="BC15" s="969">
        <f t="shared" si="0"/>
        <v>80</v>
      </c>
      <c r="BD15" s="507" t="s">
        <v>979</v>
      </c>
      <c r="BE15" s="971">
        <f t="shared" si="0"/>
        <v>0</v>
      </c>
      <c r="BF15" s="691"/>
    </row>
    <row r="16" spans="1:58" x14ac:dyDescent="0.25">
      <c r="A16" s="309" t="s">
        <v>1391</v>
      </c>
      <c r="B16" s="740">
        <f>ProjectData!G21</f>
        <v>634930.55999999994</v>
      </c>
      <c r="C16" s="781" t="s">
        <v>980</v>
      </c>
      <c r="D16" s="739">
        <f>Calculations!F133</f>
        <v>0</v>
      </c>
      <c r="E16" s="739"/>
      <c r="F16" s="698"/>
      <c r="G16" s="687"/>
      <c r="H16" s="687"/>
      <c r="I16" s="687"/>
      <c r="J16" s="687"/>
      <c r="K16" s="688"/>
      <c r="L16" s="688"/>
      <c r="M16" s="688"/>
      <c r="N16" s="688"/>
      <c r="O16" s="688"/>
      <c r="P16" s="688"/>
      <c r="Q16" s="688"/>
      <c r="R16" s="688"/>
      <c r="S16" s="688"/>
      <c r="T16" s="688"/>
      <c r="U16" s="688"/>
      <c r="V16" s="688"/>
      <c r="W16" s="688"/>
      <c r="X16" s="688"/>
      <c r="BB16" s="963" t="s">
        <v>1332</v>
      </c>
      <c r="BC16" s="970">
        <f t="shared" si="0"/>
        <v>634930.55999999994</v>
      </c>
      <c r="BD16" s="507" t="s">
        <v>980</v>
      </c>
      <c r="BE16" s="971">
        <f t="shared" si="0"/>
        <v>0</v>
      </c>
      <c r="BF16" s="691"/>
    </row>
    <row r="17" spans="1:58" x14ac:dyDescent="0.25">
      <c r="A17" s="309" t="s">
        <v>471</v>
      </c>
      <c r="B17" s="740">
        <f>ProjectData!G22</f>
        <v>1183495.7705204319</v>
      </c>
      <c r="C17" s="697"/>
      <c r="D17" s="305"/>
      <c r="E17" s="305"/>
      <c r="F17" s="698"/>
      <c r="G17" s="687"/>
      <c r="H17" s="687"/>
      <c r="I17" s="687"/>
      <c r="J17" s="687"/>
      <c r="K17" s="688"/>
      <c r="L17" s="688"/>
      <c r="M17" s="688"/>
      <c r="N17" s="688"/>
      <c r="O17" s="688"/>
      <c r="P17" s="688"/>
      <c r="Q17" s="688"/>
      <c r="R17" s="688"/>
      <c r="S17" s="688"/>
      <c r="T17" s="688"/>
      <c r="U17" s="688"/>
      <c r="V17" s="688"/>
      <c r="W17" s="688"/>
      <c r="X17" s="688"/>
      <c r="BB17" s="963" t="s">
        <v>471</v>
      </c>
      <c r="BC17" s="970">
        <f t="shared" si="0"/>
        <v>1183495.7705204319</v>
      </c>
      <c r="BD17" s="699"/>
      <c r="BE17" s="357"/>
      <c r="BF17" s="691"/>
    </row>
    <row r="18" spans="1:58" x14ac:dyDescent="0.25">
      <c r="A18" s="744"/>
      <c r="B18" s="309"/>
      <c r="C18" s="697"/>
      <c r="D18" s="305"/>
      <c r="E18" s="305"/>
      <c r="F18" s="698"/>
      <c r="G18" s="687"/>
      <c r="H18" s="687"/>
      <c r="I18" s="687"/>
      <c r="J18" s="687"/>
      <c r="K18" s="688"/>
      <c r="L18" s="688"/>
      <c r="M18" s="688"/>
      <c r="N18" s="688"/>
      <c r="O18" s="688"/>
      <c r="P18" s="688"/>
      <c r="Q18" s="688"/>
      <c r="R18" s="688"/>
      <c r="S18" s="688"/>
      <c r="T18" s="688"/>
      <c r="U18" s="688"/>
      <c r="V18" s="688"/>
      <c r="W18" s="688"/>
      <c r="X18" s="688"/>
      <c r="BB18" s="492"/>
      <c r="BC18" s="360"/>
      <c r="BD18" s="699"/>
      <c r="BE18" s="357"/>
      <c r="BF18" s="691"/>
    </row>
    <row r="19" spans="1:58" x14ac:dyDescent="0.25">
      <c r="A19" s="693" t="s">
        <v>724</v>
      </c>
      <c r="B19" s="700"/>
      <c r="C19" s="701"/>
      <c r="D19" s="687"/>
      <c r="E19" s="705"/>
      <c r="F19" s="698"/>
      <c r="G19" s="687"/>
      <c r="H19" s="687"/>
      <c r="I19" s="687"/>
      <c r="J19" s="687"/>
      <c r="K19" s="688"/>
      <c r="L19" s="688"/>
      <c r="M19" s="688"/>
      <c r="N19" s="688"/>
      <c r="O19" s="688"/>
      <c r="P19" s="688"/>
      <c r="Q19" s="688"/>
      <c r="R19" s="688"/>
      <c r="S19" s="688"/>
      <c r="T19" s="688"/>
      <c r="U19" s="688"/>
      <c r="V19" s="688"/>
      <c r="W19" s="688"/>
      <c r="X19" s="688"/>
      <c r="BB19" s="696" t="s">
        <v>724</v>
      </c>
      <c r="BC19" s="702"/>
      <c r="BD19" s="703"/>
      <c r="BE19" s="690"/>
    </row>
    <row r="20" spans="1:58" ht="15.75" x14ac:dyDescent="0.25">
      <c r="A20" s="704" t="s">
        <v>981</v>
      </c>
      <c r="B20" s="705"/>
      <c r="C20" s="705"/>
      <c r="D20" s="705"/>
      <c r="E20" s="705"/>
      <c r="F20" s="705"/>
      <c r="G20" s="705"/>
      <c r="H20" s="705"/>
      <c r="I20" s="687"/>
      <c r="J20" s="687"/>
      <c r="K20" s="688"/>
      <c r="L20" s="688"/>
      <c r="M20" s="688"/>
      <c r="N20" s="688"/>
      <c r="O20" s="688"/>
      <c r="P20" s="688"/>
      <c r="Q20" s="688"/>
      <c r="R20" s="688"/>
      <c r="S20" s="688"/>
      <c r="T20" s="688"/>
      <c r="U20" s="688"/>
      <c r="V20" s="688"/>
      <c r="W20" s="688"/>
      <c r="X20" s="688"/>
      <c r="BB20" s="689" t="s">
        <v>981</v>
      </c>
      <c r="BC20" s="479"/>
      <c r="BD20" s="479"/>
      <c r="BE20" s="479"/>
    </row>
    <row r="21" spans="1:58" ht="51.75" x14ac:dyDescent="0.25">
      <c r="A21" s="705"/>
      <c r="B21" s="1232" t="s">
        <v>1370</v>
      </c>
      <c r="C21" s="1232" t="str">
        <f>CONCATENATE("Earnings (Millions of $",$D$6,")")</f>
        <v>Earnings (Millions of $2010)</v>
      </c>
      <c r="D21" s="1232" t="str">
        <f>CONCATENATE("Output (Millions of $",D6,")")</f>
        <v>Output (Millions of $2010)</v>
      </c>
      <c r="E21" s="1232" t="str">
        <f>CONCATENATE("Value Added (Millions of $",D6,")")</f>
        <v>Value Added (Millions of $2010)</v>
      </c>
      <c r="F21" s="687"/>
      <c r="G21" s="687"/>
      <c r="H21" s="687"/>
      <c r="I21" s="687"/>
      <c r="J21" s="687"/>
      <c r="K21" s="688"/>
      <c r="L21" s="688"/>
      <c r="M21" s="688"/>
      <c r="N21" s="688"/>
      <c r="O21" s="688"/>
      <c r="P21" s="688"/>
      <c r="Q21" s="688"/>
      <c r="R21" s="688"/>
      <c r="S21" s="688"/>
      <c r="T21" s="688"/>
      <c r="U21" s="688"/>
      <c r="V21" s="688"/>
      <c r="W21" s="688"/>
      <c r="X21" s="688"/>
      <c r="BB21" s="479"/>
      <c r="BC21" s="479" t="s">
        <v>1370</v>
      </c>
      <c r="BD21" s="479" t="str">
        <f>CONCATENATE("Earnings (Millions of $",$D$6,")")</f>
        <v>Earnings (Millions of $2010)</v>
      </c>
      <c r="BE21" s="1233" t="str">
        <f>CONCATENATE("Output (Millions of $",$BE6,")")</f>
        <v>Output (Millions of $2010)</v>
      </c>
      <c r="BF21" s="1233" t="str">
        <f>CONCATENATE("Value Added (Millions of $",BE6,")")</f>
        <v>Value Added (Millions of $2010)</v>
      </c>
    </row>
    <row r="22" spans="1:58" x14ac:dyDescent="0.25">
      <c r="A22" s="706" t="s">
        <v>131</v>
      </c>
      <c r="B22" s="687"/>
      <c r="C22" s="687"/>
      <c r="D22" s="687"/>
      <c r="E22" s="687"/>
      <c r="F22" s="707"/>
      <c r="G22" s="708"/>
      <c r="H22" s="708"/>
      <c r="I22" s="687"/>
      <c r="J22" s="687"/>
      <c r="K22" s="688"/>
      <c r="L22" s="688"/>
      <c r="M22" s="688"/>
      <c r="N22" s="688"/>
      <c r="O22" s="688"/>
      <c r="P22" s="688"/>
      <c r="Q22" s="688"/>
      <c r="R22" s="688"/>
      <c r="S22" s="688"/>
      <c r="T22" s="688"/>
      <c r="U22" s="688"/>
      <c r="V22" s="688"/>
      <c r="W22" s="688"/>
      <c r="X22" s="688"/>
      <c r="BB22" s="523" t="s">
        <v>131</v>
      </c>
      <c r="BC22" s="489"/>
      <c r="BD22" s="489"/>
      <c r="BE22" s="489"/>
    </row>
    <row r="23" spans="1:58" x14ac:dyDescent="0.25">
      <c r="A23" s="687" t="s">
        <v>982</v>
      </c>
      <c r="B23" s="707">
        <f>Calculations!AG141</f>
        <v>71.369777043812192</v>
      </c>
      <c r="C23" s="737">
        <f>Calculations!AH141</f>
        <v>2.6831408642616803</v>
      </c>
      <c r="D23" s="737">
        <f>Calculations!AI141</f>
        <v>4.0247112963925202</v>
      </c>
      <c r="E23" s="737">
        <f>Calculations!AJ141</f>
        <v>2.6831408642616803</v>
      </c>
      <c r="F23" s="707"/>
      <c r="G23" s="708"/>
      <c r="H23" s="708"/>
      <c r="I23" s="687"/>
      <c r="J23" s="687"/>
      <c r="K23" s="688"/>
      <c r="L23" s="688"/>
      <c r="M23" s="688"/>
      <c r="N23" s="688"/>
      <c r="O23" s="688"/>
      <c r="P23" s="688"/>
      <c r="Q23" s="688"/>
      <c r="R23" s="688"/>
      <c r="S23" s="688"/>
      <c r="T23" s="688"/>
      <c r="U23" s="688"/>
      <c r="V23" s="688"/>
      <c r="W23" s="688"/>
      <c r="X23" s="688"/>
      <c r="BB23" s="489" t="s">
        <v>982</v>
      </c>
      <c r="BC23" s="504">
        <f>B23</f>
        <v>71.369777043812192</v>
      </c>
      <c r="BD23" s="709">
        <f>C23</f>
        <v>2.6831408642616803</v>
      </c>
      <c r="BE23" s="709">
        <f>D23</f>
        <v>4.0247112963925202</v>
      </c>
      <c r="BF23" s="709">
        <f>E23</f>
        <v>2.6831408642616803</v>
      </c>
    </row>
    <row r="24" spans="1:58" x14ac:dyDescent="0.25">
      <c r="A24" s="692" t="s">
        <v>1009</v>
      </c>
      <c r="B24" s="707">
        <f>Calculations!AG142</f>
        <v>66.518701876252948</v>
      </c>
      <c r="C24" s="737">
        <f>Calculations!AH142</f>
        <v>2.2556176634809173</v>
      </c>
      <c r="D24" s="737"/>
      <c r="E24" s="737"/>
      <c r="F24" s="710"/>
      <c r="G24" s="710"/>
      <c r="H24" s="708"/>
      <c r="I24" s="687"/>
      <c r="J24" s="687"/>
      <c r="K24" s="688"/>
      <c r="L24" s="688"/>
      <c r="M24" s="688"/>
      <c r="N24" s="688"/>
      <c r="O24" s="688"/>
      <c r="P24" s="688"/>
      <c r="Q24" s="688"/>
      <c r="R24" s="688"/>
      <c r="S24" s="688"/>
      <c r="T24" s="688"/>
      <c r="U24" s="688"/>
      <c r="V24" s="688"/>
      <c r="W24" s="688"/>
      <c r="X24" s="688"/>
      <c r="BB24" s="492" t="s">
        <v>1009</v>
      </c>
      <c r="BC24" s="504">
        <f t="shared" ref="BC24:BC28" si="1">B24</f>
        <v>66.518701876252948</v>
      </c>
      <c r="BD24" s="709">
        <f t="shared" ref="BD24:BD28" si="2">C24</f>
        <v>2.2556176634809173</v>
      </c>
      <c r="BE24" s="709"/>
      <c r="BF24" s="709"/>
    </row>
    <row r="25" spans="1:58" ht="15.75" customHeight="1" x14ac:dyDescent="0.25">
      <c r="A25" s="1042" t="s">
        <v>1399</v>
      </c>
      <c r="B25" s="707">
        <f>Calculations!AG143</f>
        <v>4.8510751675592436</v>
      </c>
      <c r="C25" s="737">
        <f>Calculations!AH143</f>
        <v>0.42752320078076295</v>
      </c>
      <c r="D25" s="737"/>
      <c r="E25" s="737"/>
      <c r="F25" s="710"/>
      <c r="G25" s="710"/>
      <c r="H25" s="708"/>
      <c r="I25" s="687"/>
      <c r="J25" s="687"/>
      <c r="K25" s="688"/>
      <c r="L25" s="688"/>
      <c r="M25" s="688"/>
      <c r="N25" s="688"/>
      <c r="O25" s="688"/>
      <c r="P25" s="688"/>
      <c r="Q25" s="688"/>
      <c r="R25" s="688"/>
      <c r="S25" s="688"/>
      <c r="T25" s="688"/>
      <c r="U25" s="688"/>
      <c r="V25" s="688"/>
      <c r="W25" s="688"/>
      <c r="X25" s="688"/>
      <c r="BB25" s="711" t="s">
        <v>1010</v>
      </c>
      <c r="BC25" s="504">
        <f t="shared" si="1"/>
        <v>4.8510751675592436</v>
      </c>
      <c r="BD25" s="709">
        <f t="shared" si="2"/>
        <v>0.42752320078076295</v>
      </c>
      <c r="BE25" s="709"/>
      <c r="BF25" s="709"/>
    </row>
    <row r="26" spans="1:58" x14ac:dyDescent="0.25">
      <c r="A26" s="712" t="s">
        <v>873</v>
      </c>
      <c r="B26" s="707">
        <f>Calculations!AG144</f>
        <v>49.796046105590207</v>
      </c>
      <c r="C26" s="737">
        <f>Calculations!AH144</f>
        <v>2.3865257799848449</v>
      </c>
      <c r="D26" s="737">
        <f>Calculations!AI144</f>
        <v>11.224381682296185</v>
      </c>
      <c r="E26" s="737">
        <f>Calculations!AJ144</f>
        <v>3.8693487633149464</v>
      </c>
      <c r="F26" s="707"/>
      <c r="G26" s="708"/>
      <c r="H26" s="708"/>
      <c r="I26" s="687"/>
      <c r="J26" s="687"/>
      <c r="K26" s="688"/>
      <c r="L26" s="688"/>
      <c r="M26" s="688"/>
      <c r="N26" s="688"/>
      <c r="O26" s="688"/>
      <c r="P26" s="688"/>
      <c r="Q26" s="688"/>
      <c r="R26" s="688"/>
      <c r="S26" s="688"/>
      <c r="T26" s="688"/>
      <c r="U26" s="688"/>
      <c r="V26" s="688"/>
      <c r="W26" s="688"/>
      <c r="X26" s="688"/>
      <c r="BB26" s="502" t="s">
        <v>873</v>
      </c>
      <c r="BC26" s="504">
        <f t="shared" si="1"/>
        <v>49.796046105590207</v>
      </c>
      <c r="BD26" s="709">
        <f t="shared" si="2"/>
        <v>2.3865257799848449</v>
      </c>
      <c r="BE26" s="709">
        <f t="shared" ref="BE26:BF28" si="3">D26</f>
        <v>11.224381682296185</v>
      </c>
      <c r="BF26" s="709">
        <f t="shared" si="3"/>
        <v>3.8693487633149464</v>
      </c>
    </row>
    <row r="27" spans="1:58" x14ac:dyDescent="0.25">
      <c r="A27" s="712" t="s">
        <v>128</v>
      </c>
      <c r="B27" s="707">
        <f>Calculations!AG145</f>
        <v>21.063126686911925</v>
      </c>
      <c r="C27" s="737">
        <f>Calculations!AH145</f>
        <v>0.76659441351557378</v>
      </c>
      <c r="D27" s="737">
        <f>Calculations!AI145</f>
        <v>2.4614402514624567</v>
      </c>
      <c r="E27" s="737">
        <f>Calculations!AJ145</f>
        <v>1.3057000369481861</v>
      </c>
      <c r="F27" s="707"/>
      <c r="G27" s="708"/>
      <c r="H27" s="708"/>
      <c r="I27" s="687"/>
      <c r="J27" s="687"/>
      <c r="K27" s="688"/>
      <c r="L27" s="688"/>
      <c r="M27" s="688"/>
      <c r="N27" s="688"/>
      <c r="O27" s="688"/>
      <c r="P27" s="688"/>
      <c r="Q27" s="688"/>
      <c r="R27" s="688"/>
      <c r="S27" s="688"/>
      <c r="T27" s="688"/>
      <c r="U27" s="688"/>
      <c r="V27" s="688"/>
      <c r="W27" s="688"/>
      <c r="X27" s="688"/>
      <c r="BB27" s="502" t="s">
        <v>128</v>
      </c>
      <c r="BC27" s="504">
        <f t="shared" si="1"/>
        <v>21.063126686911925</v>
      </c>
      <c r="BD27" s="709">
        <f t="shared" si="2"/>
        <v>0.76659441351557378</v>
      </c>
      <c r="BE27" s="709">
        <f t="shared" si="3"/>
        <v>2.4614402514624567</v>
      </c>
      <c r="BF27" s="709">
        <f t="shared" si="3"/>
        <v>1.3057000369481861</v>
      </c>
    </row>
    <row r="28" spans="1:58" x14ac:dyDescent="0.25">
      <c r="A28" s="713" t="s">
        <v>1097</v>
      </c>
      <c r="B28" s="740">
        <f>Calculations!AG146</f>
        <v>142.22894983631431</v>
      </c>
      <c r="C28" s="741">
        <f>Calculations!AH146</f>
        <v>5.8362610577620995</v>
      </c>
      <c r="D28" s="741">
        <f>Calculations!AI146</f>
        <v>17.710533230151164</v>
      </c>
      <c r="E28" s="741">
        <f>Calculations!AJ146</f>
        <v>7.8581896645248133</v>
      </c>
      <c r="F28" s="687"/>
      <c r="G28" s="708"/>
      <c r="H28" s="687"/>
      <c r="I28" s="687"/>
      <c r="J28" s="687"/>
      <c r="K28" s="688"/>
      <c r="L28" s="688"/>
      <c r="M28" s="688"/>
      <c r="N28" s="688"/>
      <c r="O28" s="688"/>
      <c r="P28" s="688"/>
      <c r="Q28" s="688"/>
      <c r="R28" s="688"/>
      <c r="S28" s="688"/>
      <c r="T28" s="688"/>
      <c r="U28" s="688"/>
      <c r="V28" s="688"/>
      <c r="W28" s="688"/>
      <c r="X28" s="688"/>
      <c r="BB28" s="507" t="s">
        <v>1097</v>
      </c>
      <c r="BC28" s="714">
        <f t="shared" si="1"/>
        <v>142.22894983631431</v>
      </c>
      <c r="BD28" s="715">
        <f t="shared" si="2"/>
        <v>5.8362610577620995</v>
      </c>
      <c r="BE28" s="715">
        <f t="shared" si="3"/>
        <v>17.710533230151164</v>
      </c>
      <c r="BF28" s="715">
        <f t="shared" si="3"/>
        <v>7.8581896645248133</v>
      </c>
    </row>
    <row r="29" spans="1:58" x14ac:dyDescent="0.25">
      <c r="A29" s="713"/>
      <c r="B29" s="707"/>
      <c r="C29" s="708"/>
      <c r="D29" s="708"/>
      <c r="E29" s="708"/>
      <c r="F29" s="687"/>
      <c r="G29" s="708"/>
      <c r="H29" s="687"/>
      <c r="I29" s="687"/>
      <c r="J29" s="687"/>
      <c r="K29" s="688"/>
      <c r="L29" s="688"/>
      <c r="M29" s="688"/>
      <c r="N29" s="688"/>
      <c r="O29" s="688"/>
      <c r="P29" s="688"/>
      <c r="Q29" s="688"/>
      <c r="R29" s="688"/>
      <c r="S29" s="688"/>
      <c r="T29" s="688"/>
      <c r="U29" s="688"/>
      <c r="V29" s="688"/>
      <c r="W29" s="688"/>
      <c r="X29" s="688"/>
      <c r="BB29" s="507"/>
      <c r="BC29" s="490"/>
      <c r="BD29" s="491"/>
      <c r="BE29" s="491"/>
      <c r="BF29" s="491"/>
    </row>
    <row r="30" spans="1:58" x14ac:dyDescent="0.25">
      <c r="A30" s="706" t="s">
        <v>129</v>
      </c>
      <c r="B30" s="687"/>
      <c r="C30" s="716"/>
      <c r="D30" s="708"/>
      <c r="E30" s="708"/>
      <c r="F30" s="694"/>
      <c r="G30" s="717"/>
      <c r="H30" s="717"/>
      <c r="I30" s="687"/>
      <c r="J30" s="687"/>
      <c r="K30" s="688"/>
      <c r="L30" s="688"/>
      <c r="M30" s="688"/>
      <c r="N30" s="688"/>
      <c r="O30" s="688"/>
      <c r="P30" s="688"/>
      <c r="Q30" s="688"/>
      <c r="R30" s="688"/>
      <c r="S30" s="688"/>
      <c r="T30" s="688"/>
      <c r="U30" s="688"/>
      <c r="V30" s="688"/>
      <c r="W30" s="688"/>
      <c r="X30" s="688"/>
      <c r="BB30" s="523" t="s">
        <v>129</v>
      </c>
      <c r="BC30" s="489"/>
      <c r="BD30" s="508"/>
      <c r="BE30" s="491"/>
      <c r="BF30" s="491"/>
    </row>
    <row r="31" spans="1:58" x14ac:dyDescent="0.25">
      <c r="A31" s="687" t="s">
        <v>983</v>
      </c>
      <c r="B31" s="707">
        <f>Calculations!AG150</f>
        <v>7.8564406519505416</v>
      </c>
      <c r="C31" s="737">
        <f>Calculations!AH150</f>
        <v>1.0376823960194004</v>
      </c>
      <c r="D31" s="737">
        <f>Calculations!AI150</f>
        <v>1.0376823960194004</v>
      </c>
      <c r="E31" s="737">
        <f>Calculations!AJ150</f>
        <v>1.0376823960194004</v>
      </c>
      <c r="F31" s="718"/>
      <c r="G31" s="710"/>
      <c r="H31" s="717"/>
      <c r="I31" s="687"/>
      <c r="J31" s="687"/>
      <c r="K31" s="688"/>
      <c r="L31" s="688"/>
      <c r="M31" s="688"/>
      <c r="N31" s="688"/>
      <c r="O31" s="688"/>
      <c r="P31" s="688"/>
      <c r="Q31" s="688"/>
      <c r="R31" s="688"/>
      <c r="S31" s="688"/>
      <c r="T31" s="688"/>
      <c r="U31" s="688"/>
      <c r="V31" s="688"/>
      <c r="W31" s="688"/>
      <c r="X31" s="688"/>
      <c r="BB31" s="489" t="s">
        <v>983</v>
      </c>
      <c r="BC31" s="504">
        <f t="shared" ref="BC31:BC34" si="4">B31</f>
        <v>7.8564406519505416</v>
      </c>
      <c r="BD31" s="709">
        <f t="shared" ref="BD31:BD34" si="5">C31</f>
        <v>1.0376823960194004</v>
      </c>
      <c r="BE31" s="709">
        <f t="shared" ref="BE31:BF34" si="6">D31</f>
        <v>1.0376823960194004</v>
      </c>
      <c r="BF31" s="709">
        <f t="shared" si="6"/>
        <v>1.0376823960194004</v>
      </c>
    </row>
    <row r="32" spans="1:58" x14ac:dyDescent="0.25">
      <c r="A32" s="712" t="s">
        <v>984</v>
      </c>
      <c r="B32" s="707">
        <f>Calculations!AG151</f>
        <v>3.1864489250259975</v>
      </c>
      <c r="C32" s="737">
        <f>Calculations!AH151</f>
        <v>0.13201271607993253</v>
      </c>
      <c r="D32" s="737">
        <f>Calculations!AI151</f>
        <v>1.4911475580501716</v>
      </c>
      <c r="E32" s="737">
        <f>Calculations!AJ151</f>
        <v>0.23133178576818583</v>
      </c>
      <c r="F32" s="719"/>
      <c r="G32" s="708"/>
      <c r="H32" s="717"/>
      <c r="I32" s="687"/>
      <c r="J32" s="687"/>
      <c r="K32" s="688"/>
      <c r="L32" s="688"/>
      <c r="M32" s="688"/>
      <c r="N32" s="688"/>
      <c r="O32" s="688"/>
      <c r="P32" s="688"/>
      <c r="Q32" s="688"/>
      <c r="R32" s="688"/>
      <c r="S32" s="688"/>
      <c r="T32" s="688"/>
      <c r="U32" s="688"/>
      <c r="V32" s="688"/>
      <c r="W32" s="688"/>
      <c r="X32" s="688"/>
      <c r="BB32" s="502" t="s">
        <v>984</v>
      </c>
      <c r="BC32" s="504">
        <f t="shared" si="4"/>
        <v>3.1864489250259975</v>
      </c>
      <c r="BD32" s="709">
        <f t="shared" si="5"/>
        <v>0.13201271607993253</v>
      </c>
      <c r="BE32" s="709">
        <f t="shared" si="6"/>
        <v>1.4911475580501716</v>
      </c>
      <c r="BF32" s="709">
        <f t="shared" si="6"/>
        <v>0.23133178576818583</v>
      </c>
    </row>
    <row r="33" spans="1:58" x14ac:dyDescent="0.25">
      <c r="A33" s="712" t="s">
        <v>128</v>
      </c>
      <c r="B33" s="707">
        <f>Calculations!AG152</f>
        <v>2.9495745036543837</v>
      </c>
      <c r="C33" s="737">
        <f>Calculations!AH152</f>
        <v>0.11427415825491577</v>
      </c>
      <c r="D33" s="737">
        <f>Calculations!AI152</f>
        <v>0.36695514891243719</v>
      </c>
      <c r="E33" s="737">
        <f>Calculations!AJ152</f>
        <v>0.19464932133035739</v>
      </c>
      <c r="F33" s="719"/>
      <c r="G33" s="708"/>
      <c r="H33" s="717"/>
      <c r="I33" s="687"/>
      <c r="J33" s="687"/>
      <c r="K33" s="688"/>
      <c r="L33" s="688"/>
      <c r="M33" s="688"/>
      <c r="N33" s="688"/>
      <c r="O33" s="688"/>
      <c r="P33" s="688"/>
      <c r="Q33" s="688"/>
      <c r="R33" s="688"/>
      <c r="S33" s="688"/>
      <c r="T33" s="688"/>
      <c r="U33" s="688"/>
      <c r="V33" s="688"/>
      <c r="W33" s="688"/>
      <c r="X33" s="688"/>
      <c r="BB33" s="502" t="s">
        <v>128</v>
      </c>
      <c r="BC33" s="504">
        <f t="shared" si="4"/>
        <v>2.9495745036543837</v>
      </c>
      <c r="BD33" s="709">
        <f t="shared" si="5"/>
        <v>0.11427415825491577</v>
      </c>
      <c r="BE33" s="709">
        <f t="shared" si="6"/>
        <v>0.36695514891243719</v>
      </c>
      <c r="BF33" s="709">
        <f t="shared" si="6"/>
        <v>0.19464932133035739</v>
      </c>
    </row>
    <row r="34" spans="1:58" x14ac:dyDescent="0.25">
      <c r="A34" s="713" t="s">
        <v>127</v>
      </c>
      <c r="B34" s="740">
        <f>Calculations!AG153</f>
        <v>13.992464080630922</v>
      </c>
      <c r="C34" s="741">
        <f>Calculations!AH153</f>
        <v>1.2839692703542487</v>
      </c>
      <c r="D34" s="741">
        <f>Calculations!AI153</f>
        <v>2.8957851029820088</v>
      </c>
      <c r="E34" s="741">
        <f>Calculations!AJ153</f>
        <v>1.4636635031179437</v>
      </c>
      <c r="F34" s="719"/>
      <c r="G34" s="708"/>
      <c r="H34" s="687"/>
      <c r="I34" s="687"/>
      <c r="J34" s="687"/>
      <c r="K34" s="688"/>
      <c r="L34" s="688"/>
      <c r="M34" s="688"/>
      <c r="N34" s="688"/>
      <c r="O34" s="688"/>
      <c r="P34" s="688"/>
      <c r="Q34" s="688"/>
      <c r="R34" s="688"/>
      <c r="S34" s="688"/>
      <c r="T34" s="688"/>
      <c r="U34" s="688"/>
      <c r="V34" s="688"/>
      <c r="W34" s="688"/>
      <c r="X34" s="688"/>
      <c r="BB34" s="507" t="s">
        <v>127</v>
      </c>
      <c r="BC34" s="714">
        <f t="shared" si="4"/>
        <v>13.992464080630922</v>
      </c>
      <c r="BD34" s="715">
        <f t="shared" si="5"/>
        <v>1.2839692703542487</v>
      </c>
      <c r="BE34" s="715">
        <f t="shared" si="6"/>
        <v>2.8957851029820088</v>
      </c>
      <c r="BF34" s="715">
        <f t="shared" si="6"/>
        <v>1.4636635031179437</v>
      </c>
    </row>
    <row r="35" spans="1:58" x14ac:dyDescent="0.25">
      <c r="A35" s="1017" t="str">
        <f>CONCATENATE("Notes:  Earnings and Output values are millions of dollars in year ",ProjectData!B31, " dollars.  Construction and operating jobs are full-")</f>
        <v>Notes:  Earnings and Output values are millions of dollars in year 2010 dollars.  Construction and operating jobs are full-</v>
      </c>
      <c r="B35" s="705"/>
      <c r="C35" s="720"/>
      <c r="D35" s="720"/>
      <c r="E35" s="720"/>
      <c r="F35" s="719"/>
      <c r="G35" s="708"/>
      <c r="H35" s="687"/>
      <c r="I35" s="687"/>
      <c r="J35" s="687"/>
      <c r="K35" s="688"/>
      <c r="L35" s="688"/>
      <c r="M35" s="688"/>
      <c r="N35" s="688"/>
      <c r="O35" s="688"/>
      <c r="P35" s="688"/>
      <c r="Q35" s="688"/>
      <c r="R35" s="688"/>
      <c r="S35" s="688"/>
      <c r="T35" s="688"/>
      <c r="U35" s="688"/>
      <c r="V35" s="688"/>
      <c r="W35" s="688"/>
      <c r="X35" s="688"/>
      <c r="BB35" s="1020" t="s">
        <v>1348</v>
      </c>
      <c r="BC35" s="479"/>
      <c r="BD35" s="715"/>
      <c r="BE35" s="715"/>
    </row>
    <row r="36" spans="1:58" x14ac:dyDescent="0.25">
      <c r="A36" s="1018" t="s">
        <v>1376</v>
      </c>
      <c r="B36" s="705"/>
      <c r="C36" s="720"/>
      <c r="D36" s="720"/>
      <c r="E36" s="720"/>
      <c r="F36" s="719"/>
      <c r="G36" s="708"/>
      <c r="H36" s="687"/>
      <c r="I36" s="687"/>
      <c r="J36" s="687"/>
      <c r="K36" s="688"/>
      <c r="L36" s="688"/>
      <c r="M36" s="688"/>
      <c r="N36" s="688"/>
      <c r="O36" s="688"/>
      <c r="P36" s="688"/>
      <c r="Q36" s="688"/>
      <c r="R36" s="688"/>
      <c r="S36" s="688"/>
      <c r="T36" s="688"/>
      <c r="U36" s="688"/>
      <c r="V36" s="688"/>
      <c r="W36" s="688"/>
      <c r="X36" s="688"/>
      <c r="AE36" s="811"/>
      <c r="BB36" s="1021" t="s">
        <v>1376</v>
      </c>
      <c r="BC36" s="479"/>
      <c r="BD36" s="715"/>
      <c r="BE36" s="715"/>
    </row>
    <row r="37" spans="1:58" x14ac:dyDescent="0.25">
      <c r="A37" s="1018" t="s">
        <v>1013</v>
      </c>
      <c r="B37" s="705"/>
      <c r="C37" s="720"/>
      <c r="D37" s="720"/>
      <c r="E37" s="720"/>
      <c r="F37" s="719"/>
      <c r="G37" s="708"/>
      <c r="H37" s="687"/>
      <c r="I37" s="687"/>
      <c r="J37" s="687"/>
      <c r="K37" s="688"/>
      <c r="L37" s="688"/>
      <c r="M37" s="688"/>
      <c r="N37" s="688"/>
      <c r="O37" s="688"/>
      <c r="P37" s="688"/>
      <c r="Q37" s="688"/>
      <c r="R37" s="688"/>
      <c r="S37" s="688"/>
      <c r="T37" s="688"/>
      <c r="U37" s="688"/>
      <c r="V37" s="688"/>
      <c r="W37" s="688"/>
      <c r="X37" s="688"/>
      <c r="AE37" s="811"/>
      <c r="BB37" s="1021" t="s">
        <v>1013</v>
      </c>
      <c r="BC37" s="479"/>
      <c r="BD37" s="715"/>
      <c r="BE37" s="715"/>
    </row>
    <row r="38" spans="1:58" x14ac:dyDescent="0.25">
      <c r="A38" s="1019" t="s">
        <v>1014</v>
      </c>
      <c r="B38" s="705"/>
      <c r="C38" s="720"/>
      <c r="D38" s="720"/>
      <c r="E38" s="720"/>
      <c r="F38" s="719"/>
      <c r="G38" s="708"/>
      <c r="H38" s="687"/>
      <c r="I38" s="687"/>
      <c r="J38" s="687"/>
      <c r="K38" s="688"/>
      <c r="L38" s="688"/>
      <c r="M38" s="688"/>
      <c r="N38" s="688"/>
      <c r="O38" s="688"/>
      <c r="P38" s="688"/>
      <c r="Q38" s="688"/>
      <c r="R38" s="688"/>
      <c r="S38" s="688"/>
      <c r="T38" s="688"/>
      <c r="U38" s="688"/>
      <c r="V38" s="688"/>
      <c r="W38" s="688"/>
      <c r="X38" s="688"/>
      <c r="AE38" s="489"/>
      <c r="BB38" s="1020" t="s">
        <v>1014</v>
      </c>
      <c r="BC38" s="479"/>
      <c r="BD38" s="715"/>
      <c r="BE38" s="715"/>
    </row>
    <row r="39" spans="1:58" x14ac:dyDescent="0.25">
      <c r="A39" s="1017" t="str">
        <f>CONCATENATE("Totals may not add up due to independent rounding.  Results are based on user defined ",ProjectData!B11, " analysis.")</f>
        <v>Totals may not add up due to independent rounding.  Results are based on user defined Advanced analysis.</v>
      </c>
      <c r="B39" s="705"/>
      <c r="C39" s="720"/>
      <c r="D39" s="720"/>
      <c r="E39" s="720"/>
      <c r="F39" s="719"/>
      <c r="G39" s="708"/>
      <c r="H39" s="687"/>
      <c r="I39" s="687"/>
      <c r="J39" s="687"/>
      <c r="K39" s="688"/>
      <c r="L39" s="688"/>
      <c r="M39" s="688"/>
      <c r="N39" s="688"/>
      <c r="O39" s="688"/>
      <c r="P39" s="688"/>
      <c r="Q39" s="688"/>
      <c r="R39" s="688"/>
      <c r="S39" s="688"/>
      <c r="T39" s="688"/>
      <c r="U39" s="688"/>
      <c r="V39" s="688"/>
      <c r="W39" s="688"/>
      <c r="X39" s="688"/>
      <c r="BB39" s="1020" t="s">
        <v>1349</v>
      </c>
      <c r="BC39" s="479"/>
      <c r="BD39" s="715"/>
      <c r="BE39" s="715"/>
    </row>
    <row r="40" spans="1:58" x14ac:dyDescent="0.25">
      <c r="A40" s="687"/>
      <c r="B40" s="687"/>
      <c r="C40" s="687"/>
      <c r="D40" s="687"/>
      <c r="E40" s="687"/>
      <c r="F40" s="687"/>
      <c r="G40" s="687"/>
      <c r="H40" s="687"/>
      <c r="I40" s="687"/>
      <c r="J40" s="687"/>
      <c r="K40" s="688"/>
      <c r="L40" s="688"/>
      <c r="M40" s="688"/>
      <c r="N40" s="688"/>
      <c r="O40" s="688"/>
      <c r="P40" s="688"/>
      <c r="Q40" s="688"/>
      <c r="R40" s="688"/>
      <c r="S40" s="688"/>
      <c r="T40" s="688"/>
      <c r="U40" s="688"/>
      <c r="V40" s="688"/>
      <c r="W40" s="688"/>
      <c r="X40" s="688"/>
    </row>
    <row r="41" spans="1:58" x14ac:dyDescent="0.25">
      <c r="A41" s="687"/>
      <c r="B41" s="687"/>
      <c r="C41" s="687"/>
      <c r="D41" s="687"/>
      <c r="E41" s="687"/>
      <c r="F41" s="687"/>
      <c r="G41" s="687"/>
      <c r="H41" s="687"/>
      <c r="I41" s="687"/>
      <c r="J41" s="687"/>
      <c r="K41" s="688"/>
      <c r="L41" s="688"/>
      <c r="M41" s="688"/>
      <c r="N41" s="688"/>
      <c r="O41" s="688"/>
      <c r="P41" s="688"/>
      <c r="Q41" s="688"/>
      <c r="R41" s="688"/>
      <c r="S41" s="688"/>
      <c r="T41" s="688"/>
      <c r="U41" s="688"/>
      <c r="V41" s="688"/>
      <c r="W41" s="688"/>
      <c r="X41" s="688"/>
    </row>
    <row r="42" spans="1:58" ht="15.75" x14ac:dyDescent="0.25">
      <c r="A42" s="721" t="s">
        <v>1011</v>
      </c>
      <c r="B42" s="687"/>
      <c r="C42" s="722"/>
      <c r="D42" s="687"/>
      <c r="E42" s="687"/>
      <c r="F42" s="687"/>
      <c r="G42" s="687"/>
      <c r="H42" s="687"/>
      <c r="I42" s="687"/>
      <c r="J42" s="687"/>
      <c r="K42" s="688"/>
      <c r="L42" s="688"/>
      <c r="M42" s="688"/>
      <c r="N42" s="688"/>
      <c r="O42" s="688"/>
      <c r="P42" s="688"/>
      <c r="Q42" s="688"/>
      <c r="R42" s="688"/>
      <c r="S42" s="688"/>
      <c r="T42" s="688"/>
      <c r="U42" s="688"/>
      <c r="V42" s="688"/>
      <c r="W42" s="688"/>
      <c r="X42" s="688"/>
      <c r="BB42" s="723"/>
      <c r="BC42" s="489"/>
      <c r="BD42" s="479"/>
      <c r="BE42" s="489"/>
    </row>
    <row r="43" spans="1:58" x14ac:dyDescent="0.25">
      <c r="A43" s="687"/>
      <c r="B43" s="687"/>
      <c r="C43" s="687"/>
      <c r="D43" s="687"/>
      <c r="E43" s="687"/>
      <c r="F43" s="687"/>
      <c r="G43" s="687"/>
      <c r="H43" s="687"/>
      <c r="I43" s="687"/>
      <c r="J43" s="687"/>
      <c r="K43" s="688"/>
      <c r="L43" s="688"/>
      <c r="M43" s="688"/>
      <c r="N43" s="688"/>
      <c r="O43" s="688"/>
      <c r="P43" s="688"/>
      <c r="Q43" s="688"/>
      <c r="R43" s="688"/>
      <c r="S43" s="688"/>
      <c r="T43" s="688"/>
      <c r="U43" s="688"/>
      <c r="V43" s="688"/>
      <c r="W43" s="688"/>
      <c r="X43" s="688"/>
      <c r="BB43" s="489"/>
      <c r="BC43" s="489"/>
      <c r="BD43" s="489"/>
      <c r="BE43" s="489"/>
    </row>
    <row r="44" spans="1:58" ht="18.75" x14ac:dyDescent="0.3">
      <c r="A44" s="312" t="s">
        <v>130</v>
      </c>
      <c r="B44" s="705" t="s">
        <v>32</v>
      </c>
      <c r="C44" s="725" t="s">
        <v>751</v>
      </c>
      <c r="D44" s="725"/>
      <c r="E44" s="725"/>
      <c r="F44" s="688"/>
      <c r="G44" s="688"/>
      <c r="H44" s="688"/>
      <c r="I44" s="688"/>
      <c r="J44" s="688"/>
      <c r="K44" s="688"/>
      <c r="L44" s="688"/>
      <c r="M44" s="688"/>
      <c r="N44" s="688"/>
      <c r="O44" s="688"/>
      <c r="P44" s="688"/>
      <c r="Q44" s="688"/>
      <c r="R44" s="688"/>
      <c r="S44" s="688"/>
      <c r="T44" s="688"/>
      <c r="U44" s="688"/>
      <c r="V44" s="688"/>
      <c r="W44" s="688"/>
      <c r="X44" s="688"/>
      <c r="BB44" s="507" t="s">
        <v>1011</v>
      </c>
      <c r="BC44" s="489"/>
      <c r="BD44" s="730"/>
      <c r="BE44" s="984"/>
    </row>
    <row r="45" spans="1:58" ht="15.75" x14ac:dyDescent="0.25">
      <c r="A45" s="341" t="s">
        <v>125</v>
      </c>
      <c r="B45" s="687"/>
      <c r="C45" s="726"/>
      <c r="D45" s="727"/>
      <c r="E45" s="727"/>
      <c r="F45" s="688"/>
      <c r="G45" s="688"/>
      <c r="H45" s="688"/>
      <c r="I45" s="688"/>
      <c r="J45" s="688"/>
      <c r="K45" s="688"/>
      <c r="L45" s="688"/>
      <c r="M45" s="688"/>
      <c r="N45" s="688"/>
      <c r="O45" s="688"/>
      <c r="P45" s="688"/>
      <c r="Q45" s="688"/>
      <c r="R45" s="688"/>
      <c r="S45" s="688"/>
      <c r="T45" s="688"/>
      <c r="U45" s="688"/>
      <c r="V45" s="688"/>
      <c r="W45" s="688"/>
      <c r="X45" s="688"/>
      <c r="BB45" s="507"/>
      <c r="BC45" s="489"/>
      <c r="BD45" s="489"/>
      <c r="BE45" s="985"/>
    </row>
    <row r="46" spans="1:58" x14ac:dyDescent="0.25">
      <c r="A46" s="305" t="s">
        <v>734</v>
      </c>
      <c r="B46" s="726">
        <f>Calculations!C3</f>
        <v>100000</v>
      </c>
      <c r="C46" s="972">
        <f>Calculations!D3</f>
        <v>0</v>
      </c>
      <c r="D46" s="727"/>
      <c r="E46" s="727"/>
      <c r="F46" s="688"/>
      <c r="G46" s="688"/>
      <c r="H46" s="688"/>
      <c r="I46" s="688"/>
      <c r="J46" s="688"/>
      <c r="K46" s="688"/>
      <c r="L46" s="688"/>
      <c r="M46" s="688"/>
      <c r="N46" s="688"/>
      <c r="O46" s="688"/>
      <c r="P46" s="688"/>
      <c r="Q46" s="688"/>
      <c r="R46" s="688"/>
      <c r="S46" s="688"/>
      <c r="T46" s="688"/>
      <c r="U46" s="688"/>
      <c r="V46" s="688"/>
      <c r="W46" s="688"/>
      <c r="X46" s="688"/>
      <c r="BB46" s="964" t="s">
        <v>130</v>
      </c>
      <c r="BC46" s="986" t="s">
        <v>32</v>
      </c>
      <c r="BD46" s="987" t="s">
        <v>751</v>
      </c>
      <c r="BE46" s="728"/>
    </row>
    <row r="47" spans="1:58" x14ac:dyDescent="0.25">
      <c r="A47" s="305" t="s">
        <v>735</v>
      </c>
      <c r="B47" s="726">
        <f>Calculations!C4</f>
        <v>200000</v>
      </c>
      <c r="C47" s="972">
        <f>Calculations!D4</f>
        <v>0</v>
      </c>
      <c r="D47" s="727"/>
      <c r="E47" s="727"/>
      <c r="F47" s="688"/>
      <c r="G47" s="688"/>
      <c r="H47" s="688"/>
      <c r="I47" s="688"/>
      <c r="J47" s="688"/>
      <c r="K47" s="688"/>
      <c r="L47" s="688"/>
      <c r="M47" s="688"/>
      <c r="N47" s="688"/>
      <c r="O47" s="688"/>
      <c r="P47" s="688"/>
      <c r="Q47" s="688"/>
      <c r="R47" s="688"/>
      <c r="S47" s="688"/>
      <c r="T47" s="688"/>
      <c r="U47" s="688"/>
      <c r="V47" s="688"/>
      <c r="W47" s="688"/>
      <c r="X47" s="688"/>
      <c r="BB47" s="992" t="s">
        <v>125</v>
      </c>
      <c r="BC47" s="993"/>
      <c r="BD47" s="994"/>
      <c r="BE47" s="1007"/>
    </row>
    <row r="48" spans="1:58" x14ac:dyDescent="0.25">
      <c r="A48" s="305" t="s">
        <v>736</v>
      </c>
      <c r="B48" s="726">
        <f>Calculations!C5</f>
        <v>0</v>
      </c>
      <c r="C48" s="972">
        <f>Calculations!D5</f>
        <v>0</v>
      </c>
      <c r="D48" s="727"/>
      <c r="E48" s="727"/>
      <c r="F48" s="688"/>
      <c r="G48" s="688"/>
      <c r="H48" s="688"/>
      <c r="I48" s="688"/>
      <c r="J48" s="688"/>
      <c r="K48" s="688"/>
      <c r="L48" s="688"/>
      <c r="M48" s="688"/>
      <c r="N48" s="688"/>
      <c r="O48" s="688"/>
      <c r="P48" s="688"/>
      <c r="Q48" s="688"/>
      <c r="R48" s="688"/>
      <c r="S48" s="688"/>
      <c r="T48" s="688"/>
      <c r="U48" s="688"/>
      <c r="V48" s="688"/>
      <c r="W48" s="688"/>
      <c r="X48" s="688"/>
      <c r="BB48" s="992" t="s">
        <v>734</v>
      </c>
      <c r="BC48" s="995">
        <f>B46</f>
        <v>100000</v>
      </c>
      <c r="BD48" s="996">
        <f>C46</f>
        <v>0</v>
      </c>
      <c r="BE48" s="1007"/>
      <c r="BF48" s="478"/>
    </row>
    <row r="49" spans="1:58" x14ac:dyDescent="0.25">
      <c r="A49" s="305" t="s">
        <v>737</v>
      </c>
      <c r="B49" s="726">
        <f>Calculations!C6</f>
        <v>771980</v>
      </c>
      <c r="C49" s="972">
        <f>Calculations!D6</f>
        <v>0</v>
      </c>
      <c r="D49" s="727"/>
      <c r="E49" s="727"/>
      <c r="F49" s="688"/>
      <c r="G49" s="688"/>
      <c r="H49" s="688"/>
      <c r="I49" s="688"/>
      <c r="J49" s="688"/>
      <c r="K49" s="688"/>
      <c r="L49" s="688"/>
      <c r="M49" s="688"/>
      <c r="N49" s="688"/>
      <c r="O49" s="688"/>
      <c r="P49" s="688"/>
      <c r="Q49" s="688"/>
      <c r="R49" s="688"/>
      <c r="S49" s="688"/>
      <c r="T49" s="688"/>
      <c r="U49" s="688"/>
      <c r="V49" s="688"/>
      <c r="W49" s="688"/>
      <c r="X49" s="688"/>
      <c r="BB49" s="1008" t="s">
        <v>735</v>
      </c>
      <c r="BC49" s="995">
        <f t="shared" ref="BC49:BD49" si="7">B47</f>
        <v>200000</v>
      </c>
      <c r="BD49" s="996">
        <f t="shared" si="7"/>
        <v>0</v>
      </c>
      <c r="BE49" s="1007"/>
      <c r="BF49" s="478"/>
    </row>
    <row r="50" spans="1:58" ht="15.75" x14ac:dyDescent="0.25">
      <c r="A50" s="310" t="s">
        <v>120</v>
      </c>
      <c r="B50" s="687"/>
      <c r="C50" s="726"/>
      <c r="D50" s="727"/>
      <c r="E50" s="727"/>
      <c r="F50" s="688"/>
      <c r="G50" s="688"/>
      <c r="H50" s="688"/>
      <c r="I50" s="688"/>
      <c r="J50" s="688"/>
      <c r="K50" s="688"/>
      <c r="L50" s="688"/>
      <c r="M50" s="688"/>
      <c r="N50" s="688"/>
      <c r="O50" s="688"/>
      <c r="P50" s="688"/>
      <c r="Q50" s="688"/>
      <c r="R50" s="688"/>
      <c r="S50" s="688"/>
      <c r="T50" s="688"/>
      <c r="U50" s="688"/>
      <c r="V50" s="688"/>
      <c r="W50" s="688"/>
      <c r="X50" s="688"/>
      <c r="BB50" s="992" t="s">
        <v>736</v>
      </c>
      <c r="BC50" s="995">
        <f t="shared" ref="BC50:BD50" si="8">B48</f>
        <v>0</v>
      </c>
      <c r="BD50" s="996">
        <f t="shared" si="8"/>
        <v>0</v>
      </c>
      <c r="BE50" s="1007"/>
      <c r="BF50" s="478"/>
    </row>
    <row r="51" spans="1:58" x14ac:dyDescent="0.25">
      <c r="A51" s="305" t="s">
        <v>738</v>
      </c>
      <c r="B51" s="726">
        <f>Calculations!C8</f>
        <v>100000</v>
      </c>
      <c r="C51" s="972">
        <f>Calculations!D8</f>
        <v>1</v>
      </c>
      <c r="D51" s="727"/>
      <c r="E51" s="727"/>
      <c r="F51" s="688"/>
      <c r="G51" s="688"/>
      <c r="H51" s="688"/>
      <c r="I51" s="688"/>
      <c r="J51" s="688"/>
      <c r="K51" s="688"/>
      <c r="L51" s="688"/>
      <c r="M51" s="688"/>
      <c r="N51" s="688"/>
      <c r="O51" s="688"/>
      <c r="P51" s="688"/>
      <c r="Q51" s="688"/>
      <c r="R51" s="688"/>
      <c r="S51" s="688"/>
      <c r="T51" s="688"/>
      <c r="U51" s="688"/>
      <c r="V51" s="688"/>
      <c r="W51" s="688"/>
      <c r="X51" s="688"/>
      <c r="BB51" s="988" t="s">
        <v>737</v>
      </c>
      <c r="BC51" s="995">
        <f t="shared" ref="BC51:BD51" si="9">B49</f>
        <v>771980</v>
      </c>
      <c r="BD51" s="996">
        <f t="shared" si="9"/>
        <v>0</v>
      </c>
      <c r="BE51" s="1007"/>
      <c r="BF51" s="478"/>
    </row>
    <row r="52" spans="1:58" x14ac:dyDescent="0.25">
      <c r="A52" s="305" t="s">
        <v>739</v>
      </c>
      <c r="B52" s="726">
        <f>Calculations!C9</f>
        <v>80000</v>
      </c>
      <c r="C52" s="972">
        <f>Calculations!D9</f>
        <v>0</v>
      </c>
      <c r="D52" s="727"/>
      <c r="E52" s="727"/>
      <c r="F52" s="688"/>
      <c r="G52" s="688"/>
      <c r="H52" s="688"/>
      <c r="I52" s="688"/>
      <c r="J52" s="688"/>
      <c r="K52" s="688"/>
      <c r="L52" s="688"/>
      <c r="M52" s="688"/>
      <c r="N52" s="688"/>
      <c r="O52" s="688"/>
      <c r="P52" s="688"/>
      <c r="Q52" s="688"/>
      <c r="R52" s="688"/>
      <c r="S52" s="688"/>
      <c r="T52" s="688"/>
      <c r="U52" s="688"/>
      <c r="V52" s="688"/>
      <c r="W52" s="688"/>
      <c r="X52" s="688"/>
      <c r="BB52" s="964" t="s">
        <v>120</v>
      </c>
      <c r="BC52" s="997"/>
      <c r="BD52" s="995"/>
      <c r="BE52" s="1007"/>
      <c r="BF52" s="478"/>
    </row>
    <row r="53" spans="1:58" x14ac:dyDescent="0.25">
      <c r="A53" s="305" t="s">
        <v>740</v>
      </c>
      <c r="B53" s="726">
        <f>Calculations!C10</f>
        <v>50000</v>
      </c>
      <c r="C53" s="972">
        <f>Calculations!D10</f>
        <v>0</v>
      </c>
      <c r="D53" s="727"/>
      <c r="E53" s="727"/>
      <c r="F53" s="688"/>
      <c r="G53" s="688"/>
      <c r="H53" s="688"/>
      <c r="I53" s="688"/>
      <c r="J53" s="688"/>
      <c r="K53" s="688"/>
      <c r="L53" s="688"/>
      <c r="M53" s="688"/>
      <c r="N53" s="688"/>
      <c r="O53" s="688"/>
      <c r="P53" s="688"/>
      <c r="Q53" s="688"/>
      <c r="R53" s="688"/>
      <c r="S53" s="688"/>
      <c r="T53" s="688"/>
      <c r="U53" s="688"/>
      <c r="V53" s="688"/>
      <c r="W53" s="688"/>
      <c r="X53" s="688"/>
      <c r="BB53" s="992" t="s">
        <v>738</v>
      </c>
      <c r="BC53" s="995">
        <f t="shared" ref="BC53:BD53" si="10">B51</f>
        <v>100000</v>
      </c>
      <c r="BD53" s="996">
        <f t="shared" si="10"/>
        <v>1</v>
      </c>
      <c r="BE53" s="1007"/>
      <c r="BF53" s="478"/>
    </row>
    <row r="54" spans="1:58" x14ac:dyDescent="0.25">
      <c r="A54" s="305" t="s">
        <v>741</v>
      </c>
      <c r="B54" s="726">
        <f>Calculations!C11</f>
        <v>75000</v>
      </c>
      <c r="C54" s="972">
        <f>Calculations!D11</f>
        <v>0</v>
      </c>
      <c r="D54" s="727"/>
      <c r="E54" s="727"/>
      <c r="F54" s="688"/>
      <c r="G54" s="688"/>
      <c r="H54" s="688"/>
      <c r="I54" s="688"/>
      <c r="J54" s="688"/>
      <c r="K54" s="688"/>
      <c r="L54" s="688"/>
      <c r="M54" s="688"/>
      <c r="N54" s="688"/>
      <c r="O54" s="688"/>
      <c r="P54" s="688"/>
      <c r="Q54" s="688"/>
      <c r="R54" s="688"/>
      <c r="S54" s="688"/>
      <c r="T54" s="688"/>
      <c r="U54" s="688"/>
      <c r="V54" s="688"/>
      <c r="W54" s="688"/>
      <c r="X54" s="688"/>
      <c r="BB54" s="992" t="s">
        <v>739</v>
      </c>
      <c r="BC54" s="995">
        <f t="shared" ref="BC54:BD54" si="11">B52</f>
        <v>80000</v>
      </c>
      <c r="BD54" s="996">
        <f t="shared" si="11"/>
        <v>0</v>
      </c>
      <c r="BE54" s="1007"/>
      <c r="BF54" s="478"/>
    </row>
    <row r="55" spans="1:58" x14ac:dyDescent="0.25">
      <c r="A55" s="305" t="s">
        <v>742</v>
      </c>
      <c r="B55" s="726">
        <f>Calculations!C12</f>
        <v>50000</v>
      </c>
      <c r="C55" s="972">
        <f>Calculations!D12</f>
        <v>0</v>
      </c>
      <c r="D55" s="727"/>
      <c r="E55" s="727"/>
      <c r="F55" s="688"/>
      <c r="G55" s="688"/>
      <c r="H55" s="688"/>
      <c r="I55" s="688"/>
      <c r="J55" s="688"/>
      <c r="K55" s="688"/>
      <c r="L55" s="688"/>
      <c r="M55" s="688"/>
      <c r="N55" s="688"/>
      <c r="O55" s="688"/>
      <c r="P55" s="688"/>
      <c r="Q55" s="688"/>
      <c r="R55" s="688"/>
      <c r="S55" s="688"/>
      <c r="T55" s="688"/>
      <c r="U55" s="688"/>
      <c r="V55" s="688"/>
      <c r="W55" s="688"/>
      <c r="X55" s="688"/>
      <c r="BB55" s="992" t="s">
        <v>740</v>
      </c>
      <c r="BC55" s="995">
        <f t="shared" ref="BC55:BD55" si="12">B53</f>
        <v>50000</v>
      </c>
      <c r="BD55" s="996">
        <f t="shared" si="12"/>
        <v>0</v>
      </c>
      <c r="BE55" s="1007"/>
      <c r="BF55" s="478"/>
    </row>
    <row r="56" spans="1:58" x14ac:dyDescent="0.25">
      <c r="A56" s="305" t="s">
        <v>743</v>
      </c>
      <c r="B56" s="726">
        <f>Calculations!C13</f>
        <v>0</v>
      </c>
      <c r="C56" s="972">
        <f>Calculations!D13</f>
        <v>0</v>
      </c>
      <c r="D56" s="727"/>
      <c r="E56" s="727"/>
      <c r="F56" s="688"/>
      <c r="G56" s="688"/>
      <c r="H56" s="688"/>
      <c r="I56" s="688"/>
      <c r="J56" s="688"/>
      <c r="K56" s="688"/>
      <c r="L56" s="688"/>
      <c r="M56" s="688"/>
      <c r="N56" s="688"/>
      <c r="O56" s="688"/>
      <c r="P56" s="688"/>
      <c r="Q56" s="688"/>
      <c r="R56" s="688"/>
      <c r="S56" s="688"/>
      <c r="T56" s="688"/>
      <c r="U56" s="688"/>
      <c r="V56" s="688"/>
      <c r="W56" s="688"/>
      <c r="X56" s="688"/>
      <c r="BB56" s="992" t="s">
        <v>741</v>
      </c>
      <c r="BC56" s="995">
        <f t="shared" ref="BC56:BD56" si="13">B54</f>
        <v>75000</v>
      </c>
      <c r="BD56" s="996">
        <f t="shared" si="13"/>
        <v>0</v>
      </c>
      <c r="BE56" s="1007"/>
      <c r="BF56" s="478"/>
    </row>
    <row r="57" spans="1:58" ht="15.75" thickBot="1" x14ac:dyDescent="0.3">
      <c r="A57" s="305" t="s">
        <v>744</v>
      </c>
      <c r="B57" s="726">
        <f>Calculations!C14</f>
        <v>1000000</v>
      </c>
      <c r="C57" s="972">
        <f>Calculations!D14</f>
        <v>0</v>
      </c>
      <c r="D57" s="727"/>
      <c r="E57" s="727"/>
      <c r="F57" s="688"/>
      <c r="G57" s="688"/>
      <c r="H57" s="688"/>
      <c r="I57" s="688"/>
      <c r="J57" s="688"/>
      <c r="K57" s="688"/>
      <c r="L57" s="688"/>
      <c r="M57" s="688"/>
      <c r="N57" s="688"/>
      <c r="O57" s="688"/>
      <c r="P57" s="688"/>
      <c r="Q57" s="688"/>
      <c r="R57" s="688"/>
      <c r="S57" s="688"/>
      <c r="T57" s="688"/>
      <c r="U57" s="688"/>
      <c r="V57" s="688"/>
      <c r="W57" s="688"/>
      <c r="X57" s="688"/>
      <c r="BB57" s="992" t="s">
        <v>742</v>
      </c>
      <c r="BC57" s="995">
        <f t="shared" ref="BC57:BD57" si="14">B55</f>
        <v>50000</v>
      </c>
      <c r="BD57" s="996">
        <f t="shared" si="14"/>
        <v>0</v>
      </c>
      <c r="BE57" s="1007"/>
      <c r="BF57" s="478"/>
    </row>
    <row r="58" spans="1:58" x14ac:dyDescent="0.25">
      <c r="A58" s="656" t="s">
        <v>788</v>
      </c>
      <c r="B58" s="973">
        <f>Calculations!C15</f>
        <v>2426980</v>
      </c>
      <c r="C58" s="974"/>
      <c r="D58" s="727"/>
      <c r="E58" s="727"/>
      <c r="F58" s="688"/>
      <c r="G58" s="688"/>
      <c r="H58" s="688"/>
      <c r="I58" s="688"/>
      <c r="J58" s="688"/>
      <c r="K58" s="688"/>
      <c r="L58" s="688"/>
      <c r="M58" s="688"/>
      <c r="N58" s="688"/>
      <c r="O58" s="688"/>
      <c r="P58" s="688"/>
      <c r="Q58" s="688"/>
      <c r="R58" s="688"/>
      <c r="S58" s="688"/>
      <c r="T58" s="688"/>
      <c r="U58" s="688"/>
      <c r="V58" s="688"/>
      <c r="W58" s="688"/>
      <c r="X58" s="688"/>
      <c r="BB58" s="992" t="s">
        <v>743</v>
      </c>
      <c r="BC58" s="995">
        <f t="shared" ref="BC58:BD58" si="15">B56</f>
        <v>0</v>
      </c>
      <c r="BD58" s="996">
        <f t="shared" si="15"/>
        <v>0</v>
      </c>
      <c r="BE58" s="1007"/>
      <c r="BF58" s="478"/>
    </row>
    <row r="59" spans="1:58" x14ac:dyDescent="0.25">
      <c r="A59" s="313"/>
      <c r="B59" s="687"/>
      <c r="C59" s="726"/>
      <c r="D59" s="727"/>
      <c r="E59" s="727"/>
      <c r="F59" s="688"/>
      <c r="G59" s="688"/>
      <c r="H59" s="688"/>
      <c r="I59" s="688"/>
      <c r="J59" s="688"/>
      <c r="K59" s="688"/>
      <c r="L59" s="688"/>
      <c r="M59" s="688"/>
      <c r="N59" s="688"/>
      <c r="O59" s="688"/>
      <c r="P59" s="688"/>
      <c r="Q59" s="688"/>
      <c r="R59" s="688"/>
      <c r="S59" s="688"/>
      <c r="T59" s="688"/>
      <c r="U59" s="688"/>
      <c r="V59" s="688"/>
      <c r="W59" s="688"/>
      <c r="X59" s="688"/>
      <c r="BB59" s="992" t="s">
        <v>744</v>
      </c>
      <c r="BC59" s="995">
        <f t="shared" ref="BC59:BD59" si="16">B57</f>
        <v>1000000</v>
      </c>
      <c r="BD59" s="996">
        <f t="shared" si="16"/>
        <v>0</v>
      </c>
      <c r="BE59" s="1007"/>
      <c r="BF59" s="478"/>
    </row>
    <row r="60" spans="1:58" ht="15.75" x14ac:dyDescent="0.25">
      <c r="A60" s="310" t="s">
        <v>947</v>
      </c>
      <c r="B60" s="687"/>
      <c r="C60" s="726"/>
      <c r="D60" s="727"/>
      <c r="E60" s="727"/>
      <c r="F60" s="688"/>
      <c r="G60" s="688"/>
      <c r="H60" s="688"/>
      <c r="I60" s="688"/>
      <c r="J60" s="688"/>
      <c r="K60" s="688"/>
      <c r="L60" s="688"/>
      <c r="M60" s="688"/>
      <c r="N60" s="688"/>
      <c r="O60" s="688"/>
      <c r="P60" s="688"/>
      <c r="Q60" s="688"/>
      <c r="R60" s="688"/>
      <c r="S60" s="688"/>
      <c r="T60" s="688"/>
      <c r="U60" s="688"/>
      <c r="V60" s="688"/>
      <c r="W60" s="688"/>
      <c r="X60" s="688"/>
      <c r="BB60" s="964" t="s">
        <v>788</v>
      </c>
      <c r="BC60" s="1014">
        <f t="shared" ref="BC60" si="17">B58</f>
        <v>2426980</v>
      </c>
      <c r="BD60" s="996"/>
      <c r="BE60" s="1007"/>
      <c r="BF60" s="478"/>
    </row>
    <row r="61" spans="1:58" x14ac:dyDescent="0.25">
      <c r="A61" s="305" t="s">
        <v>738</v>
      </c>
      <c r="B61" s="726">
        <f>Calculations!C18</f>
        <v>55862.781081081077</v>
      </c>
      <c r="C61" s="972">
        <f>Calculations!D18</f>
        <v>1</v>
      </c>
      <c r="D61" s="727"/>
      <c r="E61" s="727"/>
      <c r="F61" s="688"/>
      <c r="G61" s="688"/>
      <c r="H61" s="688"/>
      <c r="I61" s="688"/>
      <c r="J61" s="688"/>
      <c r="K61" s="688"/>
      <c r="L61" s="688"/>
      <c r="M61" s="688"/>
      <c r="N61" s="688"/>
      <c r="O61" s="688"/>
      <c r="P61" s="688"/>
      <c r="Q61" s="688"/>
      <c r="R61" s="688"/>
      <c r="S61" s="688"/>
      <c r="T61" s="688"/>
      <c r="U61" s="688"/>
      <c r="V61" s="688"/>
      <c r="W61" s="688"/>
      <c r="X61" s="688"/>
      <c r="BB61" s="992"/>
      <c r="BC61" s="997"/>
      <c r="BD61" s="995"/>
      <c r="BE61" s="1007"/>
      <c r="BF61" s="478"/>
    </row>
    <row r="62" spans="1:58" x14ac:dyDescent="0.25">
      <c r="A62" s="305" t="s">
        <v>777</v>
      </c>
      <c r="B62" s="726">
        <f>Calculations!C19</f>
        <v>63843.178378378376</v>
      </c>
      <c r="C62" s="972">
        <f>Calculations!D19</f>
        <v>0</v>
      </c>
      <c r="D62" s="727"/>
      <c r="E62" s="727"/>
      <c r="F62" s="688"/>
      <c r="G62" s="688"/>
      <c r="H62" s="688"/>
      <c r="I62" s="688"/>
      <c r="J62" s="688"/>
      <c r="K62" s="688"/>
      <c r="L62" s="688"/>
      <c r="M62" s="688"/>
      <c r="N62" s="688"/>
      <c r="O62" s="688"/>
      <c r="P62" s="688"/>
      <c r="Q62" s="688"/>
      <c r="R62" s="688"/>
      <c r="S62" s="688"/>
      <c r="T62" s="688"/>
      <c r="U62" s="688"/>
      <c r="V62" s="688"/>
      <c r="W62" s="688"/>
      <c r="X62" s="688"/>
      <c r="BB62" s="964" t="s">
        <v>947</v>
      </c>
      <c r="BC62" s="997"/>
      <c r="BD62" s="995"/>
      <c r="BE62" s="1007"/>
      <c r="BF62" s="478"/>
    </row>
    <row r="63" spans="1:58" x14ac:dyDescent="0.25">
      <c r="A63" s="305" t="s">
        <v>778</v>
      </c>
      <c r="B63" s="726">
        <f>Calculations!C20</f>
        <v>474833.63918918918</v>
      </c>
      <c r="C63" s="972">
        <f>Calculations!D20</f>
        <v>0</v>
      </c>
      <c r="D63" s="727"/>
      <c r="E63" s="727"/>
      <c r="F63" s="688"/>
      <c r="G63" s="688"/>
      <c r="H63" s="688"/>
      <c r="I63" s="688"/>
      <c r="J63" s="688"/>
      <c r="K63" s="688"/>
      <c r="L63" s="688"/>
      <c r="M63" s="688"/>
      <c r="N63" s="688"/>
      <c r="O63" s="688"/>
      <c r="P63" s="688"/>
      <c r="Q63" s="688"/>
      <c r="R63" s="688"/>
      <c r="S63" s="688"/>
      <c r="T63" s="688"/>
      <c r="U63" s="688"/>
      <c r="V63" s="688"/>
      <c r="W63" s="688"/>
      <c r="X63" s="688"/>
      <c r="BB63" s="992" t="s">
        <v>738</v>
      </c>
      <c r="BC63" s="995">
        <f t="shared" ref="BC63:BC81" si="18">B61</f>
        <v>55862.781081081077</v>
      </c>
      <c r="BD63" s="996">
        <f t="shared" ref="BD63:BD80" si="19">C61</f>
        <v>1</v>
      </c>
      <c r="BE63" s="1007"/>
      <c r="BF63" s="478"/>
    </row>
    <row r="64" spans="1:58" x14ac:dyDescent="0.25">
      <c r="A64" s="305" t="s">
        <v>779</v>
      </c>
      <c r="B64" s="726">
        <f>Calculations!C21</f>
        <v>126888.31702702699</v>
      </c>
      <c r="C64" s="972">
        <f>Calculations!D21</f>
        <v>0</v>
      </c>
      <c r="D64" s="727"/>
      <c r="E64" s="727"/>
      <c r="F64" s="688"/>
      <c r="G64" s="688"/>
      <c r="H64" s="688"/>
      <c r="I64" s="688"/>
      <c r="J64" s="688"/>
      <c r="K64" s="688"/>
      <c r="L64" s="688"/>
      <c r="M64" s="688"/>
      <c r="N64" s="688"/>
      <c r="O64" s="688"/>
      <c r="P64" s="688"/>
      <c r="Q64" s="688"/>
      <c r="R64" s="688"/>
      <c r="S64" s="688"/>
      <c r="T64" s="688"/>
      <c r="U64" s="688"/>
      <c r="V64" s="688"/>
      <c r="W64" s="688"/>
      <c r="X64" s="688"/>
      <c r="BB64" s="992" t="s">
        <v>777</v>
      </c>
      <c r="BC64" s="995">
        <f t="shared" si="18"/>
        <v>63843.178378378376</v>
      </c>
      <c r="BD64" s="996">
        <f t="shared" si="19"/>
        <v>0</v>
      </c>
      <c r="BE64" s="1007"/>
      <c r="BF64" s="478"/>
    </row>
    <row r="65" spans="1:58" x14ac:dyDescent="0.25">
      <c r="A65" s="305" t="s">
        <v>780</v>
      </c>
      <c r="B65" s="726">
        <f>Calculations!C22</f>
        <v>376259.77177297295</v>
      </c>
      <c r="C65" s="972">
        <f>Calculations!D22</f>
        <v>0</v>
      </c>
      <c r="D65" s="727"/>
      <c r="E65" s="727"/>
      <c r="F65" s="688"/>
      <c r="G65" s="688"/>
      <c r="H65" s="688"/>
      <c r="I65" s="688"/>
      <c r="J65" s="688"/>
      <c r="K65" s="688"/>
      <c r="L65" s="688"/>
      <c r="M65" s="688"/>
      <c r="N65" s="688"/>
      <c r="O65" s="688"/>
      <c r="P65" s="688"/>
      <c r="Q65" s="688"/>
      <c r="R65" s="688"/>
      <c r="S65" s="688"/>
      <c r="T65" s="688"/>
      <c r="U65" s="688"/>
      <c r="V65" s="688"/>
      <c r="W65" s="688"/>
      <c r="X65" s="688"/>
      <c r="BB65" s="988" t="s">
        <v>778</v>
      </c>
      <c r="BC65" s="995">
        <f t="shared" si="18"/>
        <v>474833.63918918918</v>
      </c>
      <c r="BD65" s="996">
        <f t="shared" si="19"/>
        <v>0</v>
      </c>
      <c r="BE65" s="1007"/>
      <c r="BF65" s="478"/>
    </row>
    <row r="66" spans="1:58" x14ac:dyDescent="0.25">
      <c r="A66" s="305" t="s">
        <v>781</v>
      </c>
      <c r="B66" s="726">
        <f>Calculations!C23</f>
        <v>131441.83783783784</v>
      </c>
      <c r="C66" s="972">
        <f>Calculations!D23</f>
        <v>0</v>
      </c>
      <c r="D66" s="727"/>
      <c r="E66" s="727"/>
      <c r="F66" s="688"/>
      <c r="G66" s="688"/>
      <c r="H66" s="688"/>
      <c r="I66" s="688"/>
      <c r="J66" s="688"/>
      <c r="K66" s="688"/>
      <c r="L66" s="688"/>
      <c r="M66" s="688"/>
      <c r="N66" s="688"/>
      <c r="O66" s="688"/>
      <c r="P66" s="688"/>
      <c r="Q66" s="688"/>
      <c r="R66" s="688"/>
      <c r="S66" s="688"/>
      <c r="T66" s="688"/>
      <c r="U66" s="688"/>
      <c r="V66" s="688"/>
      <c r="W66" s="688"/>
      <c r="X66" s="688"/>
      <c r="BB66" s="992" t="s">
        <v>779</v>
      </c>
      <c r="BC66" s="995">
        <f t="shared" si="18"/>
        <v>126888.31702702699</v>
      </c>
      <c r="BD66" s="996">
        <f t="shared" si="19"/>
        <v>0</v>
      </c>
      <c r="BE66" s="1007"/>
      <c r="BF66" s="478"/>
    </row>
    <row r="67" spans="1:58" x14ac:dyDescent="0.25">
      <c r="A67" s="305" t="s">
        <v>782</v>
      </c>
      <c r="B67" s="726">
        <f>Calculations!C24</f>
        <v>1197059.5945945946</v>
      </c>
      <c r="C67" s="972">
        <f>Calculations!D24</f>
        <v>0</v>
      </c>
      <c r="D67" s="727"/>
      <c r="E67" s="727"/>
      <c r="F67" s="688"/>
      <c r="G67" s="688"/>
      <c r="H67" s="688"/>
      <c r="I67" s="688"/>
      <c r="J67" s="688"/>
      <c r="K67" s="688"/>
      <c r="L67" s="688"/>
      <c r="M67" s="688"/>
      <c r="N67" s="688"/>
      <c r="O67" s="688"/>
      <c r="P67" s="688"/>
      <c r="Q67" s="688"/>
      <c r="R67" s="688"/>
      <c r="S67" s="688"/>
      <c r="T67" s="688"/>
      <c r="U67" s="688"/>
      <c r="V67" s="688"/>
      <c r="W67" s="688"/>
      <c r="X67" s="688"/>
      <c r="BB67" s="1008" t="s">
        <v>780</v>
      </c>
      <c r="BC67" s="995">
        <f t="shared" si="18"/>
        <v>376259.77177297295</v>
      </c>
      <c r="BD67" s="996">
        <f t="shared" si="19"/>
        <v>0</v>
      </c>
      <c r="BE67" s="1007"/>
      <c r="BF67" s="478"/>
    </row>
    <row r="68" spans="1:58" x14ac:dyDescent="0.25">
      <c r="A68" s="305" t="s">
        <v>922</v>
      </c>
      <c r="B68" s="726">
        <f>Calculations!C25</f>
        <v>183868.35372972972</v>
      </c>
      <c r="C68" s="972">
        <f>Calculations!D25</f>
        <v>0</v>
      </c>
      <c r="D68" s="727"/>
      <c r="E68" s="727"/>
      <c r="F68" s="688"/>
      <c r="G68" s="688"/>
      <c r="H68" s="688"/>
      <c r="I68" s="688"/>
      <c r="J68" s="688"/>
      <c r="K68" s="688"/>
      <c r="L68" s="688"/>
      <c r="M68" s="688"/>
      <c r="N68" s="688"/>
      <c r="O68" s="688"/>
      <c r="P68" s="688"/>
      <c r="Q68" s="688"/>
      <c r="R68" s="688"/>
      <c r="S68" s="688"/>
      <c r="T68" s="688"/>
      <c r="U68" s="688"/>
      <c r="V68" s="688"/>
      <c r="W68" s="688"/>
      <c r="X68" s="688"/>
      <c r="BB68" s="1008" t="s">
        <v>781</v>
      </c>
      <c r="BC68" s="995">
        <f t="shared" si="18"/>
        <v>131441.83783783784</v>
      </c>
      <c r="BD68" s="996">
        <f t="shared" si="19"/>
        <v>0</v>
      </c>
      <c r="BE68" s="1007"/>
      <c r="BF68" s="478"/>
    </row>
    <row r="69" spans="1:58" x14ac:dyDescent="0.25">
      <c r="A69" s="305" t="s">
        <v>98</v>
      </c>
      <c r="B69" s="726">
        <f>Calculations!C26</f>
        <v>10000</v>
      </c>
      <c r="C69" s="972">
        <f>Calculations!D26</f>
        <v>0</v>
      </c>
      <c r="D69" s="727"/>
      <c r="E69" s="727"/>
      <c r="F69" s="688"/>
      <c r="G69" s="688"/>
      <c r="H69" s="688"/>
      <c r="I69" s="688"/>
      <c r="J69" s="688"/>
      <c r="K69" s="688"/>
      <c r="L69" s="688"/>
      <c r="M69" s="688"/>
      <c r="N69" s="688"/>
      <c r="O69" s="688"/>
      <c r="P69" s="688"/>
      <c r="Q69" s="688"/>
      <c r="R69" s="688"/>
      <c r="S69" s="688"/>
      <c r="T69" s="688"/>
      <c r="U69" s="688"/>
      <c r="V69" s="688"/>
      <c r="W69" s="688"/>
      <c r="X69" s="688"/>
      <c r="BB69" s="992" t="s">
        <v>782</v>
      </c>
      <c r="BC69" s="995">
        <f t="shared" si="18"/>
        <v>1197059.5945945946</v>
      </c>
      <c r="BD69" s="996">
        <f t="shared" si="19"/>
        <v>0</v>
      </c>
      <c r="BE69" s="1007"/>
      <c r="BF69" s="478"/>
    </row>
    <row r="70" spans="1:58" x14ac:dyDescent="0.25">
      <c r="A70" s="305" t="s">
        <v>334</v>
      </c>
      <c r="B70" s="726">
        <f>Calculations!C27</f>
        <v>250000</v>
      </c>
      <c r="C70" s="972">
        <f>Calculations!D27</f>
        <v>1</v>
      </c>
      <c r="D70" s="727"/>
      <c r="E70" s="727"/>
      <c r="F70" s="688"/>
      <c r="G70" s="688"/>
      <c r="H70" s="688"/>
      <c r="I70" s="688"/>
      <c r="J70" s="688"/>
      <c r="K70" s="688"/>
      <c r="L70" s="688"/>
      <c r="M70" s="688"/>
      <c r="N70" s="688"/>
      <c r="O70" s="688"/>
      <c r="P70" s="688"/>
      <c r="Q70" s="688"/>
      <c r="R70" s="688"/>
      <c r="S70" s="688"/>
      <c r="T70" s="688"/>
      <c r="U70" s="688"/>
      <c r="V70" s="688"/>
      <c r="W70" s="688"/>
      <c r="X70" s="688"/>
      <c r="BB70" s="992" t="s">
        <v>922</v>
      </c>
      <c r="BC70" s="995">
        <f t="shared" si="18"/>
        <v>183868.35372972972</v>
      </c>
      <c r="BD70" s="996">
        <f t="shared" si="19"/>
        <v>0</v>
      </c>
      <c r="BE70" s="1007"/>
      <c r="BF70" s="478"/>
    </row>
    <row r="71" spans="1:58" x14ac:dyDescent="0.25">
      <c r="A71" s="305" t="s">
        <v>387</v>
      </c>
      <c r="B71" s="726">
        <f>Calculations!C28</f>
        <v>1956206.2500000005</v>
      </c>
      <c r="C71" s="972">
        <f>Calculations!D28</f>
        <v>1</v>
      </c>
      <c r="D71" s="727"/>
      <c r="E71" s="727"/>
      <c r="F71" s="688"/>
      <c r="G71" s="688"/>
      <c r="H71" s="688"/>
      <c r="I71" s="688"/>
      <c r="J71" s="688"/>
      <c r="K71" s="688"/>
      <c r="L71" s="688"/>
      <c r="M71" s="688"/>
      <c r="N71" s="688"/>
      <c r="O71" s="688"/>
      <c r="P71" s="688"/>
      <c r="Q71" s="688"/>
      <c r="R71" s="688"/>
      <c r="S71" s="688"/>
      <c r="T71" s="688"/>
      <c r="U71" s="688"/>
      <c r="V71" s="688"/>
      <c r="W71" s="688"/>
      <c r="X71" s="688"/>
      <c r="BB71" s="992" t="s">
        <v>98</v>
      </c>
      <c r="BC71" s="995">
        <f t="shared" si="18"/>
        <v>10000</v>
      </c>
      <c r="BD71" s="996">
        <f t="shared" si="19"/>
        <v>0</v>
      </c>
      <c r="BE71" s="1007"/>
      <c r="BF71" s="478"/>
    </row>
    <row r="72" spans="1:58" x14ac:dyDescent="0.25">
      <c r="A72" s="305" t="s">
        <v>335</v>
      </c>
      <c r="B72" s="726">
        <f>Calculations!C29</f>
        <v>250000</v>
      </c>
      <c r="C72" s="972">
        <f>Calculations!D29</f>
        <v>0</v>
      </c>
      <c r="D72" s="727"/>
      <c r="E72" s="727"/>
      <c r="F72" s="688"/>
      <c r="G72" s="688"/>
      <c r="H72" s="688"/>
      <c r="I72" s="688"/>
      <c r="J72" s="688"/>
      <c r="K72" s="688"/>
      <c r="L72" s="688"/>
      <c r="M72" s="688"/>
      <c r="N72" s="688"/>
      <c r="O72" s="688"/>
      <c r="P72" s="688"/>
      <c r="Q72" s="688"/>
      <c r="R72" s="688"/>
      <c r="S72" s="688"/>
      <c r="T72" s="688"/>
      <c r="U72" s="688"/>
      <c r="V72" s="688"/>
      <c r="W72" s="688"/>
      <c r="X72" s="688"/>
      <c r="BB72" s="992" t="s">
        <v>334</v>
      </c>
      <c r="BC72" s="995">
        <f t="shared" si="18"/>
        <v>250000</v>
      </c>
      <c r="BD72" s="996">
        <f t="shared" si="19"/>
        <v>1</v>
      </c>
      <c r="BE72" s="1007"/>
      <c r="BF72" s="478"/>
    </row>
    <row r="73" spans="1:58" x14ac:dyDescent="0.25">
      <c r="A73" s="305" t="s">
        <v>338</v>
      </c>
      <c r="B73" s="726">
        <f>Calculations!C30</f>
        <v>450000</v>
      </c>
      <c r="C73" s="972">
        <f>Calculations!D30</f>
        <v>0</v>
      </c>
      <c r="D73" s="727"/>
      <c r="E73" s="727"/>
      <c r="F73" s="688"/>
      <c r="G73" s="688"/>
      <c r="H73" s="688"/>
      <c r="I73" s="688"/>
      <c r="J73" s="688"/>
      <c r="K73" s="688"/>
      <c r="L73" s="688"/>
      <c r="M73" s="688"/>
      <c r="N73" s="688"/>
      <c r="O73" s="688"/>
      <c r="P73" s="688"/>
      <c r="Q73" s="688"/>
      <c r="R73" s="688"/>
      <c r="S73" s="688"/>
      <c r="T73" s="688"/>
      <c r="U73" s="688"/>
      <c r="V73" s="688"/>
      <c r="W73" s="688"/>
      <c r="X73" s="688"/>
      <c r="BB73" s="992" t="s">
        <v>387</v>
      </c>
      <c r="BC73" s="995">
        <f t="shared" si="18"/>
        <v>1956206.2500000005</v>
      </c>
      <c r="BD73" s="996">
        <f t="shared" si="19"/>
        <v>1</v>
      </c>
      <c r="BE73" s="1007"/>
      <c r="BF73" s="478"/>
    </row>
    <row r="74" spans="1:58" x14ac:dyDescent="0.25">
      <c r="A74" s="305" t="s">
        <v>336</v>
      </c>
      <c r="B74" s="726">
        <f>Calculations!C31</f>
        <v>500000</v>
      </c>
      <c r="C74" s="972">
        <f>Calculations!D31</f>
        <v>1</v>
      </c>
      <c r="D74" s="727"/>
      <c r="E74" s="727"/>
      <c r="F74" s="688"/>
      <c r="G74" s="688"/>
      <c r="H74" s="688"/>
      <c r="I74" s="688"/>
      <c r="J74" s="688"/>
      <c r="K74" s="688"/>
      <c r="L74" s="688"/>
      <c r="M74" s="688"/>
      <c r="N74" s="688"/>
      <c r="O74" s="688"/>
      <c r="P74" s="688"/>
      <c r="Q74" s="688"/>
      <c r="R74" s="688"/>
      <c r="S74" s="688"/>
      <c r="T74" s="688"/>
      <c r="U74" s="688"/>
      <c r="V74" s="688"/>
      <c r="W74" s="688"/>
      <c r="X74" s="688"/>
      <c r="BB74" s="992" t="s">
        <v>335</v>
      </c>
      <c r="BC74" s="995">
        <f t="shared" si="18"/>
        <v>250000</v>
      </c>
      <c r="BD74" s="996">
        <f t="shared" si="19"/>
        <v>0</v>
      </c>
      <c r="BE74" s="1007"/>
      <c r="BF74" s="478"/>
    </row>
    <row r="75" spans="1:58" x14ac:dyDescent="0.25">
      <c r="A75" s="305" t="s">
        <v>339</v>
      </c>
      <c r="B75" s="726">
        <f>Calculations!C32</f>
        <v>100000</v>
      </c>
      <c r="C75" s="972">
        <f>Calculations!D32</f>
        <v>1</v>
      </c>
      <c r="D75" s="727"/>
      <c r="E75" s="727"/>
      <c r="F75" s="688"/>
      <c r="G75" s="688"/>
      <c r="H75" s="688"/>
      <c r="I75" s="688"/>
      <c r="J75" s="688"/>
      <c r="K75" s="688"/>
      <c r="L75" s="688"/>
      <c r="M75" s="688"/>
      <c r="N75" s="688"/>
      <c r="O75" s="688"/>
      <c r="P75" s="688"/>
      <c r="Q75" s="688"/>
      <c r="R75" s="688"/>
      <c r="S75" s="688"/>
      <c r="T75" s="688"/>
      <c r="U75" s="688"/>
      <c r="V75" s="688"/>
      <c r="W75" s="688"/>
      <c r="X75" s="688"/>
      <c r="BB75" s="992" t="s">
        <v>338</v>
      </c>
      <c r="BC75" s="995">
        <f t="shared" si="18"/>
        <v>450000</v>
      </c>
      <c r="BD75" s="996">
        <f t="shared" si="19"/>
        <v>0</v>
      </c>
      <c r="BE75" s="1007"/>
      <c r="BF75" s="478"/>
    </row>
    <row r="76" spans="1:58" x14ac:dyDescent="0.25">
      <c r="A76" s="305" t="s">
        <v>29</v>
      </c>
      <c r="B76" s="726">
        <f>Calculations!C33</f>
        <v>250000</v>
      </c>
      <c r="C76" s="972">
        <f>Calculations!D33</f>
        <v>1</v>
      </c>
      <c r="D76" s="727"/>
      <c r="E76" s="727"/>
      <c r="F76" s="688"/>
      <c r="G76" s="688"/>
      <c r="H76" s="688"/>
      <c r="I76" s="688"/>
      <c r="J76" s="688"/>
      <c r="K76" s="688"/>
      <c r="L76" s="688"/>
      <c r="M76" s="688"/>
      <c r="N76" s="688"/>
      <c r="O76" s="688"/>
      <c r="P76" s="688"/>
      <c r="Q76" s="688"/>
      <c r="R76" s="688"/>
      <c r="S76" s="688"/>
      <c r="T76" s="688"/>
      <c r="U76" s="688"/>
      <c r="V76" s="688"/>
      <c r="W76" s="688"/>
      <c r="X76" s="688"/>
      <c r="BB76" s="988" t="s">
        <v>336</v>
      </c>
      <c r="BC76" s="995">
        <f t="shared" si="18"/>
        <v>500000</v>
      </c>
      <c r="BD76" s="996">
        <f t="shared" si="19"/>
        <v>1</v>
      </c>
      <c r="BE76" s="1007"/>
      <c r="BF76" s="478"/>
    </row>
    <row r="77" spans="1:58" x14ac:dyDescent="0.25">
      <c r="A77" s="305" t="s">
        <v>340</v>
      </c>
      <c r="B77" s="726">
        <f>Calculations!C34</f>
        <v>50000</v>
      </c>
      <c r="C77" s="972">
        <f>Calculations!D34</f>
        <v>1</v>
      </c>
      <c r="D77" s="727"/>
      <c r="E77" s="727"/>
      <c r="F77" s="688"/>
      <c r="G77" s="688"/>
      <c r="H77" s="688"/>
      <c r="I77" s="688"/>
      <c r="J77" s="688"/>
      <c r="K77" s="688"/>
      <c r="L77" s="688"/>
      <c r="M77" s="688"/>
      <c r="N77" s="688"/>
      <c r="O77" s="688"/>
      <c r="P77" s="688"/>
      <c r="Q77" s="688"/>
      <c r="R77" s="688"/>
      <c r="S77" s="688"/>
      <c r="T77" s="688"/>
      <c r="U77" s="688"/>
      <c r="V77" s="688"/>
      <c r="W77" s="688"/>
      <c r="X77" s="688"/>
      <c r="BB77" s="992" t="s">
        <v>339</v>
      </c>
      <c r="BC77" s="995">
        <f t="shared" si="18"/>
        <v>100000</v>
      </c>
      <c r="BD77" s="996">
        <f t="shared" si="19"/>
        <v>1</v>
      </c>
      <c r="BE77" s="1007"/>
      <c r="BF77" s="478"/>
    </row>
    <row r="78" spans="1:58" ht="15.75" thickBot="1" x14ac:dyDescent="0.3">
      <c r="A78" s="305" t="s">
        <v>473</v>
      </c>
      <c r="B78" s="726">
        <f>Calculations!C35</f>
        <v>0</v>
      </c>
      <c r="C78" s="972">
        <f>Calculations!D35</f>
        <v>0</v>
      </c>
      <c r="D78" s="727"/>
      <c r="E78" s="727"/>
      <c r="F78" s="688"/>
      <c r="G78" s="688"/>
      <c r="H78" s="688"/>
      <c r="I78" s="688"/>
      <c r="J78" s="688"/>
      <c r="K78" s="688"/>
      <c r="L78" s="688"/>
      <c r="M78" s="688"/>
      <c r="N78" s="688"/>
      <c r="O78" s="688"/>
      <c r="P78" s="688"/>
      <c r="Q78" s="688"/>
      <c r="R78" s="688"/>
      <c r="S78" s="688"/>
      <c r="T78" s="688"/>
      <c r="U78" s="688"/>
      <c r="V78" s="688"/>
      <c r="W78" s="688"/>
      <c r="X78" s="688"/>
      <c r="BB78" s="988" t="s">
        <v>29</v>
      </c>
      <c r="BC78" s="995">
        <f t="shared" si="18"/>
        <v>250000</v>
      </c>
      <c r="BD78" s="996">
        <f t="shared" si="19"/>
        <v>1</v>
      </c>
      <c r="BE78" s="1007"/>
      <c r="BF78" s="478"/>
    </row>
    <row r="79" spans="1:58" x14ac:dyDescent="0.25">
      <c r="A79" s="456" t="s">
        <v>333</v>
      </c>
      <c r="B79" s="973">
        <f>Calculations!C36</f>
        <v>6242395.3698810814</v>
      </c>
      <c r="C79" s="974"/>
      <c r="D79" s="725"/>
      <c r="E79" s="725"/>
      <c r="F79" s="688"/>
      <c r="G79" s="688"/>
      <c r="H79" s="688"/>
      <c r="I79" s="688"/>
      <c r="J79" s="688"/>
      <c r="K79" s="688"/>
      <c r="L79" s="688"/>
      <c r="M79" s="688"/>
      <c r="N79" s="688"/>
      <c r="O79" s="688"/>
      <c r="P79" s="688"/>
      <c r="Q79" s="688"/>
      <c r="R79" s="688"/>
      <c r="S79" s="688"/>
      <c r="T79" s="688"/>
      <c r="U79" s="688"/>
      <c r="V79" s="688"/>
      <c r="W79" s="688"/>
      <c r="X79" s="688"/>
      <c r="BB79" s="992" t="s">
        <v>340</v>
      </c>
      <c r="BC79" s="995">
        <f t="shared" si="18"/>
        <v>50000</v>
      </c>
      <c r="BD79" s="996">
        <f t="shared" si="19"/>
        <v>1</v>
      </c>
      <c r="BE79" s="1009"/>
      <c r="BF79" s="478"/>
    </row>
    <row r="80" spans="1:58" x14ac:dyDescent="0.25">
      <c r="A80" s="313"/>
      <c r="B80" s="687"/>
      <c r="C80" s="722"/>
      <c r="D80" s="725"/>
      <c r="E80" s="725"/>
      <c r="F80" s="688"/>
      <c r="G80" s="688"/>
      <c r="H80" s="688"/>
      <c r="I80" s="688"/>
      <c r="J80" s="688"/>
      <c r="K80" s="688"/>
      <c r="L80" s="688"/>
      <c r="M80" s="688"/>
      <c r="N80" s="688"/>
      <c r="O80" s="688"/>
      <c r="P80" s="688"/>
      <c r="Q80" s="688"/>
      <c r="R80" s="688"/>
      <c r="S80" s="688"/>
      <c r="T80" s="688"/>
      <c r="U80" s="688"/>
      <c r="V80" s="688"/>
      <c r="W80" s="688"/>
      <c r="X80" s="688"/>
      <c r="BB80" s="988" t="s">
        <v>473</v>
      </c>
      <c r="BC80" s="995">
        <f t="shared" si="18"/>
        <v>0</v>
      </c>
      <c r="BD80" s="996">
        <f t="shared" si="19"/>
        <v>0</v>
      </c>
      <c r="BE80" s="1009"/>
      <c r="BF80" s="478"/>
    </row>
    <row r="81" spans="1:58" ht="15.75" x14ac:dyDescent="0.25">
      <c r="A81" s="341" t="s">
        <v>946</v>
      </c>
      <c r="B81" s="687"/>
      <c r="C81" s="726"/>
      <c r="D81" s="727"/>
      <c r="E81" s="727"/>
      <c r="F81" s="688"/>
      <c r="G81" s="688"/>
      <c r="H81" s="688"/>
      <c r="I81" s="688"/>
      <c r="J81" s="688"/>
      <c r="K81" s="688"/>
      <c r="L81" s="688"/>
      <c r="M81" s="688"/>
      <c r="N81" s="688"/>
      <c r="O81" s="688"/>
      <c r="P81" s="688"/>
      <c r="Q81" s="688"/>
      <c r="R81" s="688"/>
      <c r="S81" s="688"/>
      <c r="T81" s="688"/>
      <c r="U81" s="688"/>
      <c r="V81" s="688"/>
      <c r="W81" s="688"/>
      <c r="X81" s="688"/>
      <c r="BB81" s="990" t="s">
        <v>333</v>
      </c>
      <c r="BC81" s="1014">
        <f t="shared" si="18"/>
        <v>6242395.3698810814</v>
      </c>
      <c r="BD81" s="987"/>
      <c r="BE81" s="1007"/>
      <c r="BF81" s="478"/>
    </row>
    <row r="82" spans="1:58" x14ac:dyDescent="0.25">
      <c r="A82" s="311" t="s">
        <v>119</v>
      </c>
      <c r="B82" s="726">
        <f>Calculations!C39</f>
        <v>78095.191786368247</v>
      </c>
      <c r="C82" s="972">
        <f>Calculations!D39</f>
        <v>1</v>
      </c>
      <c r="D82" s="727"/>
      <c r="E82" s="727"/>
      <c r="F82" s="688"/>
      <c r="G82" s="688"/>
      <c r="H82" s="688"/>
      <c r="I82" s="688"/>
      <c r="J82" s="688"/>
      <c r="K82" s="688"/>
      <c r="L82" s="688"/>
      <c r="M82" s="688"/>
      <c r="N82" s="688"/>
      <c r="O82" s="688"/>
      <c r="P82" s="688"/>
      <c r="Q82" s="688"/>
      <c r="R82" s="688"/>
      <c r="S82" s="688"/>
      <c r="T82" s="688"/>
      <c r="U82" s="688"/>
      <c r="V82" s="688"/>
      <c r="W82" s="688"/>
      <c r="X82" s="688"/>
      <c r="BB82" s="992"/>
      <c r="BC82" s="997"/>
      <c r="BD82" s="995"/>
      <c r="BE82" s="1007"/>
      <c r="BF82" s="478"/>
    </row>
    <row r="83" spans="1:58" x14ac:dyDescent="0.25">
      <c r="A83" s="311" t="s">
        <v>326</v>
      </c>
      <c r="B83" s="726">
        <f>Calculations!C40</f>
        <v>89251.647755849423</v>
      </c>
      <c r="C83" s="972">
        <f>Calculations!D40</f>
        <v>0</v>
      </c>
      <c r="D83" s="727"/>
      <c r="E83" s="727"/>
      <c r="F83" s="688"/>
      <c r="G83" s="688"/>
      <c r="H83" s="688"/>
      <c r="I83" s="688"/>
      <c r="J83" s="688"/>
      <c r="K83" s="688"/>
      <c r="L83" s="688"/>
      <c r="M83" s="688"/>
      <c r="N83" s="688"/>
      <c r="O83" s="688"/>
      <c r="P83" s="688"/>
      <c r="Q83" s="688"/>
      <c r="R83" s="688"/>
      <c r="S83" s="688"/>
      <c r="T83" s="688"/>
      <c r="U83" s="688"/>
      <c r="V83" s="688"/>
      <c r="W83" s="688"/>
      <c r="X83" s="688"/>
      <c r="BB83" s="964" t="s">
        <v>946</v>
      </c>
      <c r="BC83" s="997"/>
      <c r="BD83" s="995"/>
      <c r="BE83" s="1007"/>
      <c r="BF83" s="478"/>
    </row>
    <row r="84" spans="1:58" x14ac:dyDescent="0.25">
      <c r="A84" s="305" t="s">
        <v>936</v>
      </c>
      <c r="B84" s="726">
        <f>Calculations!C41</f>
        <v>663809.13018413016</v>
      </c>
      <c r="C84" s="972">
        <f>Calculations!D41</f>
        <v>0</v>
      </c>
      <c r="D84" s="727"/>
      <c r="E84" s="727"/>
      <c r="F84" s="688"/>
      <c r="G84" s="688"/>
      <c r="H84" s="688"/>
      <c r="I84" s="688"/>
      <c r="J84" s="688"/>
      <c r="K84" s="688"/>
      <c r="L84" s="688"/>
      <c r="M84" s="688"/>
      <c r="N84" s="688"/>
      <c r="O84" s="688"/>
      <c r="P84" s="688"/>
      <c r="Q84" s="688"/>
      <c r="R84" s="688"/>
      <c r="S84" s="688"/>
      <c r="T84" s="688"/>
      <c r="U84" s="688"/>
      <c r="V84" s="688"/>
      <c r="W84" s="688"/>
      <c r="X84" s="688"/>
      <c r="BB84" s="992" t="s">
        <v>119</v>
      </c>
      <c r="BC84" s="995">
        <f t="shared" ref="BC84:BC102" si="20">B82</f>
        <v>78095.191786368247</v>
      </c>
      <c r="BD84" s="996">
        <f t="shared" ref="BD84:BD101" si="21">C82</f>
        <v>1</v>
      </c>
      <c r="BE84" s="1007"/>
      <c r="BF84" s="478"/>
    </row>
    <row r="85" spans="1:58" x14ac:dyDescent="0.25">
      <c r="A85" s="305" t="s">
        <v>755</v>
      </c>
      <c r="B85" s="726">
        <f>Calculations!C42</f>
        <v>177387.64991475068</v>
      </c>
      <c r="C85" s="972">
        <f>Calculations!D42</f>
        <v>0</v>
      </c>
      <c r="D85" s="727"/>
      <c r="E85" s="727"/>
      <c r="F85" s="688"/>
      <c r="G85" s="688"/>
      <c r="H85" s="688"/>
      <c r="I85" s="688"/>
      <c r="J85" s="688"/>
      <c r="K85" s="688"/>
      <c r="L85" s="688"/>
      <c r="M85" s="688"/>
      <c r="N85" s="688"/>
      <c r="O85" s="688"/>
      <c r="P85" s="688"/>
      <c r="Q85" s="688"/>
      <c r="R85" s="688"/>
      <c r="S85" s="688"/>
      <c r="T85" s="688"/>
      <c r="U85" s="688"/>
      <c r="V85" s="688"/>
      <c r="W85" s="688"/>
      <c r="X85" s="688"/>
      <c r="BB85" s="992" t="s">
        <v>326</v>
      </c>
      <c r="BC85" s="995">
        <f t="shared" si="20"/>
        <v>89251.647755849423</v>
      </c>
      <c r="BD85" s="996">
        <f t="shared" si="21"/>
        <v>0</v>
      </c>
      <c r="BE85" s="1007"/>
      <c r="BF85" s="478"/>
    </row>
    <row r="86" spans="1:58" x14ac:dyDescent="0.25">
      <c r="A86" s="305" t="s">
        <v>754</v>
      </c>
      <c r="B86" s="726">
        <f>Calculations!C43</f>
        <v>526004.58604909852</v>
      </c>
      <c r="C86" s="972">
        <f>Calculations!D43</f>
        <v>0</v>
      </c>
      <c r="D86" s="727"/>
      <c r="E86" s="727"/>
      <c r="F86" s="688"/>
      <c r="G86" s="688"/>
      <c r="H86" s="688"/>
      <c r="I86" s="688"/>
      <c r="J86" s="688"/>
      <c r="K86" s="688"/>
      <c r="L86" s="688"/>
      <c r="M86" s="688"/>
      <c r="N86" s="688"/>
      <c r="O86" s="688"/>
      <c r="P86" s="688"/>
      <c r="Q86" s="688"/>
      <c r="R86" s="688"/>
      <c r="S86" s="688"/>
      <c r="T86" s="688"/>
      <c r="U86" s="688"/>
      <c r="V86" s="688"/>
      <c r="W86" s="688"/>
      <c r="X86" s="688"/>
      <c r="BB86" s="988" t="s">
        <v>936</v>
      </c>
      <c r="BC86" s="995">
        <f t="shared" si="20"/>
        <v>663809.13018413016</v>
      </c>
      <c r="BD86" s="996">
        <f t="shared" si="21"/>
        <v>0</v>
      </c>
      <c r="BE86" s="1007"/>
      <c r="BF86" s="478"/>
    </row>
    <row r="87" spans="1:58" x14ac:dyDescent="0.25">
      <c r="A87" s="305" t="s">
        <v>111</v>
      </c>
      <c r="B87" s="726">
        <f>Calculations!C44</f>
        <v>183753.39243851352</v>
      </c>
      <c r="C87" s="972">
        <f>Calculations!D44</f>
        <v>0</v>
      </c>
      <c r="D87" s="727"/>
      <c r="E87" s="727"/>
      <c r="F87" s="688"/>
      <c r="G87" s="688"/>
      <c r="H87" s="688"/>
      <c r="I87" s="688"/>
      <c r="J87" s="688"/>
      <c r="K87" s="688"/>
      <c r="L87" s="688"/>
      <c r="M87" s="688"/>
      <c r="N87" s="688"/>
      <c r="O87" s="688"/>
      <c r="P87" s="688"/>
      <c r="Q87" s="688"/>
      <c r="R87" s="688"/>
      <c r="S87" s="688"/>
      <c r="T87" s="688"/>
      <c r="U87" s="688"/>
      <c r="V87" s="688"/>
      <c r="W87" s="688"/>
      <c r="X87" s="688"/>
      <c r="BB87" s="998" t="s">
        <v>755</v>
      </c>
      <c r="BC87" s="995">
        <f t="shared" si="20"/>
        <v>177387.64991475068</v>
      </c>
      <c r="BD87" s="996">
        <f t="shared" si="21"/>
        <v>0</v>
      </c>
      <c r="BE87" s="1007"/>
      <c r="BF87" s="478"/>
    </row>
    <row r="88" spans="1:58" x14ac:dyDescent="0.25">
      <c r="A88" s="305" t="s">
        <v>332</v>
      </c>
      <c r="B88" s="726">
        <f>Calculations!C45</f>
        <v>1673468.3954221767</v>
      </c>
      <c r="C88" s="972">
        <f>Calculations!D45</f>
        <v>0</v>
      </c>
      <c r="D88" s="727"/>
      <c r="E88" s="727"/>
      <c r="F88" s="688"/>
      <c r="G88" s="688"/>
      <c r="H88" s="688"/>
      <c r="I88" s="688"/>
      <c r="J88" s="688"/>
      <c r="K88" s="688"/>
      <c r="L88" s="688"/>
      <c r="M88" s="688"/>
      <c r="N88" s="688"/>
      <c r="O88" s="688"/>
      <c r="P88" s="688"/>
      <c r="Q88" s="688"/>
      <c r="R88" s="688"/>
      <c r="S88" s="688"/>
      <c r="T88" s="688"/>
      <c r="U88" s="688"/>
      <c r="V88" s="688"/>
      <c r="W88" s="688"/>
      <c r="X88" s="688"/>
      <c r="BB88" s="1010" t="s">
        <v>754</v>
      </c>
      <c r="BC88" s="995">
        <f t="shared" si="20"/>
        <v>526004.58604909852</v>
      </c>
      <c r="BD88" s="996">
        <f t="shared" si="21"/>
        <v>0</v>
      </c>
      <c r="BE88" s="1007"/>
      <c r="BF88" s="478"/>
    </row>
    <row r="89" spans="1:58" x14ac:dyDescent="0.25">
      <c r="A89" s="305" t="s">
        <v>922</v>
      </c>
      <c r="B89" s="726">
        <f>Calculations!C46</f>
        <v>257044.74553684634</v>
      </c>
      <c r="C89" s="972">
        <f>Calculations!D46</f>
        <v>0</v>
      </c>
      <c r="D89" s="727"/>
      <c r="E89" s="727"/>
      <c r="F89" s="688"/>
      <c r="G89" s="688"/>
      <c r="H89" s="688"/>
      <c r="I89" s="688"/>
      <c r="J89" s="688"/>
      <c r="K89" s="688"/>
      <c r="L89" s="688"/>
      <c r="M89" s="688"/>
      <c r="N89" s="688"/>
      <c r="O89" s="688"/>
      <c r="P89" s="688"/>
      <c r="Q89" s="688"/>
      <c r="R89" s="688"/>
      <c r="S89" s="688"/>
      <c r="T89" s="688"/>
      <c r="U89" s="688"/>
      <c r="V89" s="688"/>
      <c r="W89" s="688"/>
      <c r="X89" s="688"/>
      <c r="BB89" s="1010" t="s">
        <v>111</v>
      </c>
      <c r="BC89" s="995">
        <f t="shared" si="20"/>
        <v>183753.39243851352</v>
      </c>
      <c r="BD89" s="996">
        <f t="shared" si="21"/>
        <v>0</v>
      </c>
      <c r="BE89" s="1007"/>
      <c r="BF89" s="478"/>
    </row>
    <row r="90" spans="1:58" x14ac:dyDescent="0.25">
      <c r="A90" s="305" t="s">
        <v>98</v>
      </c>
      <c r="B90" s="726">
        <f>Calculations!C47</f>
        <v>13979.82525664419</v>
      </c>
      <c r="C90" s="972">
        <f>Calculations!D47</f>
        <v>0</v>
      </c>
      <c r="D90" s="727"/>
      <c r="E90" s="727"/>
      <c r="F90" s="688"/>
      <c r="G90" s="688"/>
      <c r="H90" s="688"/>
      <c r="I90" s="688"/>
      <c r="J90" s="688"/>
      <c r="K90" s="688"/>
      <c r="L90" s="688"/>
      <c r="M90" s="688"/>
      <c r="N90" s="688"/>
      <c r="O90" s="688"/>
      <c r="P90" s="688"/>
      <c r="Q90" s="688"/>
      <c r="R90" s="688"/>
      <c r="S90" s="688"/>
      <c r="T90" s="688"/>
      <c r="U90" s="688"/>
      <c r="V90" s="688"/>
      <c r="W90" s="688"/>
      <c r="X90" s="688"/>
      <c r="BB90" s="1011" t="s">
        <v>332</v>
      </c>
      <c r="BC90" s="995">
        <f t="shared" si="20"/>
        <v>1673468.3954221767</v>
      </c>
      <c r="BD90" s="996">
        <f t="shared" si="21"/>
        <v>0</v>
      </c>
      <c r="BE90" s="1007"/>
      <c r="BF90" s="478"/>
    </row>
    <row r="91" spans="1:58" x14ac:dyDescent="0.25">
      <c r="A91" s="305" t="s">
        <v>334</v>
      </c>
      <c r="B91" s="726">
        <f>Calculations!C48</f>
        <v>349495.63141610473</v>
      </c>
      <c r="C91" s="972">
        <f>Calculations!D48</f>
        <v>1</v>
      </c>
      <c r="D91" s="727"/>
      <c r="E91" s="727"/>
      <c r="F91" s="688"/>
      <c r="G91" s="688"/>
      <c r="H91" s="688"/>
      <c r="I91" s="688"/>
      <c r="J91" s="688"/>
      <c r="K91" s="688"/>
      <c r="L91" s="688"/>
      <c r="M91" s="688"/>
      <c r="N91" s="688"/>
      <c r="O91" s="688"/>
      <c r="P91" s="688"/>
      <c r="Q91" s="688"/>
      <c r="R91" s="688"/>
      <c r="S91" s="688"/>
      <c r="T91" s="688"/>
      <c r="U91" s="688"/>
      <c r="V91" s="688"/>
      <c r="W91" s="688"/>
      <c r="X91" s="688"/>
      <c r="BB91" s="1010" t="s">
        <v>922</v>
      </c>
      <c r="BC91" s="995">
        <f t="shared" si="20"/>
        <v>257044.74553684634</v>
      </c>
      <c r="BD91" s="996">
        <f t="shared" si="21"/>
        <v>0</v>
      </c>
      <c r="BE91" s="1007"/>
      <c r="BF91" s="478"/>
    </row>
    <row r="92" spans="1:58" x14ac:dyDescent="0.25">
      <c r="A92" s="305" t="s">
        <v>389</v>
      </c>
      <c r="B92" s="726">
        <f>Calculations!C49</f>
        <v>2734742.1540955226</v>
      </c>
      <c r="C92" s="972">
        <f>Calculations!D49</f>
        <v>1</v>
      </c>
      <c r="D92" s="727"/>
      <c r="E92" s="727"/>
      <c r="F92" s="688"/>
      <c r="G92" s="688"/>
      <c r="H92" s="688"/>
      <c r="I92" s="688"/>
      <c r="J92" s="688"/>
      <c r="K92" s="688"/>
      <c r="L92" s="688"/>
      <c r="M92" s="688"/>
      <c r="N92" s="688"/>
      <c r="O92" s="688"/>
      <c r="P92" s="688"/>
      <c r="Q92" s="688"/>
      <c r="R92" s="688"/>
      <c r="S92" s="688"/>
      <c r="T92" s="688"/>
      <c r="U92" s="688"/>
      <c r="V92" s="688"/>
      <c r="W92" s="688"/>
      <c r="X92" s="688"/>
      <c r="BB92" s="1011" t="s">
        <v>98</v>
      </c>
      <c r="BC92" s="995">
        <f t="shared" si="20"/>
        <v>13979.82525664419</v>
      </c>
      <c r="BD92" s="996">
        <f t="shared" si="21"/>
        <v>0</v>
      </c>
      <c r="BE92" s="1007"/>
      <c r="BF92" s="478"/>
    </row>
    <row r="93" spans="1:58" x14ac:dyDescent="0.25">
      <c r="A93" s="305" t="s">
        <v>335</v>
      </c>
      <c r="B93" s="726">
        <f>Calculations!C50</f>
        <v>349495.63141610473</v>
      </c>
      <c r="C93" s="972">
        <f>Calculations!D50</f>
        <v>0</v>
      </c>
      <c r="D93" s="727"/>
      <c r="E93" s="727"/>
      <c r="F93" s="688"/>
      <c r="G93" s="688"/>
      <c r="H93" s="688"/>
      <c r="I93" s="688"/>
      <c r="J93" s="688"/>
      <c r="K93" s="688"/>
      <c r="L93" s="688"/>
      <c r="M93" s="688"/>
      <c r="N93" s="688"/>
      <c r="O93" s="688"/>
      <c r="P93" s="688"/>
      <c r="Q93" s="688"/>
      <c r="R93" s="688"/>
      <c r="S93" s="688"/>
      <c r="T93" s="688"/>
      <c r="U93" s="688"/>
      <c r="V93" s="688"/>
      <c r="W93" s="688"/>
      <c r="X93" s="688"/>
      <c r="BB93" s="1010" t="s">
        <v>334</v>
      </c>
      <c r="BC93" s="995">
        <f t="shared" si="20"/>
        <v>349495.63141610473</v>
      </c>
      <c r="BD93" s="996">
        <f t="shared" si="21"/>
        <v>1</v>
      </c>
      <c r="BE93" s="1007"/>
      <c r="BF93" s="478"/>
    </row>
    <row r="94" spans="1:58" x14ac:dyDescent="0.25">
      <c r="A94" s="305" t="s">
        <v>338</v>
      </c>
      <c r="B94" s="726">
        <f>Calculations!C51</f>
        <v>629092.13654898852</v>
      </c>
      <c r="C94" s="972">
        <f>Calculations!D51</f>
        <v>0</v>
      </c>
      <c r="D94" s="727"/>
      <c r="E94" s="727"/>
      <c r="F94" s="688"/>
      <c r="G94" s="688"/>
      <c r="H94" s="688"/>
      <c r="I94" s="688"/>
      <c r="J94" s="688"/>
      <c r="K94" s="688"/>
      <c r="L94" s="688"/>
      <c r="M94" s="688"/>
      <c r="N94" s="688"/>
      <c r="O94" s="688"/>
      <c r="P94" s="688"/>
      <c r="Q94" s="688"/>
      <c r="R94" s="688"/>
      <c r="S94" s="688"/>
      <c r="T94" s="688"/>
      <c r="U94" s="688"/>
      <c r="V94" s="688"/>
      <c r="W94" s="688"/>
      <c r="X94" s="688"/>
      <c r="BB94" s="1010" t="s">
        <v>389</v>
      </c>
      <c r="BC94" s="995">
        <f t="shared" si="20"/>
        <v>2734742.1540955226</v>
      </c>
      <c r="BD94" s="996">
        <f t="shared" si="21"/>
        <v>1</v>
      </c>
      <c r="BE94" s="1007"/>
      <c r="BF94" s="478"/>
    </row>
    <row r="95" spans="1:58" x14ac:dyDescent="0.25">
      <c r="A95" s="305" t="s">
        <v>336</v>
      </c>
      <c r="B95" s="726">
        <f>Calculations!C52</f>
        <v>698991.26283220947</v>
      </c>
      <c r="C95" s="972">
        <f>Calculations!D52</f>
        <v>1</v>
      </c>
      <c r="D95" s="727"/>
      <c r="E95" s="727"/>
      <c r="F95" s="688"/>
      <c r="G95" s="688"/>
      <c r="H95" s="688"/>
      <c r="I95" s="688"/>
      <c r="J95" s="688"/>
      <c r="K95" s="688"/>
      <c r="L95" s="688"/>
      <c r="M95" s="688"/>
      <c r="N95" s="688"/>
      <c r="O95" s="688"/>
      <c r="P95" s="688"/>
      <c r="Q95" s="688"/>
      <c r="R95" s="688"/>
      <c r="S95" s="688"/>
      <c r="T95" s="688"/>
      <c r="U95" s="688"/>
      <c r="V95" s="688"/>
      <c r="W95" s="688"/>
      <c r="X95" s="688"/>
      <c r="BB95" s="988" t="s">
        <v>335</v>
      </c>
      <c r="BC95" s="995">
        <f t="shared" si="20"/>
        <v>349495.63141610473</v>
      </c>
      <c r="BD95" s="996">
        <f t="shared" si="21"/>
        <v>0</v>
      </c>
      <c r="BE95" s="1007"/>
      <c r="BF95" s="478"/>
    </row>
    <row r="96" spans="1:58" x14ac:dyDescent="0.25">
      <c r="A96" s="305" t="s">
        <v>339</v>
      </c>
      <c r="B96" s="726">
        <f>Calculations!C53</f>
        <v>139798.25256644189</v>
      </c>
      <c r="C96" s="972">
        <f>Calculations!D53</f>
        <v>1</v>
      </c>
      <c r="D96" s="727"/>
      <c r="E96" s="727"/>
      <c r="F96" s="688"/>
      <c r="G96" s="688"/>
      <c r="H96" s="688"/>
      <c r="I96" s="688"/>
      <c r="J96" s="688"/>
      <c r="K96" s="688"/>
      <c r="L96" s="688"/>
      <c r="M96" s="688"/>
      <c r="N96" s="688"/>
      <c r="O96" s="688"/>
      <c r="P96" s="688"/>
      <c r="Q96" s="688"/>
      <c r="R96" s="688"/>
      <c r="S96" s="688"/>
      <c r="T96" s="688"/>
      <c r="U96" s="688"/>
      <c r="V96" s="688"/>
      <c r="W96" s="688"/>
      <c r="X96" s="688"/>
      <c r="BB96" s="988" t="s">
        <v>338</v>
      </c>
      <c r="BC96" s="995">
        <f t="shared" si="20"/>
        <v>629092.13654898852</v>
      </c>
      <c r="BD96" s="996">
        <f t="shared" si="21"/>
        <v>0</v>
      </c>
      <c r="BE96" s="1007"/>
      <c r="BF96" s="478"/>
    </row>
    <row r="97" spans="1:58" x14ac:dyDescent="0.25">
      <c r="A97" s="305" t="s">
        <v>29</v>
      </c>
      <c r="B97" s="726">
        <f>Calculations!C54</f>
        <v>349495.63141610473</v>
      </c>
      <c r="C97" s="972">
        <f>Calculations!D54</f>
        <v>1</v>
      </c>
      <c r="D97" s="727"/>
      <c r="E97" s="727"/>
      <c r="F97" s="688"/>
      <c r="G97" s="688"/>
      <c r="H97" s="688"/>
      <c r="I97" s="688"/>
      <c r="J97" s="688"/>
      <c r="K97" s="688"/>
      <c r="L97" s="688"/>
      <c r="M97" s="688"/>
      <c r="N97" s="688"/>
      <c r="O97" s="688"/>
      <c r="P97" s="688"/>
      <c r="Q97" s="688"/>
      <c r="R97" s="688"/>
      <c r="S97" s="688"/>
      <c r="T97" s="688"/>
      <c r="U97" s="688"/>
      <c r="V97" s="688"/>
      <c r="W97" s="688"/>
      <c r="X97" s="688"/>
      <c r="BB97" s="988" t="s">
        <v>336</v>
      </c>
      <c r="BC97" s="995">
        <f t="shared" si="20"/>
        <v>698991.26283220947</v>
      </c>
      <c r="BD97" s="996">
        <f t="shared" si="21"/>
        <v>1</v>
      </c>
      <c r="BE97" s="1007"/>
      <c r="BF97" s="478"/>
    </row>
    <row r="98" spans="1:58" x14ac:dyDescent="0.25">
      <c r="A98" s="305" t="s">
        <v>340</v>
      </c>
      <c r="B98" s="726">
        <f>Calculations!C55</f>
        <v>69899.126283220947</v>
      </c>
      <c r="C98" s="972">
        <f>Calculations!D55</f>
        <v>1</v>
      </c>
      <c r="D98" s="727"/>
      <c r="E98" s="727"/>
      <c r="F98" s="688"/>
      <c r="G98" s="688"/>
      <c r="H98" s="688"/>
      <c r="I98" s="688"/>
      <c r="J98" s="688"/>
      <c r="K98" s="688"/>
      <c r="L98" s="688"/>
      <c r="M98" s="688"/>
      <c r="N98" s="688"/>
      <c r="O98" s="688"/>
      <c r="P98" s="688"/>
      <c r="Q98" s="688"/>
      <c r="R98" s="688"/>
      <c r="S98" s="688"/>
      <c r="T98" s="688"/>
      <c r="U98" s="688"/>
      <c r="V98" s="688"/>
      <c r="W98" s="688"/>
      <c r="X98" s="688"/>
      <c r="BB98" s="988" t="s">
        <v>339</v>
      </c>
      <c r="BC98" s="995">
        <f t="shared" si="20"/>
        <v>139798.25256644189</v>
      </c>
      <c r="BD98" s="996">
        <f t="shared" si="21"/>
        <v>1</v>
      </c>
      <c r="BE98" s="1007"/>
      <c r="BF98" s="478"/>
    </row>
    <row r="99" spans="1:58" ht="15.75" thickBot="1" x14ac:dyDescent="0.3">
      <c r="A99" s="305" t="s">
        <v>473</v>
      </c>
      <c r="B99" s="726">
        <f>Calculations!C56</f>
        <v>2795965.0513288379</v>
      </c>
      <c r="C99" s="972">
        <f>Calculations!D56</f>
        <v>0</v>
      </c>
      <c r="D99" s="727"/>
      <c r="E99" s="727"/>
      <c r="F99" s="688"/>
      <c r="G99" s="688"/>
      <c r="H99" s="688"/>
      <c r="I99" s="688"/>
      <c r="J99" s="688"/>
      <c r="K99" s="688"/>
      <c r="L99" s="688"/>
      <c r="M99" s="688"/>
      <c r="N99" s="688"/>
      <c r="O99" s="688"/>
      <c r="P99" s="688"/>
      <c r="Q99" s="688"/>
      <c r="R99" s="688"/>
      <c r="S99" s="688"/>
      <c r="T99" s="688"/>
      <c r="U99" s="688"/>
      <c r="V99" s="688"/>
      <c r="W99" s="688"/>
      <c r="X99" s="688"/>
      <c r="BB99" s="988" t="s">
        <v>29</v>
      </c>
      <c r="BC99" s="995">
        <f t="shared" si="20"/>
        <v>349495.63141610473</v>
      </c>
      <c r="BD99" s="996">
        <f t="shared" si="21"/>
        <v>1</v>
      </c>
      <c r="BE99" s="1007"/>
      <c r="BF99" s="478"/>
    </row>
    <row r="100" spans="1:58" x14ac:dyDescent="0.25">
      <c r="A100" s="456" t="s">
        <v>333</v>
      </c>
      <c r="B100" s="973">
        <f>Calculations!C57</f>
        <v>11522724.696711065</v>
      </c>
      <c r="C100" s="775"/>
      <c r="D100" s="727"/>
      <c r="E100" s="727"/>
      <c r="F100" s="688"/>
      <c r="G100" s="688"/>
      <c r="H100" s="688"/>
      <c r="I100" s="688"/>
      <c r="J100" s="688"/>
      <c r="K100" s="688"/>
      <c r="L100" s="688"/>
      <c r="M100" s="688"/>
      <c r="N100" s="688"/>
      <c r="O100" s="688"/>
      <c r="P100" s="688"/>
      <c r="Q100" s="688"/>
      <c r="R100" s="688"/>
      <c r="S100" s="688"/>
      <c r="T100" s="688"/>
      <c r="U100" s="688"/>
      <c r="V100" s="688"/>
      <c r="W100" s="688"/>
      <c r="X100" s="688"/>
      <c r="BB100" s="1012" t="s">
        <v>340</v>
      </c>
      <c r="BC100" s="995">
        <f t="shared" si="20"/>
        <v>69899.126283220947</v>
      </c>
      <c r="BD100" s="996">
        <f t="shared" si="21"/>
        <v>1</v>
      </c>
      <c r="BE100" s="1007"/>
      <c r="BF100" s="478"/>
    </row>
    <row r="101" spans="1:58" x14ac:dyDescent="0.25">
      <c r="A101" s="305"/>
      <c r="B101" s="687"/>
      <c r="C101" s="726"/>
      <c r="D101" s="727"/>
      <c r="E101" s="727"/>
      <c r="F101" s="688"/>
      <c r="G101" s="688"/>
      <c r="H101" s="688"/>
      <c r="I101" s="688"/>
      <c r="J101" s="688"/>
      <c r="K101" s="688"/>
      <c r="L101" s="688"/>
      <c r="M101" s="688"/>
      <c r="N101" s="688"/>
      <c r="O101" s="688"/>
      <c r="P101" s="688"/>
      <c r="Q101" s="688"/>
      <c r="R101" s="688"/>
      <c r="S101" s="688"/>
      <c r="T101" s="688"/>
      <c r="U101" s="688"/>
      <c r="V101" s="688"/>
      <c r="W101" s="688"/>
      <c r="X101" s="688"/>
      <c r="BB101" s="1012" t="s">
        <v>473</v>
      </c>
      <c r="BC101" s="995">
        <f t="shared" si="20"/>
        <v>2795965.0513288379</v>
      </c>
      <c r="BD101" s="996">
        <f t="shared" si="21"/>
        <v>0</v>
      </c>
      <c r="BE101" s="1007"/>
      <c r="BF101" s="478"/>
    </row>
    <row r="102" spans="1:58" ht="15.75" x14ac:dyDescent="0.25">
      <c r="A102" s="341" t="s">
        <v>945</v>
      </c>
      <c r="B102" s="687"/>
      <c r="C102" s="726"/>
      <c r="D102" s="727"/>
      <c r="E102" s="727"/>
      <c r="F102" s="688"/>
      <c r="G102" s="688"/>
      <c r="H102" s="688"/>
      <c r="I102" s="688"/>
      <c r="J102" s="688"/>
      <c r="K102" s="688"/>
      <c r="L102" s="688"/>
      <c r="M102" s="688"/>
      <c r="N102" s="688"/>
      <c r="O102" s="688"/>
      <c r="P102" s="688"/>
      <c r="Q102" s="688"/>
      <c r="R102" s="688"/>
      <c r="S102" s="688"/>
      <c r="T102" s="688"/>
      <c r="U102" s="688"/>
      <c r="V102" s="688"/>
      <c r="W102" s="688"/>
      <c r="X102" s="688"/>
      <c r="BB102" s="990" t="s">
        <v>333</v>
      </c>
      <c r="BC102" s="1014">
        <f t="shared" si="20"/>
        <v>11522724.696711065</v>
      </c>
      <c r="BD102" s="996"/>
      <c r="BE102" s="1007"/>
      <c r="BF102" s="478"/>
    </row>
    <row r="103" spans="1:58" x14ac:dyDescent="0.25">
      <c r="A103" s="309" t="s">
        <v>809</v>
      </c>
      <c r="B103" s="687"/>
      <c r="C103" s="726"/>
      <c r="D103" s="727"/>
      <c r="E103" s="727"/>
      <c r="F103" s="688"/>
      <c r="G103" s="688"/>
      <c r="H103" s="688"/>
      <c r="I103" s="688"/>
      <c r="J103" s="688"/>
      <c r="K103" s="688"/>
      <c r="L103" s="688"/>
      <c r="M103" s="688"/>
      <c r="N103" s="688"/>
      <c r="O103" s="688"/>
      <c r="P103" s="688"/>
      <c r="Q103" s="688"/>
      <c r="R103" s="688"/>
      <c r="S103" s="688"/>
      <c r="T103" s="688"/>
      <c r="U103" s="688"/>
      <c r="V103" s="688"/>
      <c r="W103" s="688"/>
      <c r="X103" s="688"/>
      <c r="BB103" s="990"/>
      <c r="BC103" s="997"/>
      <c r="BD103" s="995"/>
      <c r="BE103" s="1007"/>
      <c r="BF103" s="478"/>
    </row>
    <row r="104" spans="1:58" x14ac:dyDescent="0.25">
      <c r="A104" s="305" t="s">
        <v>935</v>
      </c>
      <c r="B104" s="726">
        <f>Calculations!C61</f>
        <v>0</v>
      </c>
      <c r="C104" s="972">
        <f>Calculations!D61</f>
        <v>1</v>
      </c>
      <c r="D104" s="727"/>
      <c r="E104" s="727"/>
      <c r="F104" s="688"/>
      <c r="G104" s="688"/>
      <c r="H104" s="688"/>
      <c r="I104" s="688"/>
      <c r="J104" s="688"/>
      <c r="K104" s="688"/>
      <c r="L104" s="688"/>
      <c r="M104" s="688"/>
      <c r="N104" s="688"/>
      <c r="O104" s="688"/>
      <c r="P104" s="688"/>
      <c r="Q104" s="688"/>
      <c r="R104" s="688"/>
      <c r="S104" s="688"/>
      <c r="T104" s="688"/>
      <c r="U104" s="688"/>
      <c r="V104" s="688"/>
      <c r="W104" s="688"/>
      <c r="X104" s="688"/>
      <c r="BB104" s="990" t="s">
        <v>945</v>
      </c>
      <c r="BC104" s="997"/>
      <c r="BD104" s="995"/>
      <c r="BE104" s="1007"/>
      <c r="BF104" s="478"/>
    </row>
    <row r="105" spans="1:58" x14ac:dyDescent="0.25">
      <c r="A105" s="305" t="s">
        <v>909</v>
      </c>
      <c r="B105" s="726">
        <f>Calculations!C62</f>
        <v>0</v>
      </c>
      <c r="C105" s="972">
        <f>Calculations!D62</f>
        <v>1</v>
      </c>
      <c r="D105" s="727"/>
      <c r="E105" s="727"/>
      <c r="F105" s="688"/>
      <c r="G105" s="688"/>
      <c r="H105" s="688"/>
      <c r="I105" s="688"/>
      <c r="J105" s="688"/>
      <c r="K105" s="688"/>
      <c r="L105" s="688"/>
      <c r="M105" s="688"/>
      <c r="N105" s="688"/>
      <c r="O105" s="688"/>
      <c r="P105" s="688"/>
      <c r="Q105" s="688"/>
      <c r="R105" s="688"/>
      <c r="S105" s="688"/>
      <c r="T105" s="688"/>
      <c r="U105" s="688"/>
      <c r="V105" s="688"/>
      <c r="W105" s="688"/>
      <c r="X105" s="688"/>
      <c r="BB105" s="992" t="s">
        <v>809</v>
      </c>
      <c r="BC105" s="997"/>
      <c r="BD105" s="995"/>
      <c r="BE105" s="1007"/>
      <c r="BF105" s="478"/>
    </row>
    <row r="106" spans="1:58" x14ac:dyDescent="0.25">
      <c r="A106" s="305" t="s">
        <v>118</v>
      </c>
      <c r="B106" s="726">
        <f>Calculations!C63</f>
        <v>0</v>
      </c>
      <c r="C106" s="972">
        <f>Calculations!D63</f>
        <v>0</v>
      </c>
      <c r="D106" s="727"/>
      <c r="E106" s="727"/>
      <c r="F106" s="688"/>
      <c r="G106" s="688"/>
      <c r="H106" s="688"/>
      <c r="I106" s="688"/>
      <c r="J106" s="688"/>
      <c r="K106" s="688"/>
      <c r="L106" s="688"/>
      <c r="M106" s="688"/>
      <c r="N106" s="688"/>
      <c r="O106" s="688"/>
      <c r="P106" s="688"/>
      <c r="Q106" s="688"/>
      <c r="R106" s="688"/>
      <c r="S106" s="688"/>
      <c r="T106" s="688"/>
      <c r="U106" s="688"/>
      <c r="V106" s="688"/>
      <c r="W106" s="688"/>
      <c r="X106" s="688"/>
      <c r="BB106" s="988" t="s">
        <v>935</v>
      </c>
      <c r="BC106" s="995">
        <f t="shared" ref="BC106:BC113" si="22">B104</f>
        <v>0</v>
      </c>
      <c r="BD106" s="996">
        <f t="shared" ref="BD106:BD112" si="23">C104</f>
        <v>1</v>
      </c>
      <c r="BE106" s="1007"/>
      <c r="BF106" s="478"/>
    </row>
    <row r="107" spans="1:58" x14ac:dyDescent="0.25">
      <c r="A107" s="305" t="s">
        <v>934</v>
      </c>
      <c r="B107" s="726">
        <f>Calculations!C64</f>
        <v>0</v>
      </c>
      <c r="C107" s="972">
        <f>Calculations!D64</f>
        <v>0</v>
      </c>
      <c r="D107" s="725"/>
      <c r="E107" s="725"/>
      <c r="F107" s="688"/>
      <c r="G107" s="688"/>
      <c r="H107" s="688"/>
      <c r="I107" s="688"/>
      <c r="J107" s="688"/>
      <c r="K107" s="688"/>
      <c r="L107" s="688"/>
      <c r="M107" s="688"/>
      <c r="N107" s="688"/>
      <c r="O107" s="688"/>
      <c r="P107" s="688"/>
      <c r="Q107" s="688"/>
      <c r="R107" s="688"/>
      <c r="S107" s="688"/>
      <c r="T107" s="688"/>
      <c r="U107" s="688"/>
      <c r="V107" s="688"/>
      <c r="W107" s="688"/>
      <c r="X107" s="688"/>
      <c r="BB107" s="992" t="s">
        <v>909</v>
      </c>
      <c r="BC107" s="995">
        <f t="shared" si="22"/>
        <v>0</v>
      </c>
      <c r="BD107" s="996">
        <f t="shared" si="23"/>
        <v>1</v>
      </c>
      <c r="BE107" s="1009"/>
      <c r="BF107" s="478"/>
    </row>
    <row r="108" spans="1:58" x14ac:dyDescent="0.25">
      <c r="A108" s="305" t="s">
        <v>922</v>
      </c>
      <c r="B108" s="726">
        <f>Calculations!C65</f>
        <v>0</v>
      </c>
      <c r="C108" s="972">
        <f>Calculations!D65</f>
        <v>0</v>
      </c>
      <c r="D108" s="727"/>
      <c r="E108" s="727"/>
      <c r="F108" s="688"/>
      <c r="G108" s="688"/>
      <c r="H108" s="688"/>
      <c r="I108" s="688"/>
      <c r="J108" s="688"/>
      <c r="K108" s="688"/>
      <c r="L108" s="688"/>
      <c r="M108" s="688"/>
      <c r="N108" s="688"/>
      <c r="O108" s="688"/>
      <c r="P108" s="688"/>
      <c r="Q108" s="688"/>
      <c r="R108" s="688"/>
      <c r="S108" s="688"/>
      <c r="T108" s="688"/>
      <c r="U108" s="688"/>
      <c r="V108" s="688"/>
      <c r="W108" s="688"/>
      <c r="X108" s="688"/>
      <c r="BB108" s="988" t="s">
        <v>118</v>
      </c>
      <c r="BC108" s="995">
        <f t="shared" si="22"/>
        <v>0</v>
      </c>
      <c r="BD108" s="996">
        <f t="shared" si="23"/>
        <v>0</v>
      </c>
      <c r="BE108" s="1007"/>
      <c r="BF108" s="478"/>
    </row>
    <row r="109" spans="1:58" x14ac:dyDescent="0.25">
      <c r="A109" s="305" t="s">
        <v>923</v>
      </c>
      <c r="B109" s="726">
        <f>Calculations!C66</f>
        <v>0</v>
      </c>
      <c r="C109" s="972">
        <f>Calculations!D66</f>
        <v>1</v>
      </c>
      <c r="D109" s="727"/>
      <c r="E109" s="727"/>
      <c r="F109" s="688"/>
      <c r="G109" s="688"/>
      <c r="H109" s="688"/>
      <c r="I109" s="688"/>
      <c r="J109" s="688"/>
      <c r="K109" s="688"/>
      <c r="L109" s="688"/>
      <c r="M109" s="688"/>
      <c r="N109" s="688"/>
      <c r="O109" s="688"/>
      <c r="P109" s="688"/>
      <c r="Q109" s="688"/>
      <c r="R109" s="688"/>
      <c r="S109" s="688"/>
      <c r="T109" s="688"/>
      <c r="U109" s="688"/>
      <c r="V109" s="688"/>
      <c r="W109" s="688"/>
      <c r="X109" s="688"/>
      <c r="BB109" s="1012" t="s">
        <v>934</v>
      </c>
      <c r="BC109" s="995">
        <f t="shared" si="22"/>
        <v>0</v>
      </c>
      <c r="BD109" s="996">
        <f t="shared" si="23"/>
        <v>0</v>
      </c>
      <c r="BE109" s="1007"/>
      <c r="BF109" s="478"/>
    </row>
    <row r="110" spans="1:58" x14ac:dyDescent="0.25">
      <c r="A110" s="305" t="s">
        <v>29</v>
      </c>
      <c r="B110" s="726">
        <f>Calculations!C67</f>
        <v>0</v>
      </c>
      <c r="C110" s="972">
        <f>Calculations!D67</f>
        <v>1</v>
      </c>
      <c r="D110" s="727"/>
      <c r="E110" s="727"/>
      <c r="F110" s="688"/>
      <c r="G110" s="688"/>
      <c r="H110" s="688"/>
      <c r="I110" s="688"/>
      <c r="J110" s="688"/>
      <c r="K110" s="688"/>
      <c r="L110" s="688"/>
      <c r="M110" s="688"/>
      <c r="N110" s="688"/>
      <c r="O110" s="688"/>
      <c r="P110" s="688"/>
      <c r="Q110" s="688"/>
      <c r="R110" s="688"/>
      <c r="S110" s="688"/>
      <c r="T110" s="688"/>
      <c r="U110" s="688"/>
      <c r="V110" s="688"/>
      <c r="W110" s="688"/>
      <c r="X110" s="688"/>
      <c r="BB110" s="992" t="s">
        <v>922</v>
      </c>
      <c r="BC110" s="995">
        <f t="shared" si="22"/>
        <v>0</v>
      </c>
      <c r="BD110" s="996">
        <f t="shared" si="23"/>
        <v>0</v>
      </c>
      <c r="BE110" s="733"/>
      <c r="BF110" s="478"/>
    </row>
    <row r="111" spans="1:58" x14ac:dyDescent="0.25">
      <c r="A111" s="313" t="s">
        <v>825</v>
      </c>
      <c r="B111" s="726">
        <f>Calculations!C68</f>
        <v>0</v>
      </c>
      <c r="C111" s="972"/>
      <c r="D111" s="727"/>
      <c r="E111" s="727"/>
      <c r="F111" s="688"/>
      <c r="G111" s="688"/>
      <c r="H111" s="688"/>
      <c r="I111" s="688"/>
      <c r="J111" s="688"/>
      <c r="K111" s="688"/>
      <c r="L111" s="688"/>
      <c r="M111" s="688"/>
      <c r="N111" s="688"/>
      <c r="O111" s="688"/>
      <c r="P111" s="688"/>
      <c r="Q111" s="688"/>
      <c r="R111" s="688"/>
      <c r="S111" s="688"/>
      <c r="T111" s="688"/>
      <c r="U111" s="688"/>
      <c r="V111" s="688"/>
      <c r="W111" s="688"/>
      <c r="X111" s="688"/>
      <c r="BB111" s="992" t="s">
        <v>923</v>
      </c>
      <c r="BC111" s="995">
        <f t="shared" si="22"/>
        <v>0</v>
      </c>
      <c r="BD111" s="996">
        <f t="shared" si="23"/>
        <v>1</v>
      </c>
      <c r="BE111" s="1007"/>
      <c r="BF111" s="478"/>
    </row>
    <row r="112" spans="1:58" x14ac:dyDescent="0.25">
      <c r="A112" s="325" t="s">
        <v>818</v>
      </c>
      <c r="B112" s="687"/>
      <c r="C112" s="732"/>
      <c r="D112" s="727"/>
      <c r="E112" s="727"/>
      <c r="F112" s="688"/>
      <c r="G112" s="688"/>
      <c r="H112" s="688"/>
      <c r="I112" s="688"/>
      <c r="J112" s="688"/>
      <c r="K112" s="688"/>
      <c r="L112" s="688"/>
      <c r="M112" s="688"/>
      <c r="N112" s="688"/>
      <c r="O112" s="688"/>
      <c r="P112" s="688"/>
      <c r="Q112" s="688"/>
      <c r="R112" s="688"/>
      <c r="S112" s="688"/>
      <c r="T112" s="688"/>
      <c r="U112" s="688"/>
      <c r="V112" s="688"/>
      <c r="W112" s="688"/>
      <c r="X112" s="688"/>
      <c r="BB112" s="992" t="s">
        <v>29</v>
      </c>
      <c r="BC112" s="995">
        <f t="shared" si="22"/>
        <v>0</v>
      </c>
      <c r="BD112" s="996">
        <f t="shared" si="23"/>
        <v>1</v>
      </c>
      <c r="BE112" s="1007"/>
      <c r="BF112" s="478"/>
    </row>
    <row r="113" spans="1:58" x14ac:dyDescent="0.25">
      <c r="A113" s="305" t="s">
        <v>914</v>
      </c>
      <c r="B113" s="726">
        <f>Calculations!C70</f>
        <v>0</v>
      </c>
      <c r="C113" s="972">
        <f>Calculations!D70</f>
        <v>0</v>
      </c>
      <c r="D113" s="727"/>
      <c r="E113" s="727"/>
      <c r="F113" s="688"/>
      <c r="G113" s="688"/>
      <c r="H113" s="688"/>
      <c r="I113" s="688"/>
      <c r="J113" s="688"/>
      <c r="K113" s="688"/>
      <c r="L113" s="688"/>
      <c r="M113" s="688"/>
      <c r="N113" s="688"/>
      <c r="O113" s="688"/>
      <c r="P113" s="688"/>
      <c r="Q113" s="688"/>
      <c r="R113" s="688"/>
      <c r="S113" s="688"/>
      <c r="T113" s="688"/>
      <c r="U113" s="688"/>
      <c r="V113" s="688"/>
      <c r="W113" s="688"/>
      <c r="X113" s="688"/>
      <c r="BB113" s="988" t="s">
        <v>825</v>
      </c>
      <c r="BC113" s="995">
        <f t="shared" si="22"/>
        <v>0</v>
      </c>
      <c r="BD113" s="996"/>
      <c r="BE113" s="1007"/>
      <c r="BF113" s="478"/>
    </row>
    <row r="114" spans="1:58" x14ac:dyDescent="0.25">
      <c r="A114" s="305" t="s">
        <v>915</v>
      </c>
      <c r="B114" s="726">
        <f>Calculations!C71</f>
        <v>0</v>
      </c>
      <c r="C114" s="972">
        <f>Calculations!D71</f>
        <v>1</v>
      </c>
      <c r="D114" s="727"/>
      <c r="E114" s="727"/>
      <c r="F114" s="688"/>
      <c r="G114" s="688"/>
      <c r="H114" s="688"/>
      <c r="I114" s="688"/>
      <c r="J114" s="688"/>
      <c r="K114" s="688"/>
      <c r="L114" s="688"/>
      <c r="M114" s="688"/>
      <c r="N114" s="688"/>
      <c r="O114" s="688"/>
      <c r="P114" s="688"/>
      <c r="Q114" s="688"/>
      <c r="R114" s="688"/>
      <c r="S114" s="688"/>
      <c r="T114" s="688"/>
      <c r="U114" s="688"/>
      <c r="V114" s="688"/>
      <c r="W114" s="688"/>
      <c r="X114" s="688"/>
      <c r="BB114" s="964" t="s">
        <v>818</v>
      </c>
      <c r="BC114" s="997"/>
      <c r="BD114" s="733"/>
      <c r="BE114" s="1007"/>
      <c r="BF114" s="478"/>
    </row>
    <row r="115" spans="1:58" x14ac:dyDescent="0.25">
      <c r="A115" s="305" t="s">
        <v>921</v>
      </c>
      <c r="B115" s="726">
        <f>Calculations!C72</f>
        <v>0</v>
      </c>
      <c r="C115" s="972">
        <f>Calculations!D72</f>
        <v>1</v>
      </c>
      <c r="D115" s="727"/>
      <c r="E115" s="727"/>
      <c r="F115" s="688"/>
      <c r="G115" s="688"/>
      <c r="H115" s="688"/>
      <c r="I115" s="688"/>
      <c r="J115" s="688"/>
      <c r="K115" s="688"/>
      <c r="L115" s="688"/>
      <c r="M115" s="688"/>
      <c r="N115" s="688"/>
      <c r="O115" s="688"/>
      <c r="P115" s="688"/>
      <c r="Q115" s="688"/>
      <c r="R115" s="688"/>
      <c r="S115" s="688"/>
      <c r="T115" s="688"/>
      <c r="U115" s="688"/>
      <c r="V115" s="688"/>
      <c r="W115" s="688"/>
      <c r="X115" s="688"/>
      <c r="BB115" s="992" t="s">
        <v>914</v>
      </c>
      <c r="BC115" s="995">
        <f t="shared" ref="BC115:BC120" si="24">B113</f>
        <v>0</v>
      </c>
      <c r="BD115" s="996">
        <f t="shared" ref="BD115:BD118" si="25">C113</f>
        <v>0</v>
      </c>
      <c r="BE115" s="733"/>
      <c r="BF115" s="478"/>
    </row>
    <row r="116" spans="1:58" x14ac:dyDescent="0.25">
      <c r="A116" s="305" t="s">
        <v>916</v>
      </c>
      <c r="B116" s="726">
        <f>Calculations!C73</f>
        <v>0</v>
      </c>
      <c r="C116" s="972">
        <f>Calculations!D73</f>
        <v>0</v>
      </c>
      <c r="D116" s="727"/>
      <c r="E116" s="727"/>
      <c r="F116" s="688"/>
      <c r="G116" s="688"/>
      <c r="H116" s="688"/>
      <c r="I116" s="688"/>
      <c r="J116" s="688"/>
      <c r="K116" s="688"/>
      <c r="L116" s="688"/>
      <c r="M116" s="688"/>
      <c r="N116" s="688"/>
      <c r="O116" s="688"/>
      <c r="P116" s="688"/>
      <c r="Q116" s="688"/>
      <c r="R116" s="688"/>
      <c r="S116" s="688"/>
      <c r="T116" s="688"/>
      <c r="U116" s="688"/>
      <c r="V116" s="688"/>
      <c r="W116" s="688"/>
      <c r="X116" s="688"/>
      <c r="BB116" s="992" t="s">
        <v>915</v>
      </c>
      <c r="BC116" s="995">
        <f t="shared" si="24"/>
        <v>0</v>
      </c>
      <c r="BD116" s="996">
        <f t="shared" si="25"/>
        <v>1</v>
      </c>
      <c r="BE116" s="733"/>
      <c r="BF116" s="478"/>
    </row>
    <row r="117" spans="1:58" ht="15.75" thickBot="1" x14ac:dyDescent="0.3">
      <c r="A117" s="313" t="s">
        <v>825</v>
      </c>
      <c r="B117" s="726">
        <f>Calculations!C74</f>
        <v>0</v>
      </c>
      <c r="C117" s="972"/>
      <c r="D117" s="727"/>
      <c r="E117" s="727"/>
      <c r="F117" s="688"/>
      <c r="G117" s="688"/>
      <c r="H117" s="688"/>
      <c r="I117" s="688"/>
      <c r="J117" s="688"/>
      <c r="K117" s="688"/>
      <c r="L117" s="688"/>
      <c r="M117" s="688"/>
      <c r="N117" s="688"/>
      <c r="O117" s="688"/>
      <c r="P117" s="688"/>
      <c r="Q117" s="688"/>
      <c r="R117" s="688"/>
      <c r="S117" s="688"/>
      <c r="T117" s="688"/>
      <c r="U117" s="688"/>
      <c r="V117" s="688"/>
      <c r="W117" s="688"/>
      <c r="X117" s="688"/>
      <c r="BB117" s="992" t="s">
        <v>921</v>
      </c>
      <c r="BC117" s="995">
        <f t="shared" si="24"/>
        <v>0</v>
      </c>
      <c r="BD117" s="996">
        <f t="shared" si="25"/>
        <v>1</v>
      </c>
      <c r="BE117" s="1007"/>
      <c r="BF117" s="478"/>
    </row>
    <row r="118" spans="1:58" x14ac:dyDescent="0.25">
      <c r="A118" s="456" t="s">
        <v>333</v>
      </c>
      <c r="B118" s="973">
        <f>Calculations!C75</f>
        <v>0</v>
      </c>
      <c r="C118" s="775"/>
      <c r="D118" s="727"/>
      <c r="E118" s="727"/>
      <c r="F118" s="688"/>
      <c r="G118" s="688"/>
      <c r="H118" s="688"/>
      <c r="I118" s="688"/>
      <c r="J118" s="688"/>
      <c r="K118" s="688"/>
      <c r="L118" s="688"/>
      <c r="M118" s="688"/>
      <c r="N118" s="688"/>
      <c r="O118" s="688"/>
      <c r="P118" s="688"/>
      <c r="Q118" s="688"/>
      <c r="R118" s="688"/>
      <c r="S118" s="688"/>
      <c r="T118" s="688"/>
      <c r="U118" s="688"/>
      <c r="V118" s="688"/>
      <c r="W118" s="688"/>
      <c r="X118" s="688"/>
      <c r="BB118" s="992" t="s">
        <v>916</v>
      </c>
      <c r="BC118" s="995">
        <f t="shared" si="24"/>
        <v>0</v>
      </c>
      <c r="BD118" s="996">
        <f t="shared" si="25"/>
        <v>0</v>
      </c>
      <c r="BE118" s="1007"/>
      <c r="BF118" s="478"/>
    </row>
    <row r="119" spans="1:58" x14ac:dyDescent="0.25">
      <c r="A119" s="305"/>
      <c r="B119" s="687"/>
      <c r="C119" s="694"/>
      <c r="D119" s="727"/>
      <c r="E119" s="727"/>
      <c r="F119" s="688"/>
      <c r="G119" s="688"/>
      <c r="H119" s="688"/>
      <c r="I119" s="688"/>
      <c r="J119" s="688"/>
      <c r="K119" s="688"/>
      <c r="L119" s="688"/>
      <c r="M119" s="688"/>
      <c r="N119" s="688"/>
      <c r="O119" s="688"/>
      <c r="P119" s="688"/>
      <c r="Q119" s="688"/>
      <c r="R119" s="688"/>
      <c r="S119" s="688"/>
      <c r="T119" s="688"/>
      <c r="U119" s="688"/>
      <c r="V119" s="688"/>
      <c r="W119" s="688"/>
      <c r="X119" s="688"/>
      <c r="BB119" s="988" t="s">
        <v>825</v>
      </c>
      <c r="BC119" s="995">
        <f t="shared" si="24"/>
        <v>0</v>
      </c>
      <c r="BD119" s="996"/>
      <c r="BE119" s="1007"/>
      <c r="BF119" s="478"/>
    </row>
    <row r="120" spans="1:58" ht="18.75" x14ac:dyDescent="0.3">
      <c r="A120" s="312" t="str">
        <f>CONCATENATE($B$9," Plant - Power Plant Costs")</f>
        <v>Binary Plant - Power Plant Costs</v>
      </c>
      <c r="B120" s="687"/>
      <c r="C120" s="735"/>
      <c r="D120" s="727"/>
      <c r="E120" s="727"/>
      <c r="F120" s="688"/>
      <c r="G120" s="688"/>
      <c r="H120" s="688"/>
      <c r="I120" s="688"/>
      <c r="J120" s="688"/>
      <c r="K120" s="688"/>
      <c r="L120" s="688"/>
      <c r="M120" s="688"/>
      <c r="N120" s="688"/>
      <c r="O120" s="688"/>
      <c r="P120" s="688"/>
      <c r="Q120" s="688"/>
      <c r="R120" s="688"/>
      <c r="S120" s="688"/>
      <c r="T120" s="688"/>
      <c r="U120" s="688"/>
      <c r="V120" s="688"/>
      <c r="W120" s="688"/>
      <c r="X120" s="688"/>
      <c r="BB120" s="964" t="s">
        <v>333</v>
      </c>
      <c r="BC120" s="1014">
        <f t="shared" si="24"/>
        <v>0</v>
      </c>
      <c r="BD120" s="996"/>
      <c r="BE120" s="1007"/>
      <c r="BF120" s="478"/>
    </row>
    <row r="121" spans="1:58" ht="15.75" x14ac:dyDescent="0.25">
      <c r="A121" s="310" t="s">
        <v>102</v>
      </c>
      <c r="B121" s="687"/>
      <c r="C121" s="732"/>
      <c r="D121" s="727"/>
      <c r="E121" s="727"/>
      <c r="F121" s="688"/>
      <c r="G121" s="688"/>
      <c r="H121" s="688"/>
      <c r="I121" s="688"/>
      <c r="J121" s="688"/>
      <c r="K121" s="688"/>
      <c r="L121" s="688"/>
      <c r="M121" s="688"/>
      <c r="N121" s="688"/>
      <c r="O121" s="688"/>
      <c r="P121" s="688"/>
      <c r="Q121" s="688"/>
      <c r="R121" s="688"/>
      <c r="S121" s="688"/>
      <c r="T121" s="688"/>
      <c r="U121" s="688"/>
      <c r="V121" s="688"/>
      <c r="W121" s="688"/>
      <c r="X121" s="688"/>
      <c r="BB121" s="992"/>
      <c r="BC121" s="997"/>
      <c r="BD121" s="734"/>
      <c r="BE121" s="1007"/>
      <c r="BF121" s="478"/>
    </row>
    <row r="122" spans="1:58" x14ac:dyDescent="0.25">
      <c r="A122" s="305" t="s">
        <v>784</v>
      </c>
      <c r="B122" s="726">
        <f>Calculations!C79</f>
        <v>376789.45681935479</v>
      </c>
      <c r="C122" s="972">
        <f>Calculations!D79</f>
        <v>1</v>
      </c>
      <c r="D122" s="727"/>
      <c r="E122" s="727"/>
      <c r="F122" s="688"/>
      <c r="G122" s="688"/>
      <c r="H122" s="688"/>
      <c r="I122" s="688"/>
      <c r="J122" s="688"/>
      <c r="K122" s="688"/>
      <c r="L122" s="688"/>
      <c r="M122" s="688"/>
      <c r="N122" s="688"/>
      <c r="O122" s="688"/>
      <c r="P122" s="688"/>
      <c r="Q122" s="688"/>
      <c r="R122" s="688"/>
      <c r="S122" s="688"/>
      <c r="T122" s="688"/>
      <c r="U122" s="688"/>
      <c r="V122" s="688"/>
      <c r="W122" s="688"/>
      <c r="X122" s="688"/>
      <c r="BB122" s="389" t="str">
        <f>CONCATENATE($B$9," Plant - Power Plant Costs")</f>
        <v>Binary Plant - Power Plant Costs</v>
      </c>
      <c r="BC122" s="997"/>
      <c r="BD122" s="531"/>
      <c r="BE122" s="1007"/>
      <c r="BF122" s="478"/>
    </row>
    <row r="123" spans="1:58" x14ac:dyDescent="0.25">
      <c r="A123" s="305" t="s">
        <v>785</v>
      </c>
      <c r="B123" s="726">
        <f>Calculations!C80</f>
        <v>753578.91363870958</v>
      </c>
      <c r="C123" s="972">
        <f>Calculations!D80</f>
        <v>1</v>
      </c>
      <c r="D123" s="727"/>
      <c r="E123" s="727"/>
      <c r="F123" s="688"/>
      <c r="G123" s="688"/>
      <c r="H123" s="688"/>
      <c r="I123" s="688"/>
      <c r="J123" s="688"/>
      <c r="K123" s="688"/>
      <c r="L123" s="688"/>
      <c r="M123" s="688"/>
      <c r="N123" s="688"/>
      <c r="O123" s="688"/>
      <c r="P123" s="688"/>
      <c r="Q123" s="688"/>
      <c r="R123" s="688"/>
      <c r="S123" s="688"/>
      <c r="T123" s="688"/>
      <c r="U123" s="688"/>
      <c r="V123" s="688"/>
      <c r="W123" s="688"/>
      <c r="X123" s="688"/>
      <c r="BB123" s="964" t="s">
        <v>102</v>
      </c>
      <c r="BC123" s="997"/>
      <c r="BD123" s="733"/>
      <c r="BE123" s="1007"/>
      <c r="BF123" s="478"/>
    </row>
    <row r="124" spans="1:58" x14ac:dyDescent="0.25">
      <c r="A124" s="305" t="s">
        <v>786</v>
      </c>
      <c r="B124" s="726">
        <f>Calculations!C81</f>
        <v>753578.91363870958</v>
      </c>
      <c r="C124" s="972">
        <f>Calculations!D81</f>
        <v>1</v>
      </c>
      <c r="D124" s="727"/>
      <c r="E124" s="727"/>
      <c r="F124" s="688"/>
      <c r="G124" s="688"/>
      <c r="H124" s="688"/>
      <c r="I124" s="688"/>
      <c r="J124" s="688"/>
      <c r="K124" s="688"/>
      <c r="L124" s="688"/>
      <c r="M124" s="688"/>
      <c r="N124" s="688"/>
      <c r="O124" s="688"/>
      <c r="P124" s="688"/>
      <c r="Q124" s="688"/>
      <c r="R124" s="688"/>
      <c r="S124" s="688"/>
      <c r="T124" s="688"/>
      <c r="U124" s="688"/>
      <c r="V124" s="688"/>
      <c r="W124" s="688"/>
      <c r="X124" s="688"/>
      <c r="BB124" s="992" t="s">
        <v>784</v>
      </c>
      <c r="BC124" s="995">
        <f t="shared" ref="BC124:BC129" si="26">B122</f>
        <v>376789.45681935479</v>
      </c>
      <c r="BD124" s="996">
        <f t="shared" ref="BD124:BD128" si="27">C122</f>
        <v>1</v>
      </c>
      <c r="BE124" s="1007"/>
      <c r="BF124" s="478"/>
    </row>
    <row r="125" spans="1:58" x14ac:dyDescent="0.25">
      <c r="A125" s="305" t="s">
        <v>787</v>
      </c>
      <c r="B125" s="726">
        <f>Calculations!C82</f>
        <v>753578.91363870958</v>
      </c>
      <c r="C125" s="972">
        <f>Calculations!D82</f>
        <v>1</v>
      </c>
      <c r="D125" s="727"/>
      <c r="E125" s="727"/>
      <c r="F125" s="688"/>
      <c r="G125" s="688"/>
      <c r="H125" s="688"/>
      <c r="I125" s="688"/>
      <c r="J125" s="688"/>
      <c r="K125" s="688"/>
      <c r="L125" s="688"/>
      <c r="M125" s="688"/>
      <c r="N125" s="688"/>
      <c r="O125" s="688"/>
      <c r="P125" s="688"/>
      <c r="Q125" s="688"/>
      <c r="R125" s="688"/>
      <c r="S125" s="688"/>
      <c r="T125" s="688"/>
      <c r="U125" s="688"/>
      <c r="V125" s="688"/>
      <c r="W125" s="688"/>
      <c r="X125" s="688"/>
      <c r="BB125" s="992" t="s">
        <v>785</v>
      </c>
      <c r="BC125" s="995">
        <f t="shared" si="26"/>
        <v>753578.91363870958</v>
      </c>
      <c r="BD125" s="996">
        <f t="shared" si="27"/>
        <v>1</v>
      </c>
      <c r="BE125" s="733"/>
      <c r="BF125" s="478"/>
    </row>
    <row r="126" spans="1:58" ht="15.75" thickBot="1" x14ac:dyDescent="0.3">
      <c r="A126" s="305" t="s">
        <v>743</v>
      </c>
      <c r="B126" s="726">
        <f>Calculations!C83</f>
        <v>1130368.3704580641</v>
      </c>
      <c r="C126" s="972">
        <f>Calculations!D83</f>
        <v>0</v>
      </c>
      <c r="D126" s="727"/>
      <c r="E126" s="727"/>
      <c r="F126" s="688"/>
      <c r="G126" s="688"/>
      <c r="H126" s="688"/>
      <c r="I126" s="688"/>
      <c r="J126" s="688"/>
      <c r="K126" s="688"/>
      <c r="L126" s="688"/>
      <c r="M126" s="688"/>
      <c r="N126" s="688"/>
      <c r="O126" s="688"/>
      <c r="P126" s="688"/>
      <c r="Q126" s="688"/>
      <c r="R126" s="688"/>
      <c r="S126" s="688"/>
      <c r="T126" s="688"/>
      <c r="U126" s="688"/>
      <c r="V126" s="688"/>
      <c r="W126" s="688"/>
      <c r="X126" s="688"/>
      <c r="BB126" s="992" t="s">
        <v>786</v>
      </c>
      <c r="BC126" s="995">
        <f t="shared" si="26"/>
        <v>753578.91363870958</v>
      </c>
      <c r="BD126" s="996">
        <f t="shared" si="27"/>
        <v>1</v>
      </c>
      <c r="BE126" s="733"/>
      <c r="BF126" s="478"/>
    </row>
    <row r="127" spans="1:58" x14ac:dyDescent="0.25">
      <c r="A127" s="338" t="s">
        <v>788</v>
      </c>
      <c r="B127" s="973">
        <f>Calculations!C84</f>
        <v>3767894.5681935479</v>
      </c>
      <c r="C127" s="775"/>
      <c r="D127" s="727"/>
      <c r="E127" s="727"/>
      <c r="F127" s="688"/>
      <c r="G127" s="688"/>
      <c r="H127" s="688"/>
      <c r="I127" s="688"/>
      <c r="J127" s="688"/>
      <c r="K127" s="688"/>
      <c r="L127" s="688"/>
      <c r="M127" s="688"/>
      <c r="N127" s="688"/>
      <c r="O127" s="688"/>
      <c r="P127" s="688"/>
      <c r="Q127" s="688"/>
      <c r="R127" s="688"/>
      <c r="S127" s="688"/>
      <c r="T127" s="688"/>
      <c r="U127" s="688"/>
      <c r="V127" s="688"/>
      <c r="W127" s="688"/>
      <c r="X127" s="688"/>
      <c r="BB127" s="988" t="s">
        <v>787</v>
      </c>
      <c r="BC127" s="995">
        <f t="shared" si="26"/>
        <v>753578.91363870958</v>
      </c>
      <c r="BD127" s="996">
        <f t="shared" si="27"/>
        <v>1</v>
      </c>
      <c r="BE127" s="1007"/>
      <c r="BF127" s="478"/>
    </row>
    <row r="128" spans="1:58" ht="21" x14ac:dyDescent="0.35">
      <c r="A128" s="306" t="str">
        <f>IF($B$9="Flash","Binary Plant Equipment - not applicable","Binary Plant Equipment")</f>
        <v>Binary Plant Equipment</v>
      </c>
      <c r="B128" s="687"/>
      <c r="C128" s="698"/>
      <c r="D128" s="727"/>
      <c r="E128" s="727"/>
      <c r="F128" s="688"/>
      <c r="G128" s="688"/>
      <c r="H128" s="688"/>
      <c r="I128" s="688"/>
      <c r="J128" s="688"/>
      <c r="K128" s="688"/>
      <c r="L128" s="688"/>
      <c r="M128" s="688"/>
      <c r="N128" s="688"/>
      <c r="O128" s="688"/>
      <c r="P128" s="688"/>
      <c r="Q128" s="688"/>
      <c r="R128" s="688"/>
      <c r="S128" s="688"/>
      <c r="T128" s="688"/>
      <c r="U128" s="688"/>
      <c r="V128" s="688"/>
      <c r="W128" s="688"/>
      <c r="X128" s="688"/>
      <c r="BB128" s="992" t="s">
        <v>743</v>
      </c>
      <c r="BC128" s="995">
        <f t="shared" si="26"/>
        <v>1130368.3704580641</v>
      </c>
      <c r="BD128" s="996">
        <f t="shared" si="27"/>
        <v>0</v>
      </c>
      <c r="BE128" s="1007"/>
      <c r="BF128" s="478"/>
    </row>
    <row r="129" spans="1:58" x14ac:dyDescent="0.25">
      <c r="A129" s="305" t="s">
        <v>789</v>
      </c>
      <c r="B129" s="726">
        <f>Calculations!C86</f>
        <v>10048974.813372191</v>
      </c>
      <c r="C129" s="972">
        <f>Calculations!D86</f>
        <v>0</v>
      </c>
      <c r="D129" s="727"/>
      <c r="E129" s="727"/>
      <c r="F129" s="688"/>
      <c r="G129" s="688"/>
      <c r="H129" s="688"/>
      <c r="I129" s="688"/>
      <c r="J129" s="688"/>
      <c r="K129" s="688"/>
      <c r="L129" s="688"/>
      <c r="M129" s="688"/>
      <c r="N129" s="688"/>
      <c r="O129" s="688"/>
      <c r="P129" s="688"/>
      <c r="Q129" s="688"/>
      <c r="R129" s="688"/>
      <c r="S129" s="688"/>
      <c r="T129" s="688"/>
      <c r="U129" s="688"/>
      <c r="V129" s="688"/>
      <c r="W129" s="688"/>
      <c r="X129" s="688"/>
      <c r="BB129" s="992" t="s">
        <v>788</v>
      </c>
      <c r="BC129" s="1014">
        <f t="shared" si="26"/>
        <v>3767894.5681935479</v>
      </c>
      <c r="BD129" s="996"/>
      <c r="BE129" s="1007"/>
      <c r="BF129" s="478"/>
    </row>
    <row r="130" spans="1:58" x14ac:dyDescent="0.25">
      <c r="A130" s="305" t="s">
        <v>790</v>
      </c>
      <c r="B130" s="726">
        <f>Calculations!C87</f>
        <v>7477386.7705800943</v>
      </c>
      <c r="C130" s="972">
        <f>Calculations!D87</f>
        <v>0</v>
      </c>
      <c r="D130" s="727"/>
      <c r="E130" s="727"/>
      <c r="F130" s="688"/>
      <c r="G130" s="688"/>
      <c r="H130" s="688"/>
      <c r="I130" s="688"/>
      <c r="J130" s="688"/>
      <c r="K130" s="688"/>
      <c r="L130" s="688"/>
      <c r="M130" s="688"/>
      <c r="N130" s="688"/>
      <c r="O130" s="688"/>
      <c r="P130" s="688"/>
      <c r="Q130" s="688"/>
      <c r="R130" s="688"/>
      <c r="S130" s="688"/>
      <c r="T130" s="688"/>
      <c r="U130" s="688"/>
      <c r="V130" s="688"/>
      <c r="W130" s="688"/>
      <c r="X130" s="688"/>
      <c r="BB130" s="362" t="str">
        <f>IF($B$9="Flash","Binary Plant Equipment - not applicable","Binary Plant Equipment")</f>
        <v>Binary Plant Equipment</v>
      </c>
      <c r="BC130" s="997"/>
      <c r="BD130" s="995"/>
      <c r="BE130" s="733"/>
      <c r="BF130" s="478"/>
    </row>
    <row r="131" spans="1:58" x14ac:dyDescent="0.25">
      <c r="A131" s="305" t="s">
        <v>791</v>
      </c>
      <c r="B131" s="726">
        <f>Calculations!C88</f>
        <v>737847.95381650131</v>
      </c>
      <c r="C131" s="972">
        <f>Calculations!D88</f>
        <v>0</v>
      </c>
      <c r="D131" s="727"/>
      <c r="E131" s="727"/>
      <c r="F131" s="688"/>
      <c r="G131" s="688"/>
      <c r="H131" s="688"/>
      <c r="I131" s="688"/>
      <c r="J131" s="688"/>
      <c r="K131" s="688"/>
      <c r="L131" s="688"/>
      <c r="M131" s="688"/>
      <c r="N131" s="688"/>
      <c r="O131" s="688"/>
      <c r="P131" s="688"/>
      <c r="Q131" s="688"/>
      <c r="R131" s="688"/>
      <c r="S131" s="688"/>
      <c r="T131" s="688"/>
      <c r="U131" s="688"/>
      <c r="V131" s="688"/>
      <c r="W131" s="688"/>
      <c r="X131" s="688"/>
      <c r="BB131" s="989" t="s">
        <v>789</v>
      </c>
      <c r="BC131" s="995">
        <f t="shared" ref="BC131:BC133" si="28">B129</f>
        <v>10048974.813372191</v>
      </c>
      <c r="BD131" s="996">
        <f t="shared" ref="BD131:BD133" si="29">C129</f>
        <v>0</v>
      </c>
      <c r="BE131" s="733"/>
      <c r="BF131" s="478"/>
    </row>
    <row r="132" spans="1:58" ht="15.75" thickBot="1" x14ac:dyDescent="0.3">
      <c r="A132" s="305" t="s">
        <v>792</v>
      </c>
      <c r="B132" s="726">
        <f>Calculations!C89</f>
        <v>1517236.9452473368</v>
      </c>
      <c r="C132" s="972">
        <f>Calculations!D89</f>
        <v>0</v>
      </c>
      <c r="D132" s="736"/>
      <c r="E132" s="736"/>
      <c r="F132" s="688"/>
      <c r="G132" s="688"/>
      <c r="H132" s="688"/>
      <c r="I132" s="688"/>
      <c r="J132" s="688"/>
      <c r="K132" s="688"/>
      <c r="L132" s="688"/>
      <c r="M132" s="688"/>
      <c r="N132" s="688"/>
      <c r="O132" s="688"/>
      <c r="P132" s="688"/>
      <c r="Q132" s="688"/>
      <c r="R132" s="688"/>
      <c r="S132" s="688"/>
      <c r="T132" s="688"/>
      <c r="U132" s="688"/>
      <c r="V132" s="688"/>
      <c r="W132" s="688"/>
      <c r="X132" s="688"/>
      <c r="BB132" s="989" t="s">
        <v>790</v>
      </c>
      <c r="BC132" s="995">
        <f t="shared" si="28"/>
        <v>7477386.7705800943</v>
      </c>
      <c r="BD132" s="996">
        <f t="shared" si="29"/>
        <v>0</v>
      </c>
      <c r="BE132" s="1013"/>
      <c r="BF132" s="478"/>
    </row>
    <row r="133" spans="1:58" x14ac:dyDescent="0.25">
      <c r="A133" s="338" t="s">
        <v>788</v>
      </c>
      <c r="B133" s="973">
        <f>Calculations!C90</f>
        <v>19781446.483016122</v>
      </c>
      <c r="C133" s="775"/>
      <c r="D133" s="735"/>
      <c r="E133" s="735"/>
      <c r="F133" s="688"/>
      <c r="G133" s="688"/>
      <c r="H133" s="688"/>
      <c r="I133" s="688"/>
      <c r="J133" s="688"/>
      <c r="K133" s="688"/>
      <c r="L133" s="688"/>
      <c r="M133" s="688"/>
      <c r="N133" s="688"/>
      <c r="O133" s="688"/>
      <c r="P133" s="688"/>
      <c r="Q133" s="688"/>
      <c r="R133" s="688"/>
      <c r="S133" s="688"/>
      <c r="T133" s="688"/>
      <c r="U133" s="688"/>
      <c r="V133" s="688"/>
      <c r="W133" s="688"/>
      <c r="X133" s="688"/>
      <c r="BB133" s="1008" t="s">
        <v>791</v>
      </c>
      <c r="BC133" s="995">
        <f t="shared" si="28"/>
        <v>737847.95381650131</v>
      </c>
      <c r="BD133" s="996">
        <f t="shared" si="29"/>
        <v>0</v>
      </c>
      <c r="BE133" s="733"/>
      <c r="BF133" s="478"/>
    </row>
    <row r="134" spans="1:58" x14ac:dyDescent="0.25">
      <c r="A134" s="313"/>
      <c r="B134" s="687"/>
      <c r="C134" s="737"/>
      <c r="D134" s="735"/>
      <c r="E134" s="735"/>
      <c r="F134" s="688"/>
      <c r="G134" s="688"/>
      <c r="H134" s="688"/>
      <c r="I134" s="688"/>
      <c r="J134" s="688"/>
      <c r="K134" s="688"/>
      <c r="L134" s="688"/>
      <c r="M134" s="688"/>
      <c r="N134" s="688"/>
      <c r="O134" s="688"/>
      <c r="P134" s="688"/>
      <c r="Q134" s="688"/>
      <c r="R134" s="688"/>
      <c r="S134" s="688"/>
      <c r="T134" s="688"/>
      <c r="U134" s="688"/>
      <c r="V134" s="688"/>
      <c r="W134" s="688"/>
      <c r="X134" s="688"/>
      <c r="BB134" s="1008" t="s">
        <v>788</v>
      </c>
      <c r="BC134" s="1014">
        <f>B133</f>
        <v>19781446.483016122</v>
      </c>
      <c r="BD134" s="996"/>
      <c r="BE134" s="531"/>
      <c r="BF134" s="478"/>
    </row>
    <row r="135" spans="1:58" ht="21" x14ac:dyDescent="0.35">
      <c r="A135" s="306" t="str">
        <f>IF($B$9="Binary","Flash Plant Equipment - not applicable","Flash Plant Equipment")</f>
        <v>Flash Plant Equipment - not applicable</v>
      </c>
      <c r="B135" s="687"/>
      <c r="C135" s="737"/>
      <c r="D135" s="735"/>
      <c r="E135" s="735"/>
      <c r="F135" s="688"/>
      <c r="G135" s="688"/>
      <c r="H135" s="688"/>
      <c r="I135" s="688"/>
      <c r="J135" s="688"/>
      <c r="K135" s="688"/>
      <c r="L135" s="688"/>
      <c r="M135" s="688"/>
      <c r="N135" s="688"/>
      <c r="O135" s="688"/>
      <c r="P135" s="688"/>
      <c r="Q135" s="688"/>
      <c r="R135" s="688"/>
      <c r="S135" s="688"/>
      <c r="T135" s="688"/>
      <c r="U135" s="688"/>
      <c r="V135" s="688"/>
      <c r="W135" s="688"/>
      <c r="X135" s="688"/>
      <c r="BB135" s="1008"/>
      <c r="BC135" s="995"/>
      <c r="BD135" s="996"/>
      <c r="BE135" s="531"/>
      <c r="BF135" s="478"/>
    </row>
    <row r="136" spans="1:58" x14ac:dyDescent="0.25">
      <c r="A136" s="305" t="s">
        <v>391</v>
      </c>
      <c r="B136" s="726">
        <f>Calculations!C93</f>
        <v>0</v>
      </c>
      <c r="C136" s="972">
        <f>Calculations!D93</f>
        <v>0</v>
      </c>
      <c r="D136" s="736"/>
      <c r="E136" s="736"/>
      <c r="F136" s="688"/>
      <c r="G136" s="688"/>
      <c r="H136" s="688"/>
      <c r="I136" s="688"/>
      <c r="J136" s="688"/>
      <c r="K136" s="688"/>
      <c r="L136" s="688"/>
      <c r="M136" s="688"/>
      <c r="N136" s="688"/>
      <c r="O136" s="688"/>
      <c r="P136" s="688"/>
      <c r="Q136" s="688"/>
      <c r="R136" s="688"/>
      <c r="S136" s="688"/>
      <c r="T136" s="688"/>
      <c r="U136" s="688"/>
      <c r="V136" s="688"/>
      <c r="W136" s="688"/>
      <c r="X136" s="688"/>
      <c r="BB136" s="362" t="str">
        <f>IF($B$9="Binary","Flash Plant Equipment - not applicable","Flash Plant Equipment")</f>
        <v>Flash Plant Equipment - not applicable</v>
      </c>
      <c r="BC136" s="997"/>
      <c r="BD136" s="999"/>
      <c r="BE136" s="531"/>
      <c r="BF136" s="478"/>
    </row>
    <row r="137" spans="1:58" x14ac:dyDescent="0.25">
      <c r="A137" s="305" t="s">
        <v>392</v>
      </c>
      <c r="B137" s="726">
        <f>Calculations!C94</f>
        <v>0</v>
      </c>
      <c r="C137" s="972">
        <f>Calculations!D94</f>
        <v>0</v>
      </c>
      <c r="D137" s="735"/>
      <c r="E137" s="735"/>
      <c r="F137" s="688"/>
      <c r="G137" s="688"/>
      <c r="H137" s="688"/>
      <c r="I137" s="688"/>
      <c r="J137" s="688"/>
      <c r="K137" s="688"/>
      <c r="L137" s="688"/>
      <c r="M137" s="688"/>
      <c r="N137" s="688"/>
      <c r="O137" s="688"/>
      <c r="P137" s="688"/>
      <c r="Q137" s="688"/>
      <c r="R137" s="688"/>
      <c r="S137" s="688"/>
      <c r="T137" s="688"/>
      <c r="U137" s="688"/>
      <c r="V137" s="688"/>
      <c r="W137" s="688"/>
      <c r="X137" s="688"/>
      <c r="BB137" s="1008" t="s">
        <v>391</v>
      </c>
      <c r="BC137" s="995">
        <f t="shared" ref="BC137:BC147" si="30">B136</f>
        <v>0</v>
      </c>
      <c r="BD137" s="996">
        <f t="shared" ref="BD137:BD143" si="31">C136</f>
        <v>0</v>
      </c>
      <c r="BE137" s="734"/>
      <c r="BF137" s="478"/>
    </row>
    <row r="138" spans="1:58" x14ac:dyDescent="0.25">
      <c r="A138" s="305" t="s">
        <v>393</v>
      </c>
      <c r="B138" s="726">
        <f>Calculations!C95</f>
        <v>0</v>
      </c>
      <c r="C138" s="972">
        <f>Calculations!D95</f>
        <v>0</v>
      </c>
      <c r="D138" s="735"/>
      <c r="E138" s="735"/>
      <c r="F138" s="688"/>
      <c r="G138" s="688"/>
      <c r="H138" s="688"/>
      <c r="I138" s="688"/>
      <c r="J138" s="688"/>
      <c r="K138" s="688"/>
      <c r="L138" s="688"/>
      <c r="M138" s="688"/>
      <c r="N138" s="688"/>
      <c r="O138" s="688"/>
      <c r="P138" s="688"/>
      <c r="Q138" s="688"/>
      <c r="R138" s="688"/>
      <c r="S138" s="688"/>
      <c r="T138" s="688"/>
      <c r="U138" s="688"/>
      <c r="V138" s="688"/>
      <c r="W138" s="688"/>
      <c r="X138" s="688"/>
      <c r="BB138" s="1008" t="s">
        <v>392</v>
      </c>
      <c r="BC138" s="995">
        <f t="shared" si="30"/>
        <v>0</v>
      </c>
      <c r="BD138" s="996">
        <f t="shared" si="31"/>
        <v>0</v>
      </c>
      <c r="BE138" s="531"/>
      <c r="BF138" s="478"/>
    </row>
    <row r="139" spans="1:58" x14ac:dyDescent="0.25">
      <c r="A139" s="305" t="s">
        <v>394</v>
      </c>
      <c r="B139" s="726">
        <f>Calculations!C96</f>
        <v>0</v>
      </c>
      <c r="C139" s="972">
        <f>Calculations!D96</f>
        <v>0</v>
      </c>
      <c r="D139" s="735"/>
      <c r="E139" s="735"/>
      <c r="F139" s="688"/>
      <c r="G139" s="688"/>
      <c r="H139" s="688"/>
      <c r="I139" s="688"/>
      <c r="J139" s="688"/>
      <c r="K139" s="688"/>
      <c r="L139" s="688"/>
      <c r="M139" s="688"/>
      <c r="N139" s="688"/>
      <c r="O139" s="688"/>
      <c r="P139" s="688"/>
      <c r="Q139" s="688"/>
      <c r="R139" s="688"/>
      <c r="S139" s="688"/>
      <c r="T139" s="688"/>
      <c r="U139" s="688"/>
      <c r="V139" s="688"/>
      <c r="W139" s="688"/>
      <c r="X139" s="688"/>
      <c r="BB139" s="998" t="s">
        <v>393</v>
      </c>
      <c r="BC139" s="995">
        <f t="shared" si="30"/>
        <v>0</v>
      </c>
      <c r="BD139" s="996">
        <f t="shared" si="31"/>
        <v>0</v>
      </c>
      <c r="BE139" s="1000"/>
      <c r="BF139" s="478"/>
    </row>
    <row r="140" spans="1:58" x14ac:dyDescent="0.25">
      <c r="A140" s="305" t="s">
        <v>395</v>
      </c>
      <c r="B140" s="726">
        <f>Calculations!C97</f>
        <v>0</v>
      </c>
      <c r="C140" s="972">
        <f>Calculations!D97</f>
        <v>0</v>
      </c>
      <c r="D140" s="688"/>
      <c r="E140" s="688"/>
      <c r="F140" s="688"/>
      <c r="G140" s="688"/>
      <c r="H140" s="688"/>
      <c r="I140" s="688"/>
      <c r="J140" s="688"/>
      <c r="K140" s="688"/>
      <c r="L140" s="688"/>
      <c r="M140" s="688"/>
      <c r="N140" s="688"/>
      <c r="O140" s="688"/>
      <c r="P140" s="688"/>
      <c r="Q140" s="688"/>
      <c r="R140" s="688"/>
      <c r="S140" s="688"/>
      <c r="T140" s="688"/>
      <c r="U140" s="688"/>
      <c r="V140" s="688"/>
      <c r="W140" s="688"/>
      <c r="X140" s="688"/>
      <c r="BB140" s="998" t="s">
        <v>394</v>
      </c>
      <c r="BC140" s="995">
        <f t="shared" si="30"/>
        <v>0</v>
      </c>
      <c r="BD140" s="996">
        <f t="shared" si="31"/>
        <v>0</v>
      </c>
      <c r="BE140" s="1000"/>
      <c r="BF140" s="478"/>
    </row>
    <row r="141" spans="1:58" x14ac:dyDescent="0.25">
      <c r="A141" s="305" t="s">
        <v>396</v>
      </c>
      <c r="B141" s="726">
        <f>Calculations!C98</f>
        <v>0</v>
      </c>
      <c r="C141" s="972">
        <f>Calculations!D98</f>
        <v>0</v>
      </c>
      <c r="D141" s="688"/>
      <c r="E141" s="688"/>
      <c r="F141" s="688"/>
      <c r="G141" s="688"/>
      <c r="H141" s="688"/>
      <c r="I141" s="688"/>
      <c r="J141" s="688"/>
      <c r="K141" s="688"/>
      <c r="L141" s="688"/>
      <c r="M141" s="688"/>
      <c r="N141" s="688"/>
      <c r="O141" s="688"/>
      <c r="P141" s="688"/>
      <c r="Q141" s="688"/>
      <c r="R141" s="688"/>
      <c r="S141" s="688"/>
      <c r="T141" s="688"/>
      <c r="U141" s="688"/>
      <c r="V141" s="688"/>
      <c r="W141" s="688"/>
      <c r="X141" s="688"/>
      <c r="BB141" s="998" t="s">
        <v>395</v>
      </c>
      <c r="BC141" s="995">
        <f t="shared" si="30"/>
        <v>0</v>
      </c>
      <c r="BD141" s="996">
        <f t="shared" si="31"/>
        <v>0</v>
      </c>
      <c r="BE141" s="1001"/>
      <c r="BF141" s="478"/>
    </row>
    <row r="142" spans="1:58" ht="15.75" thickBot="1" x14ac:dyDescent="0.3">
      <c r="A142" s="305" t="s">
        <v>397</v>
      </c>
      <c r="B142" s="726">
        <f>Calculations!C99</f>
        <v>0</v>
      </c>
      <c r="C142" s="972">
        <f>Calculations!D99</f>
        <v>0</v>
      </c>
      <c r="D142" s="688"/>
      <c r="E142" s="688"/>
      <c r="F142" s="688"/>
      <c r="G142" s="688"/>
      <c r="H142" s="688"/>
      <c r="I142" s="688"/>
      <c r="J142" s="688"/>
      <c r="K142" s="688"/>
      <c r="L142" s="688"/>
      <c r="M142" s="688"/>
      <c r="N142" s="688"/>
      <c r="O142" s="688"/>
      <c r="P142" s="688"/>
      <c r="Q142" s="688"/>
      <c r="R142" s="688"/>
      <c r="S142" s="688"/>
      <c r="T142" s="688"/>
      <c r="U142" s="688"/>
      <c r="V142" s="688"/>
      <c r="W142" s="688"/>
      <c r="X142" s="688"/>
      <c r="BB142" s="998" t="s">
        <v>396</v>
      </c>
      <c r="BC142" s="995">
        <f t="shared" si="30"/>
        <v>0</v>
      </c>
      <c r="BD142" s="996">
        <f t="shared" si="31"/>
        <v>0</v>
      </c>
      <c r="BE142" s="1001"/>
      <c r="BF142" s="478"/>
    </row>
    <row r="143" spans="1:58" x14ac:dyDescent="0.25">
      <c r="A143" s="656" t="s">
        <v>624</v>
      </c>
      <c r="B143" s="973">
        <f>Calculations!C100</f>
        <v>0</v>
      </c>
      <c r="C143" s="775"/>
      <c r="D143" s="688"/>
      <c r="E143" s="688"/>
      <c r="F143" s="688"/>
      <c r="G143" s="688"/>
      <c r="H143" s="688"/>
      <c r="I143" s="688"/>
      <c r="J143" s="688"/>
      <c r="K143" s="688"/>
      <c r="L143" s="688"/>
      <c r="M143" s="688"/>
      <c r="N143" s="688"/>
      <c r="O143" s="688"/>
      <c r="P143" s="688"/>
      <c r="Q143" s="688"/>
      <c r="R143" s="688"/>
      <c r="S143" s="688"/>
      <c r="T143" s="688"/>
      <c r="U143" s="688"/>
      <c r="V143" s="688"/>
      <c r="W143" s="688"/>
      <c r="X143" s="688"/>
      <c r="BB143" s="998" t="s">
        <v>397</v>
      </c>
      <c r="BC143" s="995">
        <f t="shared" si="30"/>
        <v>0</v>
      </c>
      <c r="BD143" s="996">
        <f t="shared" si="31"/>
        <v>0</v>
      </c>
      <c r="BE143" s="1001"/>
      <c r="BF143" s="478"/>
    </row>
    <row r="144" spans="1:58" x14ac:dyDescent="0.25">
      <c r="A144" s="325" t="s">
        <v>951</v>
      </c>
      <c r="B144" s="975">
        <f>Calculations!C101</f>
        <v>43741441.117801815</v>
      </c>
      <c r="C144" s="688"/>
      <c r="D144" s="688"/>
      <c r="E144" s="688"/>
      <c r="F144" s="688"/>
      <c r="G144" s="688"/>
      <c r="H144" s="688"/>
      <c r="I144" s="688"/>
      <c r="J144" s="688"/>
      <c r="K144" s="688"/>
      <c r="L144" s="688"/>
      <c r="M144" s="688"/>
      <c r="N144" s="688"/>
      <c r="O144" s="688"/>
      <c r="P144" s="688"/>
      <c r="Q144" s="688"/>
      <c r="R144" s="688"/>
      <c r="S144" s="688"/>
      <c r="T144" s="688"/>
      <c r="U144" s="688"/>
      <c r="V144" s="688"/>
      <c r="W144" s="688"/>
      <c r="X144" s="688"/>
      <c r="BB144" s="991" t="s">
        <v>624</v>
      </c>
      <c r="BC144" s="1014">
        <f t="shared" si="30"/>
        <v>0</v>
      </c>
      <c r="BD144" s="996"/>
      <c r="BE144" s="1001"/>
      <c r="BF144" s="478"/>
    </row>
    <row r="145" spans="1:58" x14ac:dyDescent="0.25">
      <c r="A145" s="325" t="s">
        <v>803</v>
      </c>
      <c r="B145" s="975">
        <f>Calculations!C102</f>
        <v>2187072.0558900908</v>
      </c>
      <c r="C145" s="688"/>
      <c r="D145" s="688"/>
      <c r="E145" s="688"/>
      <c r="F145" s="688"/>
      <c r="G145" s="688"/>
      <c r="H145" s="688"/>
      <c r="I145" s="688"/>
      <c r="J145" s="688"/>
      <c r="K145" s="688"/>
      <c r="L145" s="688"/>
      <c r="M145" s="688"/>
      <c r="N145" s="688"/>
      <c r="O145" s="688"/>
      <c r="P145" s="688"/>
      <c r="Q145" s="688"/>
      <c r="R145" s="688"/>
      <c r="S145" s="688"/>
      <c r="T145" s="688"/>
      <c r="U145" s="688"/>
      <c r="V145" s="688"/>
      <c r="W145" s="688"/>
      <c r="X145" s="688"/>
      <c r="BB145" s="991" t="s">
        <v>951</v>
      </c>
      <c r="BC145" s="1014">
        <f t="shared" si="30"/>
        <v>43741441.117801815</v>
      </c>
      <c r="BD145" s="996"/>
      <c r="BE145" s="1001"/>
      <c r="BF145" s="478"/>
    </row>
    <row r="146" spans="1:58" x14ac:dyDescent="0.25">
      <c r="A146" s="325" t="s">
        <v>950</v>
      </c>
      <c r="B146" s="975">
        <f>Calculations!C103</f>
        <v>45928513.173691906</v>
      </c>
      <c r="C146" s="688"/>
      <c r="D146" s="688"/>
      <c r="E146" s="688"/>
      <c r="F146" s="688"/>
      <c r="G146" s="688"/>
      <c r="H146" s="688"/>
      <c r="I146" s="688"/>
      <c r="J146" s="688"/>
      <c r="K146" s="688"/>
      <c r="L146" s="688"/>
      <c r="M146" s="688"/>
      <c r="N146" s="688"/>
      <c r="O146" s="688"/>
      <c r="P146" s="688"/>
      <c r="Q146" s="688"/>
      <c r="R146" s="688"/>
      <c r="S146" s="688"/>
      <c r="T146" s="688"/>
      <c r="U146" s="688"/>
      <c r="V146" s="688"/>
      <c r="W146" s="688"/>
      <c r="X146" s="688"/>
      <c r="BB146" s="991" t="s">
        <v>803</v>
      </c>
      <c r="BC146" s="1014">
        <f t="shared" si="30"/>
        <v>2187072.0558900908</v>
      </c>
      <c r="BD146" s="996"/>
      <c r="BE146" s="1001"/>
      <c r="BF146" s="478"/>
    </row>
    <row r="147" spans="1:58" x14ac:dyDescent="0.25">
      <c r="A147" s="313"/>
      <c r="B147" s="688"/>
      <c r="C147" s="688"/>
      <c r="D147" s="688"/>
      <c r="E147" s="688"/>
      <c r="F147" s="688"/>
      <c r="G147" s="688"/>
      <c r="H147" s="688"/>
      <c r="I147" s="688"/>
      <c r="J147" s="688"/>
      <c r="K147" s="688"/>
      <c r="L147" s="688"/>
      <c r="M147" s="688"/>
      <c r="N147" s="688"/>
      <c r="O147" s="688"/>
      <c r="P147" s="688"/>
      <c r="Q147" s="688"/>
      <c r="R147" s="688"/>
      <c r="S147" s="688"/>
      <c r="T147" s="688"/>
      <c r="U147" s="688"/>
      <c r="V147" s="688"/>
      <c r="W147" s="688"/>
      <c r="X147" s="688"/>
      <c r="BB147" s="991" t="s">
        <v>950</v>
      </c>
      <c r="BC147" s="1014">
        <f t="shared" si="30"/>
        <v>45928513.173691906</v>
      </c>
      <c r="BD147" s="996"/>
      <c r="BE147" s="1001"/>
      <c r="BF147" s="478"/>
    </row>
    <row r="148" spans="1:58" ht="18.75" x14ac:dyDescent="0.3">
      <c r="A148" s="312" t="str">
        <f>CONCATENATE($B$9," Plant O&amp;M Costs")</f>
        <v>Binary Plant O&amp;M Costs</v>
      </c>
      <c r="B148" s="688"/>
      <c r="C148" s="688"/>
      <c r="D148" s="688"/>
      <c r="E148" s="688"/>
      <c r="F148" s="688"/>
      <c r="G148" s="688"/>
      <c r="H148" s="688"/>
      <c r="I148" s="688"/>
      <c r="J148" s="688"/>
      <c r="K148" s="688"/>
      <c r="L148" s="688"/>
      <c r="M148" s="688"/>
      <c r="N148" s="688"/>
      <c r="O148" s="688"/>
      <c r="P148" s="688"/>
      <c r="Q148" s="688"/>
      <c r="R148" s="688"/>
      <c r="S148" s="688"/>
      <c r="T148" s="688"/>
      <c r="U148" s="688"/>
      <c r="V148" s="688"/>
      <c r="W148" s="688"/>
      <c r="X148" s="688"/>
      <c r="BB148" s="998"/>
      <c r="BC148" s="1001"/>
      <c r="BD148" s="1001"/>
      <c r="BE148" s="1001"/>
      <c r="BF148" s="478"/>
    </row>
    <row r="149" spans="1:58" x14ac:dyDescent="0.25">
      <c r="A149" s="657" t="s">
        <v>798</v>
      </c>
      <c r="B149" s="688"/>
      <c r="C149" s="688"/>
      <c r="D149" s="688"/>
      <c r="E149" s="688"/>
      <c r="F149" s="688"/>
      <c r="G149" s="688"/>
      <c r="H149" s="688"/>
      <c r="I149" s="688"/>
      <c r="J149" s="688"/>
      <c r="K149" s="688"/>
      <c r="L149" s="688"/>
      <c r="M149" s="688"/>
      <c r="N149" s="688"/>
      <c r="O149" s="688"/>
      <c r="P149" s="688"/>
      <c r="Q149" s="688"/>
      <c r="R149" s="688"/>
      <c r="S149" s="688"/>
      <c r="T149" s="688"/>
      <c r="U149" s="688"/>
      <c r="V149" s="688"/>
      <c r="W149" s="688"/>
      <c r="X149" s="688"/>
      <c r="BB149" s="389" t="str">
        <f>CONCATENATE($B$9," Plant O&amp;M Costs")</f>
        <v>Binary Plant O&amp;M Costs</v>
      </c>
      <c r="BC149" s="1001"/>
      <c r="BD149" s="1001"/>
      <c r="BE149" s="1001"/>
      <c r="BF149" s="478"/>
    </row>
    <row r="150" spans="1:58" x14ac:dyDescent="0.25">
      <c r="A150" s="459" t="s">
        <v>761</v>
      </c>
      <c r="B150" s="726">
        <f>Calculations!C107</f>
        <v>119164.48859722647</v>
      </c>
      <c r="C150" s="972">
        <f>Calculations!D107</f>
        <v>1</v>
      </c>
      <c r="D150" s="688"/>
      <c r="E150" s="688"/>
      <c r="F150" s="688"/>
      <c r="G150" s="688"/>
      <c r="H150" s="688"/>
      <c r="I150" s="688"/>
      <c r="J150" s="688"/>
      <c r="K150" s="688"/>
      <c r="L150" s="688"/>
      <c r="M150" s="688"/>
      <c r="N150" s="688"/>
      <c r="O150" s="688"/>
      <c r="P150" s="688"/>
      <c r="Q150" s="688"/>
      <c r="R150" s="688"/>
      <c r="S150" s="688"/>
      <c r="T150" s="688"/>
      <c r="U150" s="688"/>
      <c r="V150" s="688"/>
      <c r="W150" s="688"/>
      <c r="X150" s="688"/>
      <c r="BB150" s="991" t="s">
        <v>798</v>
      </c>
      <c r="BC150" s="1001"/>
      <c r="BD150" s="1001"/>
      <c r="BE150" s="1001"/>
      <c r="BF150" s="478"/>
    </row>
    <row r="151" spans="1:58" x14ac:dyDescent="0.25">
      <c r="A151" s="459" t="s">
        <v>762</v>
      </c>
      <c r="B151" s="726">
        <f>Calculations!C108</f>
        <v>918517.90742217377</v>
      </c>
      <c r="C151" s="972">
        <f>Calculations!D108</f>
        <v>1</v>
      </c>
      <c r="D151" s="688"/>
      <c r="E151" s="688"/>
      <c r="F151" s="688"/>
      <c r="G151" s="688"/>
      <c r="H151" s="688"/>
      <c r="I151" s="688"/>
      <c r="J151" s="688"/>
      <c r="K151" s="688"/>
      <c r="L151" s="688"/>
      <c r="M151" s="688"/>
      <c r="N151" s="688"/>
      <c r="O151" s="688"/>
      <c r="P151" s="688"/>
      <c r="Q151" s="688"/>
      <c r="R151" s="688"/>
      <c r="S151" s="688"/>
      <c r="T151" s="688"/>
      <c r="U151" s="688"/>
      <c r="V151" s="688"/>
      <c r="W151" s="688"/>
      <c r="X151" s="688"/>
      <c r="BB151" s="998" t="s">
        <v>761</v>
      </c>
      <c r="BC151" s="995">
        <f t="shared" ref="BC151:BC178" si="32">B150</f>
        <v>119164.48859722647</v>
      </c>
      <c r="BD151" s="996">
        <f t="shared" ref="BD151:BD177" si="33">C150</f>
        <v>1</v>
      </c>
      <c r="BE151" s="1001"/>
      <c r="BF151" s="478"/>
    </row>
    <row r="152" spans="1:58" x14ac:dyDescent="0.25">
      <c r="A152" s="459" t="s">
        <v>1373</v>
      </c>
      <c r="B152" s="726">
        <f>Calculations!C109</f>
        <v>1037682.3960194002</v>
      </c>
      <c r="C152" s="972"/>
      <c r="D152" s="688"/>
      <c r="E152" s="688"/>
      <c r="F152" s="688"/>
      <c r="G152" s="688"/>
      <c r="H152" s="688"/>
      <c r="I152" s="688"/>
      <c r="J152" s="688"/>
      <c r="K152" s="688"/>
      <c r="L152" s="688"/>
      <c r="M152" s="688"/>
      <c r="N152" s="688"/>
      <c r="O152" s="688"/>
      <c r="P152" s="688"/>
      <c r="Q152" s="688"/>
      <c r="R152" s="688"/>
      <c r="S152" s="688"/>
      <c r="T152" s="688"/>
      <c r="U152" s="688"/>
      <c r="V152" s="688"/>
      <c r="W152" s="688"/>
      <c r="X152" s="688"/>
      <c r="BB152" s="998" t="s">
        <v>762</v>
      </c>
      <c r="BC152" s="995">
        <f t="shared" si="32"/>
        <v>918517.90742217377</v>
      </c>
      <c r="BD152" s="996">
        <f t="shared" si="33"/>
        <v>1</v>
      </c>
      <c r="BE152" s="1001"/>
      <c r="BF152" s="478"/>
    </row>
    <row r="153" spans="1:58" x14ac:dyDescent="0.25">
      <c r="A153" s="657" t="s">
        <v>797</v>
      </c>
      <c r="B153" s="688"/>
      <c r="C153" s="688"/>
      <c r="D153" s="688"/>
      <c r="E153" s="688"/>
      <c r="F153" s="688"/>
      <c r="G153" s="688"/>
      <c r="H153" s="688"/>
      <c r="I153" s="688"/>
      <c r="J153" s="688"/>
      <c r="K153" s="688"/>
      <c r="L153" s="688"/>
      <c r="M153" s="688"/>
      <c r="N153" s="688"/>
      <c r="O153" s="688"/>
      <c r="P153" s="688"/>
      <c r="Q153" s="688"/>
      <c r="R153" s="688"/>
      <c r="S153" s="688"/>
      <c r="T153" s="688"/>
      <c r="U153" s="688"/>
      <c r="V153" s="688"/>
      <c r="W153" s="688"/>
      <c r="X153" s="688"/>
      <c r="BB153" s="95" t="s">
        <v>1373</v>
      </c>
      <c r="BC153" s="995">
        <f t="shared" si="32"/>
        <v>1037682.3960194002</v>
      </c>
      <c r="BD153" s="996"/>
      <c r="BE153" s="1001"/>
      <c r="BF153" s="478"/>
    </row>
    <row r="154" spans="1:58" x14ac:dyDescent="0.25">
      <c r="A154" s="459" t="s">
        <v>794</v>
      </c>
      <c r="B154" s="726">
        <f>Calculations!C111</f>
        <v>470986.82102419343</v>
      </c>
      <c r="C154" s="972">
        <f>Calculations!D111</f>
        <v>0</v>
      </c>
      <c r="D154" s="744"/>
      <c r="E154" s="744"/>
      <c r="F154" s="744"/>
      <c r="G154" s="744"/>
      <c r="H154" s="744"/>
      <c r="I154" s="744"/>
      <c r="J154" s="744"/>
      <c r="K154" s="744"/>
      <c r="L154" s="744"/>
      <c r="M154" s="744"/>
      <c r="N154" s="744"/>
      <c r="O154" s="744"/>
      <c r="P154" s="744"/>
      <c r="Q154" s="744"/>
      <c r="R154" s="744"/>
      <c r="S154" s="744"/>
      <c r="T154" s="744"/>
      <c r="U154" s="744"/>
      <c r="V154" s="744"/>
      <c r="W154" s="744"/>
      <c r="X154" s="744"/>
      <c r="BB154" s="991" t="s">
        <v>797</v>
      </c>
      <c r="BC154" s="995"/>
      <c r="BD154" s="996"/>
      <c r="BE154" s="1001"/>
      <c r="BF154" s="478"/>
    </row>
    <row r="155" spans="1:58" x14ac:dyDescent="0.25">
      <c r="A155" s="459" t="s">
        <v>795</v>
      </c>
      <c r="B155" s="726">
        <f>Calculations!C112</f>
        <v>0</v>
      </c>
      <c r="C155" s="972">
        <f>Calculations!D112</f>
        <v>0</v>
      </c>
      <c r="D155" s="744"/>
      <c r="E155" s="744"/>
      <c r="F155" s="744"/>
      <c r="G155" s="744"/>
      <c r="H155" s="744"/>
      <c r="I155" s="744"/>
      <c r="J155" s="744"/>
      <c r="K155" s="744"/>
      <c r="L155" s="744"/>
      <c r="M155" s="744"/>
      <c r="N155" s="744"/>
      <c r="O155" s="744"/>
      <c r="P155" s="744"/>
      <c r="Q155" s="744"/>
      <c r="R155" s="744"/>
      <c r="S155" s="744"/>
      <c r="T155" s="744"/>
      <c r="U155" s="744"/>
      <c r="V155" s="744"/>
      <c r="W155" s="744"/>
      <c r="X155" s="744"/>
      <c r="BB155" s="998" t="s">
        <v>794</v>
      </c>
      <c r="BC155" s="995">
        <f t="shared" si="32"/>
        <v>470986.82102419343</v>
      </c>
      <c r="BD155" s="996">
        <f t="shared" si="33"/>
        <v>0</v>
      </c>
      <c r="BE155" s="1001"/>
      <c r="BF155" s="478"/>
    </row>
    <row r="156" spans="1:58" x14ac:dyDescent="0.25">
      <c r="A156" s="305" t="s">
        <v>97</v>
      </c>
      <c r="B156" s="726">
        <f>Calculations!C113</f>
        <v>0</v>
      </c>
      <c r="C156" s="972">
        <f>Calculations!D113</f>
        <v>0</v>
      </c>
      <c r="D156" s="744"/>
      <c r="E156" s="744"/>
      <c r="F156" s="744"/>
      <c r="G156" s="744"/>
      <c r="H156" s="744"/>
      <c r="I156" s="744"/>
      <c r="J156" s="744"/>
      <c r="K156" s="744"/>
      <c r="L156" s="744"/>
      <c r="M156" s="744"/>
      <c r="N156" s="744"/>
      <c r="O156" s="744"/>
      <c r="P156" s="744"/>
      <c r="Q156" s="744"/>
      <c r="R156" s="744"/>
      <c r="S156" s="744"/>
      <c r="T156" s="744"/>
      <c r="U156" s="744"/>
      <c r="V156" s="744"/>
      <c r="W156" s="744"/>
      <c r="X156" s="744"/>
      <c r="BB156" s="998" t="s">
        <v>795</v>
      </c>
      <c r="BC156" s="995">
        <f t="shared" si="32"/>
        <v>0</v>
      </c>
      <c r="BD156" s="996">
        <f t="shared" si="33"/>
        <v>0</v>
      </c>
      <c r="BE156" s="1001"/>
      <c r="BF156" s="478"/>
    </row>
    <row r="157" spans="1:58" x14ac:dyDescent="0.25">
      <c r="A157" s="305" t="s">
        <v>96</v>
      </c>
      <c r="B157" s="726">
        <f>Calculations!C114</f>
        <v>0</v>
      </c>
      <c r="C157" s="972">
        <f>Calculations!D114</f>
        <v>0</v>
      </c>
      <c r="D157" s="744"/>
      <c r="E157" s="744"/>
      <c r="F157" s="744"/>
      <c r="G157" s="744"/>
      <c r="H157" s="744"/>
      <c r="I157" s="744"/>
      <c r="J157" s="744"/>
      <c r="K157" s="744"/>
      <c r="L157" s="744"/>
      <c r="M157" s="744"/>
      <c r="N157" s="744"/>
      <c r="O157" s="744"/>
      <c r="P157" s="744"/>
      <c r="Q157" s="744"/>
      <c r="R157" s="744"/>
      <c r="S157" s="744"/>
      <c r="T157" s="744"/>
      <c r="U157" s="744"/>
      <c r="V157" s="744"/>
      <c r="W157" s="744"/>
      <c r="X157" s="744"/>
      <c r="BB157" s="998" t="s">
        <v>97</v>
      </c>
      <c r="BC157" s="995">
        <f t="shared" si="32"/>
        <v>0</v>
      </c>
      <c r="BD157" s="996">
        <f t="shared" si="33"/>
        <v>0</v>
      </c>
      <c r="BE157" s="1001"/>
      <c r="BF157" s="478"/>
    </row>
    <row r="158" spans="1:58" x14ac:dyDescent="0.25">
      <c r="A158" s="305" t="s">
        <v>94</v>
      </c>
      <c r="B158" s="726">
        <f>Calculations!C115</f>
        <v>0</v>
      </c>
      <c r="C158" s="972">
        <f>Calculations!D115</f>
        <v>0</v>
      </c>
      <c r="D158" s="744"/>
      <c r="E158" s="744"/>
      <c r="F158" s="744"/>
      <c r="G158" s="744"/>
      <c r="H158" s="744"/>
      <c r="I158" s="744"/>
      <c r="J158" s="744"/>
      <c r="K158" s="744"/>
      <c r="L158" s="744"/>
      <c r="M158" s="744"/>
      <c r="N158" s="744"/>
      <c r="O158" s="744"/>
      <c r="P158" s="744"/>
      <c r="Q158" s="744"/>
      <c r="R158" s="744"/>
      <c r="S158" s="744"/>
      <c r="T158" s="744"/>
      <c r="U158" s="744"/>
      <c r="V158" s="744"/>
      <c r="W158" s="744"/>
      <c r="X158" s="744"/>
      <c r="BB158" s="998" t="s">
        <v>96</v>
      </c>
      <c r="BC158" s="995">
        <f t="shared" si="32"/>
        <v>0</v>
      </c>
      <c r="BD158" s="996">
        <f t="shared" si="33"/>
        <v>0</v>
      </c>
      <c r="BE158" s="1001"/>
      <c r="BF158" s="478"/>
    </row>
    <row r="159" spans="1:58" x14ac:dyDescent="0.25">
      <c r="A159" s="305" t="s">
        <v>796</v>
      </c>
      <c r="B159" s="726">
        <f>Calculations!C116</f>
        <v>0</v>
      </c>
      <c r="C159" s="972">
        <f>Calculations!D116</f>
        <v>0</v>
      </c>
      <c r="D159" s="744"/>
      <c r="E159" s="744"/>
      <c r="F159" s="744"/>
      <c r="G159" s="744"/>
      <c r="H159" s="744"/>
      <c r="I159" s="744"/>
      <c r="J159" s="744"/>
      <c r="K159" s="744"/>
      <c r="L159" s="744"/>
      <c r="M159" s="744"/>
      <c r="N159" s="744"/>
      <c r="O159" s="744"/>
      <c r="P159" s="744"/>
      <c r="Q159" s="744"/>
      <c r="R159" s="744"/>
      <c r="S159" s="744"/>
      <c r="T159" s="744"/>
      <c r="U159" s="744"/>
      <c r="V159" s="744"/>
      <c r="W159" s="744"/>
      <c r="X159" s="744"/>
      <c r="BB159" s="998" t="s">
        <v>94</v>
      </c>
      <c r="BC159" s="995">
        <f t="shared" si="32"/>
        <v>0</v>
      </c>
      <c r="BD159" s="996">
        <f t="shared" si="33"/>
        <v>0</v>
      </c>
      <c r="BE159" s="1001"/>
      <c r="BF159" s="478"/>
    </row>
    <row r="160" spans="1:58" x14ac:dyDescent="0.25">
      <c r="A160" s="459" t="s">
        <v>1372</v>
      </c>
      <c r="B160" s="726">
        <f>Calculations!C117</f>
        <v>470986.82102419343</v>
      </c>
      <c r="C160" s="972"/>
      <c r="D160" s="744"/>
      <c r="E160" s="744"/>
      <c r="F160" s="744"/>
      <c r="G160" s="744"/>
      <c r="H160" s="744"/>
      <c r="I160" s="744"/>
      <c r="J160" s="744"/>
      <c r="K160" s="744"/>
      <c r="L160" s="744"/>
      <c r="M160" s="744"/>
      <c r="N160" s="744"/>
      <c r="O160" s="744"/>
      <c r="P160" s="744"/>
      <c r="Q160" s="744"/>
      <c r="R160" s="744"/>
      <c r="S160" s="744"/>
      <c r="T160" s="744"/>
      <c r="U160" s="744"/>
      <c r="V160" s="744"/>
      <c r="W160" s="744"/>
      <c r="X160" s="744"/>
      <c r="BB160" s="998" t="s">
        <v>796</v>
      </c>
      <c r="BC160" s="995">
        <f t="shared" si="32"/>
        <v>0</v>
      </c>
      <c r="BD160" s="996"/>
      <c r="BE160" s="1001"/>
      <c r="BF160" s="478"/>
    </row>
    <row r="161" spans="1:58" x14ac:dyDescent="0.25">
      <c r="A161" s="309" t="s">
        <v>799</v>
      </c>
      <c r="B161" s="744"/>
      <c r="C161" s="744"/>
      <c r="D161" s="744"/>
      <c r="E161" s="744"/>
      <c r="F161" s="744"/>
      <c r="G161" s="744"/>
      <c r="H161" s="744"/>
      <c r="I161" s="744"/>
      <c r="J161" s="744"/>
      <c r="K161" s="744"/>
      <c r="L161" s="744"/>
      <c r="M161" s="744"/>
      <c r="N161" s="744"/>
      <c r="O161" s="744"/>
      <c r="P161" s="744"/>
      <c r="Q161" s="744"/>
      <c r="R161" s="744"/>
      <c r="S161" s="744"/>
      <c r="T161" s="744"/>
      <c r="U161" s="744"/>
      <c r="V161" s="744"/>
      <c r="W161" s="744"/>
      <c r="X161" s="744"/>
      <c r="BB161" s="95" t="s">
        <v>1372</v>
      </c>
      <c r="BC161" s="995">
        <f t="shared" si="32"/>
        <v>470986.82102419343</v>
      </c>
      <c r="BD161" s="996"/>
      <c r="BE161" s="1001"/>
      <c r="BF161" s="478"/>
    </row>
    <row r="162" spans="1:58" x14ac:dyDescent="0.25">
      <c r="A162" s="305" t="s">
        <v>794</v>
      </c>
      <c r="B162" s="726">
        <f>Calculations!C119</f>
        <v>680265.91439942003</v>
      </c>
      <c r="C162" s="972">
        <f>Calculations!D119</f>
        <v>0</v>
      </c>
      <c r="D162" s="744"/>
      <c r="E162" s="744"/>
      <c r="F162" s="744"/>
      <c r="G162" s="744"/>
      <c r="H162" s="744"/>
      <c r="I162" s="744"/>
      <c r="J162" s="744"/>
      <c r="K162" s="744"/>
      <c r="L162" s="744"/>
      <c r="M162" s="744"/>
      <c r="N162" s="744"/>
      <c r="O162" s="744"/>
      <c r="P162" s="744"/>
      <c r="Q162" s="744"/>
      <c r="R162" s="744"/>
      <c r="S162" s="744"/>
      <c r="T162" s="744"/>
      <c r="U162" s="744"/>
      <c r="V162" s="744"/>
      <c r="W162" s="744"/>
      <c r="X162" s="744"/>
      <c r="BB162" s="991" t="s">
        <v>799</v>
      </c>
      <c r="BC162" s="995"/>
      <c r="BD162" s="996"/>
      <c r="BE162" s="1001"/>
      <c r="BF162" s="478"/>
    </row>
    <row r="163" spans="1:58" x14ac:dyDescent="0.25">
      <c r="A163" s="305" t="s">
        <v>795</v>
      </c>
      <c r="B163" s="726">
        <f>Calculations!C120</f>
        <v>0</v>
      </c>
      <c r="C163" s="972">
        <f>Calculations!D120</f>
        <v>0</v>
      </c>
      <c r="D163" s="744"/>
      <c r="E163" s="744"/>
      <c r="F163" s="744"/>
      <c r="G163" s="744"/>
      <c r="H163" s="744"/>
      <c r="I163" s="744"/>
      <c r="J163" s="744"/>
      <c r="K163" s="744"/>
      <c r="L163" s="744"/>
      <c r="M163" s="744"/>
      <c r="N163" s="744"/>
      <c r="O163" s="744"/>
      <c r="P163" s="744"/>
      <c r="Q163" s="744"/>
      <c r="R163" s="744"/>
      <c r="S163" s="744"/>
      <c r="T163" s="744"/>
      <c r="U163" s="744"/>
      <c r="V163" s="744"/>
      <c r="W163" s="744"/>
      <c r="X163" s="744"/>
      <c r="BB163" s="998" t="s">
        <v>794</v>
      </c>
      <c r="BC163" s="995">
        <f t="shared" si="32"/>
        <v>680265.91439942003</v>
      </c>
      <c r="BD163" s="996">
        <f t="shared" si="33"/>
        <v>0</v>
      </c>
      <c r="BE163" s="1001"/>
      <c r="BF163" s="478"/>
    </row>
    <row r="164" spans="1:58" x14ac:dyDescent="0.25">
      <c r="A164" s="463" t="s">
        <v>95</v>
      </c>
      <c r="B164" s="726">
        <f>Calculations!C121</f>
        <v>0</v>
      </c>
      <c r="C164" s="972">
        <f>Calculations!D121</f>
        <v>0</v>
      </c>
      <c r="D164" s="744"/>
      <c r="E164" s="744"/>
      <c r="F164" s="744"/>
      <c r="G164" s="744"/>
      <c r="H164" s="744"/>
      <c r="I164" s="744"/>
      <c r="J164" s="744"/>
      <c r="K164" s="744"/>
      <c r="L164" s="744"/>
      <c r="M164" s="744"/>
      <c r="N164" s="744"/>
      <c r="O164" s="744"/>
      <c r="P164" s="744"/>
      <c r="Q164" s="744"/>
      <c r="R164" s="744"/>
      <c r="S164" s="744"/>
      <c r="T164" s="744"/>
      <c r="U164" s="744"/>
      <c r="V164" s="744"/>
      <c r="W164" s="744"/>
      <c r="X164" s="744"/>
      <c r="BB164" s="998" t="s">
        <v>795</v>
      </c>
      <c r="BC164" s="995">
        <f t="shared" si="32"/>
        <v>0</v>
      </c>
      <c r="BD164" s="996">
        <f t="shared" si="33"/>
        <v>0</v>
      </c>
      <c r="BE164" s="1001"/>
      <c r="BF164" s="478"/>
    </row>
    <row r="165" spans="1:58" x14ac:dyDescent="0.25">
      <c r="A165" s="305" t="s">
        <v>94</v>
      </c>
      <c r="B165" s="726">
        <f>Calculations!C122</f>
        <v>0</v>
      </c>
      <c r="C165" s="972">
        <f>Calculations!D122</f>
        <v>0</v>
      </c>
      <c r="D165" s="744"/>
      <c r="E165" s="744"/>
      <c r="F165" s="744"/>
      <c r="G165" s="744"/>
      <c r="H165" s="744"/>
      <c r="I165" s="744"/>
      <c r="J165" s="744"/>
      <c r="K165" s="744"/>
      <c r="L165" s="744"/>
      <c r="M165" s="744"/>
      <c r="N165" s="744"/>
      <c r="O165" s="744"/>
      <c r="P165" s="744"/>
      <c r="Q165" s="744"/>
      <c r="R165" s="744"/>
      <c r="S165" s="744"/>
      <c r="T165" s="744"/>
      <c r="U165" s="744"/>
      <c r="V165" s="744"/>
      <c r="W165" s="744"/>
      <c r="X165" s="744"/>
      <c r="BB165" s="998" t="s">
        <v>95</v>
      </c>
      <c r="BC165" s="995">
        <f t="shared" si="32"/>
        <v>0</v>
      </c>
      <c r="BD165" s="996">
        <f t="shared" si="33"/>
        <v>0</v>
      </c>
      <c r="BE165" s="1001"/>
      <c r="BF165" s="478"/>
    </row>
    <row r="166" spans="1:58" x14ac:dyDescent="0.25">
      <c r="A166" s="305" t="s">
        <v>796</v>
      </c>
      <c r="B166" s="726">
        <f>Calculations!C123</f>
        <v>0</v>
      </c>
      <c r="C166" s="972">
        <f>Calculations!D123</f>
        <v>0</v>
      </c>
      <c r="D166" s="744"/>
      <c r="E166" s="744"/>
      <c r="F166" s="744"/>
      <c r="G166" s="744"/>
      <c r="H166" s="744"/>
      <c r="I166" s="744"/>
      <c r="J166" s="744"/>
      <c r="K166" s="744"/>
      <c r="L166" s="744"/>
      <c r="M166" s="744"/>
      <c r="N166" s="744"/>
      <c r="O166" s="744"/>
      <c r="P166" s="744"/>
      <c r="Q166" s="744"/>
      <c r="R166" s="744"/>
      <c r="S166" s="744"/>
      <c r="T166" s="744"/>
      <c r="U166" s="744"/>
      <c r="V166" s="744"/>
      <c r="W166" s="744"/>
      <c r="X166" s="744"/>
      <c r="BB166" s="998" t="s">
        <v>94</v>
      </c>
      <c r="BC166" s="995">
        <f t="shared" si="32"/>
        <v>0</v>
      </c>
      <c r="BD166" s="996">
        <f t="shared" si="33"/>
        <v>0</v>
      </c>
      <c r="BE166" s="1001"/>
      <c r="BF166" s="478"/>
    </row>
    <row r="167" spans="1:58" ht="15.75" thickBot="1" x14ac:dyDescent="0.3">
      <c r="A167" s="459" t="s">
        <v>1371</v>
      </c>
      <c r="B167" s="726">
        <f>Calculations!C124</f>
        <v>680265.91439942003</v>
      </c>
      <c r="C167" s="972">
        <f>Calculations!D124</f>
        <v>0</v>
      </c>
      <c r="D167" s="744"/>
      <c r="E167" s="744"/>
      <c r="F167" s="744"/>
      <c r="G167" s="744"/>
      <c r="H167" s="744"/>
      <c r="I167" s="744"/>
      <c r="J167" s="744"/>
      <c r="K167" s="744"/>
      <c r="L167" s="744"/>
      <c r="M167" s="744"/>
      <c r="N167" s="744"/>
      <c r="O167" s="744"/>
      <c r="P167" s="744"/>
      <c r="Q167" s="744"/>
      <c r="R167" s="744"/>
      <c r="S167" s="744"/>
      <c r="T167" s="744"/>
      <c r="U167" s="744"/>
      <c r="V167" s="744"/>
      <c r="W167" s="744"/>
      <c r="X167" s="744"/>
      <c r="BB167" s="998" t="s">
        <v>796</v>
      </c>
      <c r="BC167" s="995">
        <f t="shared" si="32"/>
        <v>0</v>
      </c>
      <c r="BD167" s="996">
        <f t="shared" si="33"/>
        <v>0</v>
      </c>
      <c r="BE167" s="1001"/>
      <c r="BF167" s="478"/>
    </row>
    <row r="168" spans="1:58" x14ac:dyDescent="0.25">
      <c r="A168" s="660" t="s">
        <v>763</v>
      </c>
      <c r="B168" s="973">
        <f>Calculations!C125</f>
        <v>1389504.7284463672</v>
      </c>
      <c r="C168" s="776"/>
      <c r="D168" s="744"/>
      <c r="E168" s="744"/>
      <c r="F168" s="744"/>
      <c r="G168" s="744"/>
      <c r="H168" s="744"/>
      <c r="I168" s="744"/>
      <c r="J168" s="744"/>
      <c r="K168" s="744"/>
      <c r="L168" s="744"/>
      <c r="M168" s="744"/>
      <c r="N168" s="744"/>
      <c r="O168" s="744"/>
      <c r="P168" s="744"/>
      <c r="Q168" s="744"/>
      <c r="R168" s="744"/>
      <c r="S168" s="744"/>
      <c r="T168" s="744"/>
      <c r="U168" s="744"/>
      <c r="V168" s="744"/>
      <c r="W168" s="744"/>
      <c r="X168" s="744"/>
      <c r="BB168" s="95" t="s">
        <v>1371</v>
      </c>
      <c r="BC168" s="995">
        <f t="shared" si="32"/>
        <v>680265.91439942003</v>
      </c>
      <c r="BD168" s="996"/>
      <c r="BE168" s="1001"/>
      <c r="BF168" s="478"/>
    </row>
    <row r="169" spans="1:58" x14ac:dyDescent="0.25">
      <c r="A169" s="657" t="s">
        <v>800</v>
      </c>
      <c r="B169" s="726">
        <f>Calculations!C126</f>
        <v>799430.40299664647</v>
      </c>
      <c r="C169" s="744"/>
      <c r="D169" s="744"/>
      <c r="E169" s="744"/>
      <c r="F169" s="744"/>
      <c r="G169" s="744"/>
      <c r="H169" s="744"/>
      <c r="I169" s="744"/>
      <c r="J169" s="744"/>
      <c r="K169" s="744"/>
      <c r="L169" s="744"/>
      <c r="M169" s="744"/>
      <c r="N169" s="744"/>
      <c r="O169" s="744"/>
      <c r="P169" s="744"/>
      <c r="Q169" s="744"/>
      <c r="R169" s="744"/>
      <c r="S169" s="744"/>
      <c r="T169" s="744"/>
      <c r="U169" s="744"/>
      <c r="V169" s="744"/>
      <c r="W169" s="744"/>
      <c r="X169" s="744"/>
      <c r="BB169" s="991" t="s">
        <v>763</v>
      </c>
      <c r="BC169" s="995">
        <f t="shared" si="32"/>
        <v>1389504.7284463672</v>
      </c>
      <c r="BD169" s="996"/>
      <c r="BE169" s="1001"/>
      <c r="BF169" s="478"/>
    </row>
    <row r="170" spans="1:58" x14ac:dyDescent="0.25">
      <c r="A170" s="464" t="s">
        <v>1037</v>
      </c>
      <c r="B170" s="726">
        <f>Calculations!C127</f>
        <v>2188935.1314430134</v>
      </c>
      <c r="C170" s="744"/>
      <c r="D170" s="744"/>
      <c r="E170" s="744"/>
      <c r="F170" s="744"/>
      <c r="G170" s="744"/>
      <c r="H170" s="744"/>
      <c r="I170" s="744"/>
      <c r="J170" s="744"/>
      <c r="K170" s="744"/>
      <c r="L170" s="744"/>
      <c r="M170" s="744"/>
      <c r="N170" s="744"/>
      <c r="O170" s="744"/>
      <c r="P170" s="744"/>
      <c r="Q170" s="744"/>
      <c r="R170" s="744"/>
      <c r="S170" s="744"/>
      <c r="T170" s="744"/>
      <c r="U170" s="744"/>
      <c r="V170" s="744"/>
      <c r="W170" s="744"/>
      <c r="X170" s="744"/>
      <c r="BB170" s="991" t="s">
        <v>800</v>
      </c>
      <c r="BC170" s="995">
        <f t="shared" si="32"/>
        <v>799430.40299664647</v>
      </c>
      <c r="BD170" s="996"/>
      <c r="BE170" s="1001"/>
      <c r="BF170" s="478"/>
    </row>
    <row r="171" spans="1:58" x14ac:dyDescent="0.25">
      <c r="A171" s="464"/>
      <c r="B171" s="726"/>
      <c r="C171" s="744"/>
      <c r="D171" s="744"/>
      <c r="E171" s="744"/>
      <c r="F171" s="744"/>
      <c r="G171" s="744"/>
      <c r="H171" s="744"/>
      <c r="I171" s="744"/>
      <c r="J171" s="744"/>
      <c r="K171" s="744"/>
      <c r="L171" s="744"/>
      <c r="M171" s="744"/>
      <c r="N171" s="744"/>
      <c r="O171" s="744"/>
      <c r="P171" s="744"/>
      <c r="Q171" s="744"/>
      <c r="R171" s="744"/>
      <c r="S171" s="744"/>
      <c r="T171" s="744"/>
      <c r="U171" s="744"/>
      <c r="V171" s="744"/>
      <c r="W171" s="744"/>
      <c r="X171" s="744"/>
      <c r="BB171" s="991" t="s">
        <v>1037</v>
      </c>
      <c r="BC171" s="995">
        <f>B170</f>
        <v>2188935.1314430134</v>
      </c>
      <c r="BD171" s="996"/>
      <c r="BE171" s="1001"/>
      <c r="BF171" s="478"/>
    </row>
    <row r="172" spans="1:58" x14ac:dyDescent="0.25">
      <c r="A172" s="713" t="s">
        <v>985</v>
      </c>
      <c r="B172" s="726">
        <f>Calculations!C129</f>
        <v>4226876.5656366935</v>
      </c>
      <c r="C172" s="972">
        <f>Calculations!D129</f>
        <v>0</v>
      </c>
      <c r="D172" s="744"/>
      <c r="E172" s="744"/>
      <c r="F172" s="744"/>
      <c r="G172" s="744"/>
      <c r="H172" s="744"/>
      <c r="I172" s="744"/>
      <c r="J172" s="744"/>
      <c r="K172" s="744"/>
      <c r="L172" s="744"/>
      <c r="M172" s="744"/>
      <c r="N172" s="744"/>
      <c r="O172" s="744"/>
      <c r="P172" s="744"/>
      <c r="Q172" s="744"/>
      <c r="R172" s="744"/>
      <c r="S172" s="744"/>
      <c r="T172" s="744"/>
      <c r="U172" s="744"/>
      <c r="V172" s="744"/>
      <c r="W172" s="744"/>
      <c r="X172" s="744"/>
      <c r="BB172" s="1002"/>
      <c r="BC172" s="1002"/>
      <c r="BD172" s="996"/>
      <c r="BE172" s="1001"/>
      <c r="BF172" s="478"/>
    </row>
    <row r="173" spans="1:58" x14ac:dyDescent="0.25">
      <c r="A173" s="731" t="s">
        <v>986</v>
      </c>
      <c r="B173" s="726">
        <f>Calculations!C130</f>
        <v>0</v>
      </c>
      <c r="C173" s="972">
        <f>Calculations!D130</f>
        <v>1</v>
      </c>
      <c r="D173" s="744"/>
      <c r="E173" s="744"/>
      <c r="F173" s="744"/>
      <c r="G173" s="744"/>
      <c r="H173" s="744"/>
      <c r="I173" s="744"/>
      <c r="J173" s="744"/>
      <c r="K173" s="744"/>
      <c r="L173" s="744"/>
      <c r="M173" s="744"/>
      <c r="N173" s="744"/>
      <c r="O173" s="744"/>
      <c r="P173" s="744"/>
      <c r="Q173" s="744"/>
      <c r="R173" s="744"/>
      <c r="S173" s="744"/>
      <c r="T173" s="744"/>
      <c r="U173" s="744"/>
      <c r="V173" s="744"/>
      <c r="W173" s="744"/>
      <c r="X173" s="744"/>
      <c r="BB173" s="1015" t="s">
        <v>985</v>
      </c>
      <c r="BC173" s="995">
        <f t="shared" si="32"/>
        <v>4226876.5656366935</v>
      </c>
      <c r="BD173" s="996">
        <f t="shared" si="33"/>
        <v>0</v>
      </c>
      <c r="BE173" s="1001"/>
      <c r="BF173" s="478"/>
    </row>
    <row r="174" spans="1:58" x14ac:dyDescent="0.25">
      <c r="A174" s="731" t="s">
        <v>987</v>
      </c>
      <c r="B174" s="726">
        <f>Calculations!C131</f>
        <v>6335106.0795163214</v>
      </c>
      <c r="C174" s="972">
        <f>Calculations!D131</f>
        <v>0</v>
      </c>
      <c r="D174" s="744"/>
      <c r="E174" s="744"/>
      <c r="F174" s="744"/>
      <c r="G174" s="744"/>
      <c r="H174" s="744"/>
      <c r="I174" s="744"/>
      <c r="J174" s="744"/>
      <c r="K174" s="744"/>
      <c r="L174" s="744"/>
      <c r="M174" s="744"/>
      <c r="N174" s="744"/>
      <c r="O174" s="744"/>
      <c r="P174" s="744"/>
      <c r="Q174" s="744"/>
      <c r="R174" s="744"/>
      <c r="S174" s="744"/>
      <c r="T174" s="744"/>
      <c r="U174" s="744"/>
      <c r="V174" s="744"/>
      <c r="W174" s="744"/>
      <c r="X174" s="744"/>
      <c r="BB174" s="1015" t="s">
        <v>986</v>
      </c>
      <c r="BC174" s="995">
        <f t="shared" si="32"/>
        <v>0</v>
      </c>
      <c r="BD174" s="996">
        <f t="shared" si="33"/>
        <v>1</v>
      </c>
      <c r="BE174" s="1001"/>
      <c r="BF174" s="478"/>
    </row>
    <row r="175" spans="1:58" x14ac:dyDescent="0.25">
      <c r="A175" s="713" t="s">
        <v>988</v>
      </c>
      <c r="B175" s="726">
        <f>Calculations!C132</f>
        <v>0</v>
      </c>
      <c r="C175" s="972">
        <f>Calculations!D132</f>
        <v>1</v>
      </c>
      <c r="D175" s="744"/>
      <c r="E175" s="744"/>
      <c r="F175" s="744"/>
      <c r="G175" s="744"/>
      <c r="H175" s="744"/>
      <c r="I175" s="744"/>
      <c r="J175" s="744"/>
      <c r="K175" s="744"/>
      <c r="L175" s="744"/>
      <c r="M175" s="744"/>
      <c r="N175" s="744"/>
      <c r="O175" s="744"/>
      <c r="P175" s="744"/>
      <c r="Q175" s="744"/>
      <c r="R175" s="744"/>
      <c r="S175" s="744"/>
      <c r="T175" s="744"/>
      <c r="U175" s="744"/>
      <c r="V175" s="744"/>
      <c r="W175" s="744"/>
      <c r="X175" s="744"/>
      <c r="BB175" s="1015" t="s">
        <v>987</v>
      </c>
      <c r="BC175" s="995">
        <f t="shared" si="32"/>
        <v>6335106.0795163214</v>
      </c>
      <c r="BD175" s="996">
        <f t="shared" si="33"/>
        <v>0</v>
      </c>
      <c r="BE175" s="1001"/>
      <c r="BF175" s="478"/>
    </row>
    <row r="176" spans="1:58" x14ac:dyDescent="0.25">
      <c r="A176" s="713" t="s">
        <v>989</v>
      </c>
      <c r="B176" s="726">
        <f>Calculations!C133</f>
        <v>12100</v>
      </c>
      <c r="C176" s="972">
        <f>Calculations!D133</f>
        <v>0</v>
      </c>
      <c r="D176" s="744"/>
      <c r="E176" s="744"/>
      <c r="F176" s="744"/>
      <c r="G176" s="744"/>
      <c r="H176" s="744"/>
      <c r="I176" s="744"/>
      <c r="J176" s="744"/>
      <c r="K176" s="744"/>
      <c r="L176" s="744"/>
      <c r="M176" s="744"/>
      <c r="N176" s="744"/>
      <c r="O176" s="744"/>
      <c r="P176" s="744"/>
      <c r="Q176" s="744"/>
      <c r="R176" s="744"/>
      <c r="S176" s="744"/>
      <c r="T176" s="744"/>
      <c r="U176" s="744"/>
      <c r="V176" s="744"/>
      <c r="W176" s="744"/>
      <c r="X176" s="744"/>
      <c r="BB176" s="1015" t="s">
        <v>988</v>
      </c>
      <c r="BC176" s="995">
        <f t="shared" si="32"/>
        <v>0</v>
      </c>
      <c r="BD176" s="996">
        <f t="shared" si="33"/>
        <v>1</v>
      </c>
      <c r="BE176" s="1001"/>
      <c r="BF176" s="478"/>
    </row>
    <row r="177" spans="1:58" x14ac:dyDescent="0.25">
      <c r="A177" s="713" t="s">
        <v>990</v>
      </c>
      <c r="B177" s="726">
        <f>Calculations!C134</f>
        <v>12763017.776596028</v>
      </c>
      <c r="C177" s="744"/>
      <c r="D177" s="744"/>
      <c r="E177" s="744"/>
      <c r="F177" s="744"/>
      <c r="G177" s="744"/>
      <c r="H177" s="744"/>
      <c r="I177" s="744"/>
      <c r="J177" s="744"/>
      <c r="K177" s="744"/>
      <c r="L177" s="744"/>
      <c r="M177" s="744"/>
      <c r="N177" s="744"/>
      <c r="O177" s="744"/>
      <c r="P177" s="744"/>
      <c r="Q177" s="744"/>
      <c r="R177" s="744"/>
      <c r="S177" s="744"/>
      <c r="T177" s="744"/>
      <c r="U177" s="744"/>
      <c r="V177" s="744"/>
      <c r="W177" s="744"/>
      <c r="X177" s="744"/>
      <c r="BB177" s="1015" t="s">
        <v>989</v>
      </c>
      <c r="BC177" s="995">
        <f t="shared" si="32"/>
        <v>12100</v>
      </c>
      <c r="BD177" s="996">
        <f t="shared" si="33"/>
        <v>0</v>
      </c>
      <c r="BE177" s="1001"/>
      <c r="BF177" s="478"/>
    </row>
    <row r="178" spans="1:58" x14ac:dyDescent="0.25">
      <c r="A178" s="744"/>
      <c r="B178" s="744"/>
      <c r="C178" s="744"/>
      <c r="D178" s="744"/>
      <c r="E178" s="744"/>
      <c r="F178" s="744"/>
      <c r="G178" s="744"/>
      <c r="H178" s="744"/>
      <c r="I178" s="744"/>
      <c r="J178" s="744"/>
      <c r="K178" s="744"/>
      <c r="L178" s="744"/>
      <c r="M178" s="744"/>
      <c r="N178" s="744"/>
      <c r="O178" s="744"/>
      <c r="P178" s="744"/>
      <c r="Q178" s="744"/>
      <c r="R178" s="744"/>
      <c r="S178" s="744"/>
      <c r="T178" s="744"/>
      <c r="U178" s="744"/>
      <c r="V178" s="744"/>
      <c r="W178" s="744"/>
      <c r="X178" s="744"/>
      <c r="BB178" s="1015" t="s">
        <v>990</v>
      </c>
      <c r="BC178" s="995">
        <f t="shared" si="32"/>
        <v>12763017.776596028</v>
      </c>
      <c r="BD178" s="996"/>
      <c r="BE178" s="1001"/>
      <c r="BF178" s="478"/>
    </row>
    <row r="179" spans="1:58" x14ac:dyDescent="0.25">
      <c r="A179" s="724" t="s">
        <v>890</v>
      </c>
      <c r="B179" s="744"/>
      <c r="C179" s="744"/>
      <c r="D179" s="744"/>
      <c r="E179" s="744"/>
      <c r="F179" s="744"/>
      <c r="G179" s="744"/>
      <c r="H179" s="744"/>
      <c r="I179" s="744"/>
      <c r="J179" s="744"/>
      <c r="K179" s="744"/>
      <c r="L179" s="744"/>
      <c r="M179" s="744"/>
      <c r="N179" s="744"/>
      <c r="O179" s="744"/>
      <c r="P179" s="744"/>
      <c r="Q179" s="744"/>
      <c r="R179" s="744"/>
      <c r="S179" s="744"/>
      <c r="T179" s="744"/>
      <c r="U179" s="744"/>
      <c r="V179" s="744"/>
      <c r="W179" s="744"/>
      <c r="X179" s="744"/>
      <c r="BB179" s="1002"/>
      <c r="BC179" s="1001"/>
      <c r="BD179" s="1001"/>
      <c r="BE179" s="1001"/>
      <c r="BF179" s="478"/>
    </row>
    <row r="180" spans="1:58" x14ac:dyDescent="0.25">
      <c r="A180" s="713" t="s">
        <v>991</v>
      </c>
      <c r="B180" s="744"/>
      <c r="C180" s="705" t="s">
        <v>751</v>
      </c>
      <c r="D180" s="744"/>
      <c r="E180" s="744"/>
      <c r="F180" s="744"/>
      <c r="G180" s="744"/>
      <c r="H180" s="744"/>
      <c r="I180" s="744"/>
      <c r="J180" s="744"/>
      <c r="K180" s="744"/>
      <c r="L180" s="744"/>
      <c r="M180" s="744"/>
      <c r="N180" s="744"/>
      <c r="O180" s="744"/>
      <c r="P180" s="744"/>
      <c r="Q180" s="744"/>
      <c r="R180" s="744"/>
      <c r="S180" s="744"/>
      <c r="T180" s="744"/>
      <c r="U180" s="744"/>
      <c r="V180" s="744"/>
      <c r="W180" s="744"/>
      <c r="X180" s="744"/>
      <c r="BB180" s="1015" t="s">
        <v>890</v>
      </c>
      <c r="BC180" s="1001"/>
      <c r="BD180" s="1001"/>
      <c r="BE180" s="1001"/>
      <c r="BF180" s="478"/>
    </row>
    <row r="181" spans="1:58" x14ac:dyDescent="0.25">
      <c r="A181" s="706" t="s">
        <v>992</v>
      </c>
      <c r="B181" s="744"/>
      <c r="C181" s="744"/>
      <c r="D181" s="982"/>
      <c r="E181" s="982"/>
      <c r="F181" s="744"/>
      <c r="G181" s="744"/>
      <c r="H181" s="744"/>
      <c r="I181" s="744"/>
      <c r="J181" s="744"/>
      <c r="K181" s="744"/>
      <c r="L181" s="744"/>
      <c r="M181" s="744"/>
      <c r="N181" s="744"/>
      <c r="O181" s="744"/>
      <c r="P181" s="744"/>
      <c r="Q181" s="744"/>
      <c r="R181" s="744"/>
      <c r="S181" s="744"/>
      <c r="T181" s="744"/>
      <c r="U181" s="744"/>
      <c r="V181" s="744"/>
      <c r="W181" s="744"/>
      <c r="X181" s="744"/>
      <c r="BB181" s="1015" t="s">
        <v>991</v>
      </c>
      <c r="BC181" s="1001"/>
      <c r="BD181" s="1001" t="s">
        <v>751</v>
      </c>
      <c r="BE181" s="1001"/>
      <c r="BF181" s="478"/>
    </row>
    <row r="182" spans="1:58" x14ac:dyDescent="0.25">
      <c r="A182" s="687" t="s">
        <v>993</v>
      </c>
      <c r="B182" s="982">
        <f>Calculations!C308</f>
        <v>0.7</v>
      </c>
      <c r="C182" s="982">
        <f>Calculations!E308</f>
        <v>0</v>
      </c>
      <c r="D182" s="744"/>
      <c r="E182" s="744"/>
      <c r="F182" s="744"/>
      <c r="G182" s="744"/>
      <c r="H182" s="744"/>
      <c r="I182" s="744"/>
      <c r="J182" s="744"/>
      <c r="K182" s="744"/>
      <c r="L182" s="744"/>
      <c r="M182" s="744"/>
      <c r="N182" s="744"/>
      <c r="O182" s="744"/>
      <c r="P182" s="744"/>
      <c r="Q182" s="744"/>
      <c r="R182" s="744"/>
      <c r="S182" s="744"/>
      <c r="T182" s="744"/>
      <c r="U182" s="744"/>
      <c r="V182" s="744"/>
      <c r="W182" s="744"/>
      <c r="X182" s="744"/>
      <c r="BB182" s="1002" t="s">
        <v>992</v>
      </c>
      <c r="BC182" s="1001"/>
      <c r="BD182" s="1001"/>
      <c r="BE182" s="1003"/>
      <c r="BF182" s="478"/>
    </row>
    <row r="183" spans="1:58" x14ac:dyDescent="0.25">
      <c r="A183" s="687" t="s">
        <v>994</v>
      </c>
      <c r="B183" s="1074">
        <f>Calculations!C309</f>
        <v>15</v>
      </c>
      <c r="C183" s="744"/>
      <c r="D183" s="744"/>
      <c r="E183" s="744"/>
      <c r="F183" s="744"/>
      <c r="G183" s="744"/>
      <c r="H183" s="744"/>
      <c r="I183" s="744"/>
      <c r="J183" s="744"/>
      <c r="K183" s="744"/>
      <c r="L183" s="744"/>
      <c r="M183" s="744"/>
      <c r="N183" s="744"/>
      <c r="O183" s="744"/>
      <c r="P183" s="744"/>
      <c r="Q183" s="744"/>
      <c r="R183" s="744"/>
      <c r="S183" s="744"/>
      <c r="T183" s="744"/>
      <c r="U183" s="744"/>
      <c r="V183" s="744"/>
      <c r="W183" s="744"/>
      <c r="X183" s="744"/>
      <c r="BB183" s="1002" t="s">
        <v>993</v>
      </c>
      <c r="BC183" s="1003">
        <f>B182</f>
        <v>0.7</v>
      </c>
      <c r="BD183" s="1003">
        <f>C182</f>
        <v>0</v>
      </c>
      <c r="BE183" s="1001"/>
      <c r="BF183" s="478"/>
    </row>
    <row r="184" spans="1:58" x14ac:dyDescent="0.25">
      <c r="A184" s="687" t="s">
        <v>995</v>
      </c>
      <c r="B184" s="982">
        <f>Calculations!C310</f>
        <v>0.1</v>
      </c>
      <c r="C184" s="744"/>
      <c r="D184" s="744"/>
      <c r="E184" s="744"/>
      <c r="F184" s="744"/>
      <c r="G184" s="744"/>
      <c r="H184" s="744"/>
      <c r="I184" s="744"/>
      <c r="J184" s="744"/>
      <c r="K184" s="744"/>
      <c r="L184" s="744"/>
      <c r="M184" s="744"/>
      <c r="N184" s="744"/>
      <c r="O184" s="744"/>
      <c r="P184" s="744"/>
      <c r="Q184" s="744"/>
      <c r="R184" s="744"/>
      <c r="S184" s="744"/>
      <c r="T184" s="744"/>
      <c r="U184" s="744"/>
      <c r="V184" s="744"/>
      <c r="W184" s="744"/>
      <c r="X184" s="744"/>
      <c r="BB184" s="1002" t="s">
        <v>994</v>
      </c>
      <c r="BC184" s="1001">
        <f t="shared" ref="BC184:BC185" si="34">B183</f>
        <v>15</v>
      </c>
      <c r="BD184" s="1001"/>
      <c r="BE184" s="1001"/>
      <c r="BF184" s="478"/>
    </row>
    <row r="185" spans="1:58" x14ac:dyDescent="0.25">
      <c r="A185" s="713" t="s">
        <v>996</v>
      </c>
      <c r="B185" s="744"/>
      <c r="C185" s="744"/>
      <c r="D185" s="744"/>
      <c r="E185" s="744"/>
      <c r="F185" s="744"/>
      <c r="G185" s="744"/>
      <c r="H185" s="744"/>
      <c r="I185" s="744"/>
      <c r="J185" s="744"/>
      <c r="K185" s="744"/>
      <c r="L185" s="744"/>
      <c r="M185" s="744"/>
      <c r="N185" s="744"/>
      <c r="O185" s="744"/>
      <c r="P185" s="744"/>
      <c r="Q185" s="744"/>
      <c r="R185" s="744"/>
      <c r="S185" s="744"/>
      <c r="T185" s="744"/>
      <c r="U185" s="744"/>
      <c r="V185" s="744"/>
      <c r="W185" s="744"/>
      <c r="X185" s="744"/>
      <c r="BB185" s="1002" t="s">
        <v>995</v>
      </c>
      <c r="BC185" s="1003">
        <f t="shared" si="34"/>
        <v>0.1</v>
      </c>
      <c r="BD185" s="1001"/>
      <c r="BE185" s="1001"/>
      <c r="BF185" s="478"/>
    </row>
    <row r="186" spans="1:58" x14ac:dyDescent="0.25">
      <c r="A186" s="687" t="s">
        <v>997</v>
      </c>
      <c r="B186" s="982">
        <f>Calculations!C312</f>
        <v>0.30000000000000004</v>
      </c>
      <c r="C186" s="744"/>
      <c r="D186" s="744"/>
      <c r="E186" s="744"/>
      <c r="F186" s="744"/>
      <c r="G186" s="744"/>
      <c r="H186" s="744"/>
      <c r="I186" s="744"/>
      <c r="J186" s="744"/>
      <c r="K186" s="744"/>
      <c r="L186" s="744"/>
      <c r="M186" s="744"/>
      <c r="N186" s="744"/>
      <c r="O186" s="744"/>
      <c r="P186" s="744"/>
      <c r="Q186" s="744"/>
      <c r="R186" s="744"/>
      <c r="S186" s="744"/>
      <c r="T186" s="744"/>
      <c r="U186" s="744"/>
      <c r="V186" s="744"/>
      <c r="W186" s="744"/>
      <c r="X186" s="744"/>
      <c r="BB186" s="1002" t="s">
        <v>996</v>
      </c>
      <c r="BC186" s="1001"/>
      <c r="BD186" s="1001"/>
      <c r="BE186" s="1001"/>
      <c r="BF186" s="478"/>
    </row>
    <row r="187" spans="1:58" x14ac:dyDescent="0.25">
      <c r="A187" s="687" t="s">
        <v>998</v>
      </c>
      <c r="B187" s="982">
        <f>Calculations!C313</f>
        <v>0</v>
      </c>
      <c r="C187" s="982">
        <f>Calculations!E313</f>
        <v>1</v>
      </c>
      <c r="D187" s="744"/>
      <c r="E187" s="744"/>
      <c r="F187" s="744"/>
      <c r="G187" s="744"/>
      <c r="H187" s="744"/>
      <c r="I187" s="744"/>
      <c r="J187" s="744"/>
      <c r="K187" s="744"/>
      <c r="L187" s="744"/>
      <c r="M187" s="744"/>
      <c r="N187" s="744"/>
      <c r="O187" s="744"/>
      <c r="P187" s="744"/>
      <c r="Q187" s="744"/>
      <c r="R187" s="744"/>
      <c r="S187" s="744"/>
      <c r="T187" s="744"/>
      <c r="U187" s="744"/>
      <c r="V187" s="744"/>
      <c r="W187" s="744"/>
      <c r="X187" s="744"/>
      <c r="BB187" s="1002" t="s">
        <v>997</v>
      </c>
      <c r="BC187" s="1003">
        <f t="shared" ref="BC187:BC191" si="35">B186</f>
        <v>0.30000000000000004</v>
      </c>
      <c r="BD187" s="1001"/>
      <c r="BE187" s="1001"/>
      <c r="BF187" s="478"/>
    </row>
    <row r="188" spans="1:58" x14ac:dyDescent="0.25">
      <c r="A188" s="687" t="s">
        <v>999</v>
      </c>
      <c r="B188" s="982">
        <f>Calculations!C314</f>
        <v>1</v>
      </c>
      <c r="C188" s="982">
        <f>Calculations!E314</f>
        <v>0</v>
      </c>
      <c r="D188" s="744"/>
      <c r="E188" s="744"/>
      <c r="F188" s="744"/>
      <c r="G188" s="744"/>
      <c r="H188" s="744"/>
      <c r="I188" s="744"/>
      <c r="J188" s="744"/>
      <c r="K188" s="744"/>
      <c r="L188" s="744"/>
      <c r="M188" s="744"/>
      <c r="N188" s="744"/>
      <c r="O188" s="744"/>
      <c r="P188" s="744"/>
      <c r="Q188" s="744"/>
      <c r="R188" s="744"/>
      <c r="S188" s="744"/>
      <c r="T188" s="744"/>
      <c r="U188" s="744"/>
      <c r="V188" s="744"/>
      <c r="W188" s="744"/>
      <c r="X188" s="744"/>
      <c r="BB188" s="1002" t="s">
        <v>998</v>
      </c>
      <c r="BC188" s="1003">
        <f t="shared" si="35"/>
        <v>0</v>
      </c>
      <c r="BD188" s="1003">
        <v>1</v>
      </c>
      <c r="BE188" s="1001"/>
      <c r="BF188" s="478"/>
    </row>
    <row r="189" spans="1:58" x14ac:dyDescent="0.25">
      <c r="A189" s="687" t="s">
        <v>1000</v>
      </c>
      <c r="B189" s="982">
        <f>Calculations!C315</f>
        <v>0.16</v>
      </c>
      <c r="C189" s="744"/>
      <c r="D189" s="744"/>
      <c r="E189" s="744"/>
      <c r="F189" s="744"/>
      <c r="G189" s="744"/>
      <c r="H189" s="744"/>
      <c r="I189" s="744"/>
      <c r="J189" s="744"/>
      <c r="K189" s="744"/>
      <c r="L189" s="744"/>
      <c r="M189" s="744"/>
      <c r="N189" s="744"/>
      <c r="O189" s="744"/>
      <c r="P189" s="744"/>
      <c r="Q189" s="744"/>
      <c r="R189" s="744"/>
      <c r="S189" s="744"/>
      <c r="T189" s="744"/>
      <c r="U189" s="744"/>
      <c r="V189" s="744"/>
      <c r="W189" s="744"/>
      <c r="X189" s="744"/>
      <c r="BB189" s="1002" t="s">
        <v>999</v>
      </c>
      <c r="BC189" s="1003">
        <f t="shared" si="35"/>
        <v>1</v>
      </c>
      <c r="BD189" s="1003">
        <v>0</v>
      </c>
      <c r="BE189" s="1001"/>
      <c r="BF189" s="478"/>
    </row>
    <row r="190" spans="1:58" x14ac:dyDescent="0.25">
      <c r="A190" s="687" t="s">
        <v>1001</v>
      </c>
      <c r="B190" s="982">
        <f>Calculations!C316</f>
        <v>10</v>
      </c>
      <c r="C190" s="744"/>
      <c r="D190" s="744"/>
      <c r="E190" s="744"/>
      <c r="F190" s="744"/>
      <c r="G190" s="744"/>
      <c r="H190" s="744"/>
      <c r="I190" s="744"/>
      <c r="J190" s="744"/>
      <c r="K190" s="744"/>
      <c r="L190" s="744"/>
      <c r="M190" s="744"/>
      <c r="N190" s="744"/>
      <c r="O190" s="744"/>
      <c r="P190" s="744"/>
      <c r="Q190" s="744"/>
      <c r="R190" s="744"/>
      <c r="S190" s="744"/>
      <c r="T190" s="744"/>
      <c r="U190" s="744"/>
      <c r="V190" s="744"/>
      <c r="W190" s="744"/>
      <c r="X190" s="744"/>
      <c r="BB190" s="1002" t="s">
        <v>1000</v>
      </c>
      <c r="BC190" s="1003">
        <f t="shared" si="35"/>
        <v>0.16</v>
      </c>
      <c r="BD190" s="1001"/>
      <c r="BE190" s="1001"/>
      <c r="BF190" s="478"/>
    </row>
    <row r="191" spans="1:58" x14ac:dyDescent="0.25">
      <c r="A191" s="713" t="s">
        <v>1002</v>
      </c>
      <c r="B191" s="744"/>
      <c r="C191" s="744"/>
      <c r="D191" s="744"/>
      <c r="E191" s="744"/>
      <c r="F191" s="744"/>
      <c r="G191" s="744"/>
      <c r="H191" s="744"/>
      <c r="I191" s="744"/>
      <c r="J191" s="744"/>
      <c r="K191" s="744"/>
      <c r="L191" s="744"/>
      <c r="M191" s="744"/>
      <c r="N191" s="744"/>
      <c r="O191" s="744"/>
      <c r="P191" s="744"/>
      <c r="Q191" s="744"/>
      <c r="R191" s="744"/>
      <c r="S191" s="744"/>
      <c r="T191" s="744"/>
      <c r="U191" s="744"/>
      <c r="V191" s="744"/>
      <c r="W191" s="744"/>
      <c r="X191" s="744"/>
      <c r="BB191" s="1002" t="s">
        <v>1001</v>
      </c>
      <c r="BC191" s="1001">
        <f t="shared" si="35"/>
        <v>10</v>
      </c>
      <c r="BD191" s="1001"/>
      <c r="BE191" s="1001"/>
      <c r="BF191" s="478"/>
    </row>
    <row r="192" spans="1:58" x14ac:dyDescent="0.25">
      <c r="A192" s="744" t="s">
        <v>1003</v>
      </c>
      <c r="B192" s="982">
        <f>Calculations!C318</f>
        <v>0</v>
      </c>
      <c r="C192" s="744"/>
      <c r="D192" s="744"/>
      <c r="E192" s="744"/>
      <c r="F192" s="744"/>
      <c r="G192" s="744"/>
      <c r="H192" s="744"/>
      <c r="I192" s="744"/>
      <c r="J192" s="744"/>
      <c r="K192" s="744"/>
      <c r="L192" s="744"/>
      <c r="M192" s="744"/>
      <c r="N192" s="744"/>
      <c r="O192" s="744"/>
      <c r="P192" s="744"/>
      <c r="Q192" s="744"/>
      <c r="R192" s="744"/>
      <c r="S192" s="744"/>
      <c r="T192" s="744"/>
      <c r="U192" s="744"/>
      <c r="V192" s="744"/>
      <c r="W192" s="744"/>
      <c r="X192" s="744"/>
      <c r="BB192" s="1015" t="s">
        <v>1002</v>
      </c>
      <c r="BC192" s="1001"/>
      <c r="BD192" s="1001"/>
      <c r="BE192" s="1001"/>
      <c r="BF192" s="478"/>
    </row>
    <row r="193" spans="1:58" x14ac:dyDescent="0.25">
      <c r="A193" s="744" t="s">
        <v>1004</v>
      </c>
      <c r="B193" s="982">
        <f>Calculations!C319</f>
        <v>0</v>
      </c>
      <c r="C193" s="744"/>
      <c r="D193" s="744"/>
      <c r="E193" s="744"/>
      <c r="F193" s="744"/>
      <c r="G193" s="744"/>
      <c r="H193" s="744"/>
      <c r="I193" s="744"/>
      <c r="J193" s="744"/>
      <c r="K193" s="744"/>
      <c r="L193" s="744"/>
      <c r="M193" s="744"/>
      <c r="N193" s="744"/>
      <c r="O193" s="744"/>
      <c r="P193" s="744"/>
      <c r="Q193" s="744"/>
      <c r="R193" s="744"/>
      <c r="S193" s="744"/>
      <c r="T193" s="744"/>
      <c r="U193" s="744"/>
      <c r="V193" s="744"/>
      <c r="W193" s="744"/>
      <c r="X193" s="744"/>
      <c r="BB193" s="1002" t="s">
        <v>1003</v>
      </c>
      <c r="BC193" s="1003">
        <f t="shared" ref="BC193:BC197" si="36">B192</f>
        <v>0</v>
      </c>
      <c r="BD193" s="1001"/>
      <c r="BE193" s="1001"/>
      <c r="BF193" s="478"/>
    </row>
    <row r="194" spans="1:58" x14ac:dyDescent="0.25">
      <c r="A194" s="744" t="s">
        <v>1005</v>
      </c>
      <c r="B194" s="982">
        <f>Calculations!C320</f>
        <v>0</v>
      </c>
      <c r="C194" s="744"/>
      <c r="D194" s="744"/>
      <c r="E194" s="744"/>
      <c r="F194" s="744"/>
      <c r="G194" s="744"/>
      <c r="H194" s="744"/>
      <c r="I194" s="744"/>
      <c r="J194" s="744"/>
      <c r="K194" s="744"/>
      <c r="L194" s="744"/>
      <c r="M194" s="744"/>
      <c r="N194" s="744"/>
      <c r="O194" s="744"/>
      <c r="P194" s="744"/>
      <c r="Q194" s="744"/>
      <c r="R194" s="744"/>
      <c r="S194" s="744"/>
      <c r="T194" s="744"/>
      <c r="U194" s="744"/>
      <c r="V194" s="744"/>
      <c r="W194" s="744"/>
      <c r="X194" s="744"/>
      <c r="BB194" s="1002" t="s">
        <v>1004</v>
      </c>
      <c r="BC194" s="1003">
        <f t="shared" si="36"/>
        <v>0</v>
      </c>
      <c r="BD194" s="1001"/>
      <c r="BE194" s="1001"/>
      <c r="BF194" s="478"/>
    </row>
    <row r="195" spans="1:58" x14ac:dyDescent="0.25">
      <c r="A195" s="744" t="s">
        <v>1006</v>
      </c>
      <c r="B195" s="982">
        <f>Calculations!C321</f>
        <v>0</v>
      </c>
      <c r="C195" s="744"/>
      <c r="D195" s="744"/>
      <c r="E195" s="744"/>
      <c r="F195" s="744"/>
      <c r="G195" s="744"/>
      <c r="H195" s="744"/>
      <c r="I195" s="744"/>
      <c r="J195" s="744"/>
      <c r="K195" s="744"/>
      <c r="L195" s="744"/>
      <c r="M195" s="744"/>
      <c r="N195" s="744"/>
      <c r="O195" s="744"/>
      <c r="P195" s="744"/>
      <c r="Q195" s="744"/>
      <c r="R195" s="744"/>
      <c r="S195" s="744"/>
      <c r="T195" s="744"/>
      <c r="U195" s="744"/>
      <c r="V195" s="744"/>
      <c r="W195" s="744"/>
      <c r="X195" s="744"/>
      <c r="BB195" s="1002" t="s">
        <v>1005</v>
      </c>
      <c r="BC195" s="1003">
        <f t="shared" si="36"/>
        <v>0</v>
      </c>
      <c r="BD195" s="1001"/>
      <c r="BE195" s="1001"/>
      <c r="BF195" s="478"/>
    </row>
    <row r="196" spans="1:58" x14ac:dyDescent="0.25">
      <c r="A196" s="744" t="s">
        <v>1007</v>
      </c>
      <c r="B196" s="982">
        <f>Calculations!C322</f>
        <v>0</v>
      </c>
      <c r="C196" s="982">
        <f>Calculations!E322</f>
        <v>1</v>
      </c>
      <c r="D196" s="744"/>
      <c r="E196" s="744"/>
      <c r="F196" s="744"/>
      <c r="G196" s="744"/>
      <c r="H196" s="744"/>
      <c r="I196" s="744"/>
      <c r="J196" s="744"/>
      <c r="K196" s="744"/>
      <c r="L196" s="744"/>
      <c r="M196" s="744"/>
      <c r="N196" s="744"/>
      <c r="O196" s="744"/>
      <c r="P196" s="744"/>
      <c r="Q196" s="744"/>
      <c r="R196" s="744"/>
      <c r="S196" s="744"/>
      <c r="T196" s="744"/>
      <c r="U196" s="744"/>
      <c r="V196" s="744"/>
      <c r="W196" s="744"/>
      <c r="X196" s="744"/>
      <c r="BB196" s="1002" t="s">
        <v>1006</v>
      </c>
      <c r="BC196" s="1004">
        <f t="shared" si="36"/>
        <v>0</v>
      </c>
      <c r="BD196" s="1001"/>
      <c r="BE196" s="1001"/>
      <c r="BF196" s="478"/>
    </row>
    <row r="197" spans="1:58" x14ac:dyDescent="0.25">
      <c r="A197" s="745" t="s">
        <v>1008</v>
      </c>
      <c r="B197" s="982"/>
      <c r="C197" s="744"/>
      <c r="D197" s="744"/>
      <c r="E197" s="744"/>
      <c r="F197" s="744"/>
      <c r="G197" s="744"/>
      <c r="H197" s="744"/>
      <c r="I197" s="744"/>
      <c r="J197" s="744"/>
      <c r="K197" s="744"/>
      <c r="L197" s="744"/>
      <c r="M197" s="744"/>
      <c r="N197" s="744"/>
      <c r="O197" s="744"/>
      <c r="P197" s="744"/>
      <c r="Q197" s="744"/>
      <c r="R197" s="744"/>
      <c r="S197" s="744"/>
      <c r="T197" s="744"/>
      <c r="U197" s="744"/>
      <c r="V197" s="744"/>
      <c r="W197" s="744"/>
      <c r="X197" s="744"/>
      <c r="BB197" s="1002" t="s">
        <v>1007</v>
      </c>
      <c r="BC197" s="1004">
        <f t="shared" si="36"/>
        <v>0</v>
      </c>
      <c r="BD197" s="1003">
        <f>C196</f>
        <v>1</v>
      </c>
      <c r="BE197" s="1001"/>
      <c r="BF197" s="478"/>
    </row>
    <row r="198" spans="1:58" x14ac:dyDescent="0.25">
      <c r="A198" s="772" t="s">
        <v>1079</v>
      </c>
      <c r="B198" s="979">
        <f>Calculations!C324</f>
        <v>2420</v>
      </c>
      <c r="C198" s="744"/>
      <c r="D198" s="744"/>
      <c r="E198" s="744"/>
      <c r="F198" s="744"/>
      <c r="G198" s="744"/>
      <c r="H198" s="744"/>
      <c r="I198" s="744"/>
      <c r="J198" s="744"/>
      <c r="K198" s="744"/>
      <c r="L198" s="744"/>
      <c r="M198" s="744"/>
      <c r="N198" s="744"/>
      <c r="O198" s="744"/>
      <c r="P198" s="744"/>
      <c r="Q198" s="744"/>
      <c r="R198" s="744"/>
      <c r="S198" s="744"/>
      <c r="T198" s="744"/>
      <c r="U198" s="744"/>
      <c r="V198" s="744"/>
      <c r="W198" s="744"/>
      <c r="X198" s="744"/>
      <c r="BB198" s="1015" t="s">
        <v>1008</v>
      </c>
      <c r="BC198" s="1003"/>
      <c r="BD198" s="1001"/>
      <c r="BE198" s="1001"/>
      <c r="BF198" s="478"/>
    </row>
    <row r="199" spans="1:58" x14ac:dyDescent="0.25">
      <c r="A199" s="819" t="s">
        <v>1127</v>
      </c>
      <c r="B199" s="983">
        <f>Calculations!C325</f>
        <v>319</v>
      </c>
      <c r="C199" s="744"/>
      <c r="D199" s="744"/>
      <c r="E199" s="744"/>
      <c r="F199" s="744"/>
      <c r="G199" s="744"/>
      <c r="H199" s="744"/>
      <c r="I199" s="744"/>
      <c r="J199" s="744"/>
      <c r="K199" s="744"/>
      <c r="L199" s="744"/>
      <c r="M199" s="744"/>
      <c r="N199" s="744"/>
      <c r="O199" s="744"/>
      <c r="P199" s="744"/>
      <c r="Q199" s="744"/>
      <c r="R199" s="744"/>
      <c r="S199" s="744"/>
      <c r="T199" s="744"/>
      <c r="U199" s="744"/>
      <c r="V199" s="744"/>
      <c r="W199" s="744"/>
      <c r="X199" s="744"/>
      <c r="BB199" s="1002" t="s">
        <v>1079</v>
      </c>
      <c r="BC199" s="820">
        <f t="shared" ref="BC199:BC204" si="37">B198</f>
        <v>2420</v>
      </c>
      <c r="BD199" s="1001"/>
      <c r="BE199" s="1001"/>
      <c r="BF199" s="478"/>
    </row>
    <row r="200" spans="1:58" x14ac:dyDescent="0.25">
      <c r="A200" s="819" t="s">
        <v>1128</v>
      </c>
      <c r="B200" s="983">
        <f>Calculations!C326</f>
        <v>771980</v>
      </c>
      <c r="C200" s="744"/>
      <c r="D200" s="744"/>
      <c r="E200" s="744"/>
      <c r="F200" s="744"/>
      <c r="G200" s="744"/>
      <c r="H200" s="744"/>
      <c r="I200" s="744"/>
      <c r="J200" s="744"/>
      <c r="K200" s="744"/>
      <c r="L200" s="744"/>
      <c r="M200" s="744"/>
      <c r="N200" s="744"/>
      <c r="O200" s="744"/>
      <c r="P200" s="744"/>
      <c r="Q200" s="744"/>
      <c r="R200" s="744"/>
      <c r="S200" s="744"/>
      <c r="T200" s="744"/>
      <c r="U200" s="744"/>
      <c r="V200" s="744"/>
      <c r="W200" s="744"/>
      <c r="X200" s="744"/>
      <c r="BB200" s="1002" t="s">
        <v>1127</v>
      </c>
      <c r="BC200" s="1004">
        <f t="shared" si="37"/>
        <v>319</v>
      </c>
      <c r="BD200" s="1001"/>
      <c r="BE200" s="1001"/>
      <c r="BF200" s="478"/>
    </row>
    <row r="201" spans="1:58" x14ac:dyDescent="0.25">
      <c r="A201" s="772" t="s">
        <v>1129</v>
      </c>
      <c r="B201" s="983">
        <f>Calculations!C327</f>
        <v>5</v>
      </c>
      <c r="C201" s="744"/>
      <c r="D201" s="744"/>
      <c r="E201" s="744"/>
      <c r="F201" s="744"/>
      <c r="G201" s="744"/>
      <c r="H201" s="744"/>
      <c r="I201" s="744"/>
      <c r="J201" s="744"/>
      <c r="K201" s="744"/>
      <c r="L201" s="744"/>
      <c r="M201" s="744"/>
      <c r="N201" s="744"/>
      <c r="O201" s="744"/>
      <c r="P201" s="744"/>
      <c r="Q201" s="744"/>
      <c r="R201" s="744"/>
      <c r="S201" s="744"/>
      <c r="T201" s="744"/>
      <c r="U201" s="744"/>
      <c r="V201" s="744"/>
      <c r="W201" s="744"/>
      <c r="X201" s="744"/>
      <c r="BB201" s="1002" t="s">
        <v>1128</v>
      </c>
      <c r="BC201" s="1004">
        <f t="shared" si="37"/>
        <v>771980</v>
      </c>
      <c r="BD201" s="1001"/>
      <c r="BE201" s="1001"/>
      <c r="BF201" s="478"/>
    </row>
    <row r="202" spans="1:58" x14ac:dyDescent="0.25">
      <c r="A202" s="772" t="s">
        <v>1130</v>
      </c>
      <c r="B202" s="983">
        <f>Calculations!C328</f>
        <v>12100</v>
      </c>
      <c r="C202" s="744"/>
      <c r="D202" s="744"/>
      <c r="E202" s="744"/>
      <c r="F202" s="744"/>
      <c r="G202" s="744"/>
      <c r="H202" s="744"/>
      <c r="I202" s="744"/>
      <c r="J202" s="744"/>
      <c r="K202" s="744"/>
      <c r="L202" s="744"/>
      <c r="M202" s="744"/>
      <c r="N202" s="744"/>
      <c r="O202" s="744"/>
      <c r="P202" s="744"/>
      <c r="Q202" s="744"/>
      <c r="R202" s="744"/>
      <c r="S202" s="744"/>
      <c r="T202" s="744"/>
      <c r="U202" s="744"/>
      <c r="V202" s="744"/>
      <c r="W202" s="744"/>
      <c r="X202" s="744"/>
      <c r="BB202" s="1002" t="s">
        <v>1129</v>
      </c>
      <c r="BC202" s="1004">
        <f t="shared" si="37"/>
        <v>5</v>
      </c>
      <c r="BD202" s="1001"/>
      <c r="BE202" s="1001"/>
      <c r="BF202" s="478"/>
    </row>
    <row r="203" spans="1:58" x14ac:dyDescent="0.25">
      <c r="A203" s="772" t="s">
        <v>1094</v>
      </c>
      <c r="B203" s="983" t="str">
        <f>Calculations!C329</f>
        <v>P</v>
      </c>
      <c r="C203" s="982">
        <f>Calculations!E329</f>
        <v>0</v>
      </c>
      <c r="D203" s="744"/>
      <c r="E203" s="744"/>
      <c r="F203" s="744"/>
      <c r="G203" s="744"/>
      <c r="H203" s="744"/>
      <c r="I203" s="744"/>
      <c r="J203" s="744"/>
      <c r="K203" s="744"/>
      <c r="L203" s="744"/>
      <c r="M203" s="744"/>
      <c r="N203" s="744"/>
      <c r="O203" s="744"/>
      <c r="P203" s="744"/>
      <c r="Q203" s="744"/>
      <c r="R203" s="744"/>
      <c r="S203" s="744"/>
      <c r="T203" s="744"/>
      <c r="U203" s="744"/>
      <c r="V203" s="744"/>
      <c r="W203" s="744"/>
      <c r="X203" s="744"/>
      <c r="BB203" s="1002" t="s">
        <v>1130</v>
      </c>
      <c r="BC203" s="1004">
        <f t="shared" si="37"/>
        <v>12100</v>
      </c>
      <c r="BD203" s="1001"/>
      <c r="BE203" s="1001"/>
      <c r="BF203" s="478"/>
    </row>
    <row r="204" spans="1:58" x14ac:dyDescent="0.25">
      <c r="A204" s="777"/>
      <c r="B204" s="744"/>
      <c r="C204" s="744"/>
      <c r="D204" s="744"/>
      <c r="E204" s="744"/>
      <c r="F204" s="744"/>
      <c r="G204" s="744"/>
      <c r="H204" s="744"/>
      <c r="I204" s="744"/>
      <c r="J204" s="744"/>
      <c r="K204" s="744"/>
      <c r="L204" s="744"/>
      <c r="M204" s="744"/>
      <c r="N204" s="744"/>
      <c r="O204" s="744"/>
      <c r="P204" s="744"/>
      <c r="Q204" s="744"/>
      <c r="R204" s="744"/>
      <c r="S204" s="744"/>
      <c r="T204" s="744"/>
      <c r="U204" s="744"/>
      <c r="V204" s="744"/>
      <c r="W204" s="744"/>
      <c r="X204" s="744"/>
      <c r="BB204" s="1002" t="s">
        <v>1094</v>
      </c>
      <c r="BC204" s="1003" t="str">
        <f t="shared" si="37"/>
        <v>P</v>
      </c>
      <c r="BD204" s="1003">
        <f>C203</f>
        <v>0</v>
      </c>
      <c r="BE204" s="1001"/>
      <c r="BF204" s="478"/>
    </row>
    <row r="205" spans="1:58" ht="15.75" x14ac:dyDescent="0.25">
      <c r="A205" s="783" t="s">
        <v>1048</v>
      </c>
      <c r="B205" s="744"/>
      <c r="C205" s="744"/>
      <c r="D205" s="744"/>
      <c r="E205" s="744"/>
      <c r="F205" s="744"/>
      <c r="G205" s="744"/>
      <c r="H205" s="744"/>
      <c r="I205" s="744"/>
      <c r="J205" s="744"/>
      <c r="K205" s="744"/>
      <c r="L205" s="744"/>
      <c r="M205" s="744"/>
      <c r="N205" s="744"/>
      <c r="O205" s="744"/>
      <c r="P205" s="744"/>
      <c r="Q205" s="744"/>
      <c r="R205" s="744"/>
      <c r="S205" s="744"/>
      <c r="T205" s="744"/>
      <c r="U205" s="744"/>
      <c r="V205" s="744"/>
      <c r="W205" s="744"/>
      <c r="X205" s="744"/>
      <c r="BB205" s="998"/>
      <c r="BC205" s="1001"/>
      <c r="BD205" s="1001"/>
      <c r="BE205" s="1001"/>
      <c r="BF205" s="478"/>
    </row>
    <row r="206" spans="1:58" x14ac:dyDescent="0.25">
      <c r="A206" s="777" t="s">
        <v>879</v>
      </c>
      <c r="B206" s="980">
        <f>Calculations!C332</f>
        <v>1.5</v>
      </c>
      <c r="C206" s="744"/>
      <c r="D206" s="744"/>
      <c r="E206" s="744"/>
      <c r="F206" s="744"/>
      <c r="G206" s="744"/>
      <c r="H206" s="744"/>
      <c r="I206" s="744"/>
      <c r="J206" s="744"/>
      <c r="K206" s="744"/>
      <c r="L206" s="744"/>
      <c r="M206" s="744"/>
      <c r="N206" s="744"/>
      <c r="O206" s="744"/>
      <c r="P206" s="744"/>
      <c r="Q206" s="744"/>
      <c r="R206" s="744"/>
      <c r="S206" s="744"/>
      <c r="T206" s="744"/>
      <c r="U206" s="744"/>
      <c r="V206" s="744"/>
      <c r="W206" s="744"/>
      <c r="X206" s="744"/>
      <c r="BB206" s="991" t="s">
        <v>1048</v>
      </c>
      <c r="BC206" s="1001"/>
      <c r="BD206" s="1001"/>
      <c r="BE206" s="1001"/>
      <c r="BF206" s="478"/>
    </row>
    <row r="207" spans="1:58" x14ac:dyDescent="0.25">
      <c r="A207" s="777" t="s">
        <v>767</v>
      </c>
      <c r="B207" s="744"/>
      <c r="C207" s="777" t="s">
        <v>1049</v>
      </c>
      <c r="D207" s="351" t="s">
        <v>901</v>
      </c>
      <c r="E207" s="351"/>
      <c r="F207" s="744"/>
      <c r="G207" s="744"/>
      <c r="H207" s="744"/>
      <c r="I207" s="744"/>
      <c r="J207" s="744"/>
      <c r="K207" s="744"/>
      <c r="L207" s="744"/>
      <c r="M207" s="744"/>
      <c r="N207" s="744"/>
      <c r="O207" s="744"/>
      <c r="P207" s="744"/>
      <c r="Q207" s="744"/>
      <c r="R207" s="744"/>
      <c r="S207" s="744"/>
      <c r="T207" s="744"/>
      <c r="U207" s="744"/>
      <c r="V207" s="744"/>
      <c r="W207" s="744"/>
      <c r="X207" s="744"/>
      <c r="BB207" s="998" t="s">
        <v>879</v>
      </c>
      <c r="BC207" s="1005">
        <f>B206</f>
        <v>1.5</v>
      </c>
      <c r="BD207" s="1001"/>
      <c r="BE207" s="1001"/>
      <c r="BF207" s="478"/>
    </row>
    <row r="208" spans="1:58" x14ac:dyDescent="0.25">
      <c r="A208" s="305" t="s">
        <v>98</v>
      </c>
      <c r="B208" s="981">
        <f>Calculations!C334</f>
        <v>40</v>
      </c>
      <c r="C208" s="305" t="s">
        <v>109</v>
      </c>
      <c r="D208" s="981">
        <f>Calculations!F334</f>
        <v>42.5</v>
      </c>
      <c r="E208" s="981"/>
      <c r="F208" s="744"/>
      <c r="G208" s="744"/>
      <c r="H208" s="744"/>
      <c r="I208" s="744"/>
      <c r="J208" s="744"/>
      <c r="K208" s="744"/>
      <c r="L208" s="744"/>
      <c r="M208" s="744"/>
      <c r="N208" s="744"/>
      <c r="O208" s="744"/>
      <c r="P208" s="744"/>
      <c r="Q208" s="744"/>
      <c r="R208" s="744"/>
      <c r="S208" s="744"/>
      <c r="T208" s="744"/>
      <c r="U208" s="744"/>
      <c r="V208" s="744"/>
      <c r="W208" s="744"/>
      <c r="X208" s="744"/>
      <c r="BB208" s="991" t="s">
        <v>767</v>
      </c>
      <c r="BC208" s="786" t="s">
        <v>901</v>
      </c>
      <c r="BD208" s="786" t="s">
        <v>1049</v>
      </c>
      <c r="BE208" s="786" t="s">
        <v>901</v>
      </c>
      <c r="BF208" s="478"/>
    </row>
    <row r="209" spans="1:58" x14ac:dyDescent="0.25">
      <c r="A209" s="305" t="s">
        <v>334</v>
      </c>
      <c r="B209" s="981">
        <f>Calculations!C335</f>
        <v>13.7</v>
      </c>
      <c r="C209" s="305" t="s">
        <v>99</v>
      </c>
      <c r="D209" s="981">
        <f>Calculations!F335</f>
        <v>13.71</v>
      </c>
      <c r="E209" s="981"/>
      <c r="F209" s="744"/>
      <c r="G209" s="744"/>
      <c r="H209" s="744"/>
      <c r="I209" s="744"/>
      <c r="J209" s="744"/>
      <c r="K209" s="744"/>
      <c r="L209" s="744"/>
      <c r="M209" s="744"/>
      <c r="N209" s="744"/>
      <c r="O209" s="744"/>
      <c r="P209" s="744"/>
      <c r="Q209" s="744"/>
      <c r="R209" s="744"/>
      <c r="S209" s="744"/>
      <c r="T209" s="744"/>
      <c r="U209" s="744"/>
      <c r="V209" s="744"/>
      <c r="W209" s="744"/>
      <c r="X209" s="744"/>
      <c r="BB209" s="998" t="s">
        <v>98</v>
      </c>
      <c r="BC209" s="1006">
        <f t="shared" ref="BC209:BE216" si="38">B208</f>
        <v>40</v>
      </c>
      <c r="BD209" s="1193" t="s">
        <v>109</v>
      </c>
      <c r="BE209" s="1006">
        <f t="shared" si="38"/>
        <v>42.5</v>
      </c>
      <c r="BF209" s="478"/>
    </row>
    <row r="210" spans="1:58" x14ac:dyDescent="0.25">
      <c r="A210" s="305" t="s">
        <v>387</v>
      </c>
      <c r="B210" s="981">
        <f>Calculations!C336</f>
        <v>16.87</v>
      </c>
      <c r="C210" s="305" t="s">
        <v>107</v>
      </c>
      <c r="D210" s="981">
        <f>Calculations!F336</f>
        <v>17.5</v>
      </c>
      <c r="E210" s="981"/>
      <c r="F210" s="744"/>
      <c r="G210" s="744"/>
      <c r="H210" s="744"/>
      <c r="I210" s="744"/>
      <c r="J210" s="744"/>
      <c r="K210" s="744"/>
      <c r="L210" s="744"/>
      <c r="M210" s="744"/>
      <c r="N210" s="744"/>
      <c r="O210" s="744"/>
      <c r="P210" s="744"/>
      <c r="Q210" s="744"/>
      <c r="R210" s="744"/>
      <c r="S210" s="744"/>
      <c r="T210" s="744"/>
      <c r="U210" s="744"/>
      <c r="V210" s="744"/>
      <c r="W210" s="744"/>
      <c r="X210" s="744"/>
      <c r="BB210" s="998" t="s">
        <v>334</v>
      </c>
      <c r="BC210" s="1006">
        <f t="shared" si="38"/>
        <v>13.7</v>
      </c>
      <c r="BD210" s="1193" t="s">
        <v>99</v>
      </c>
      <c r="BE210" s="1006">
        <f t="shared" si="38"/>
        <v>13.71</v>
      </c>
      <c r="BF210" s="478"/>
    </row>
    <row r="211" spans="1:58" x14ac:dyDescent="0.25">
      <c r="A211" s="305" t="s">
        <v>1047</v>
      </c>
      <c r="B211" s="981">
        <f>Calculations!C337</f>
        <v>50</v>
      </c>
      <c r="C211" s="305" t="s">
        <v>83</v>
      </c>
      <c r="D211" s="981">
        <f>Calculations!F337</f>
        <v>22.32</v>
      </c>
      <c r="E211" s="981"/>
      <c r="F211" s="744"/>
      <c r="G211" s="744"/>
      <c r="H211" s="744"/>
      <c r="I211" s="744"/>
      <c r="J211" s="744"/>
      <c r="K211" s="744"/>
      <c r="L211" s="744"/>
      <c r="M211" s="744"/>
      <c r="N211" s="744"/>
      <c r="O211" s="744"/>
      <c r="P211" s="744"/>
      <c r="Q211" s="744"/>
      <c r="R211" s="744"/>
      <c r="S211" s="744"/>
      <c r="T211" s="744"/>
      <c r="U211" s="744"/>
      <c r="V211" s="744"/>
      <c r="W211" s="744"/>
      <c r="X211" s="744"/>
      <c r="BB211" s="998" t="s">
        <v>387</v>
      </c>
      <c r="BC211" s="1006">
        <f t="shared" si="38"/>
        <v>16.87</v>
      </c>
      <c r="BD211" s="1193" t="s">
        <v>107</v>
      </c>
      <c r="BE211" s="1006">
        <f t="shared" si="38"/>
        <v>17.5</v>
      </c>
      <c r="BF211" s="478"/>
    </row>
    <row r="212" spans="1:58" x14ac:dyDescent="0.25">
      <c r="A212" s="305" t="s">
        <v>336</v>
      </c>
      <c r="B212" s="981">
        <f>Calculations!C338</f>
        <v>13.7</v>
      </c>
      <c r="C212" s="305" t="s">
        <v>98</v>
      </c>
      <c r="D212" s="981">
        <f>Calculations!F338</f>
        <v>40</v>
      </c>
      <c r="E212" s="981"/>
      <c r="F212" s="744"/>
      <c r="G212" s="744"/>
      <c r="H212" s="744"/>
      <c r="I212" s="744"/>
      <c r="J212" s="744"/>
      <c r="K212" s="744"/>
      <c r="L212" s="744"/>
      <c r="M212" s="744"/>
      <c r="N212" s="744"/>
      <c r="O212" s="744"/>
      <c r="P212" s="744"/>
      <c r="Q212" s="744"/>
      <c r="R212" s="744"/>
      <c r="S212" s="744"/>
      <c r="T212" s="744"/>
      <c r="U212" s="744"/>
      <c r="V212" s="744"/>
      <c r="W212" s="744"/>
      <c r="X212" s="744"/>
      <c r="BB212" s="998" t="s">
        <v>1047</v>
      </c>
      <c r="BC212" s="1006">
        <f t="shared" si="38"/>
        <v>50</v>
      </c>
      <c r="BD212" s="1193" t="s">
        <v>83</v>
      </c>
      <c r="BE212" s="1006">
        <f t="shared" si="38"/>
        <v>22.32</v>
      </c>
      <c r="BF212" s="478"/>
    </row>
    <row r="213" spans="1:58" x14ac:dyDescent="0.25">
      <c r="A213" s="305" t="s">
        <v>339</v>
      </c>
      <c r="B213" s="981">
        <f>Calculations!C339</f>
        <v>13.7</v>
      </c>
      <c r="C213" s="744"/>
      <c r="D213" s="744"/>
      <c r="E213" s="744"/>
      <c r="F213" s="744"/>
      <c r="G213" s="744"/>
      <c r="H213" s="744"/>
      <c r="I213" s="744"/>
      <c r="J213" s="744"/>
      <c r="K213" s="744"/>
      <c r="L213" s="744"/>
      <c r="M213" s="744"/>
      <c r="N213" s="744"/>
      <c r="O213" s="744"/>
      <c r="P213" s="744"/>
      <c r="Q213" s="744"/>
      <c r="R213" s="744"/>
      <c r="S213" s="744"/>
      <c r="T213" s="744"/>
      <c r="U213" s="744"/>
      <c r="V213" s="744"/>
      <c r="W213" s="744"/>
      <c r="X213" s="744"/>
      <c r="BB213" s="998" t="s">
        <v>336</v>
      </c>
      <c r="BC213" s="1006">
        <f t="shared" si="38"/>
        <v>13.7</v>
      </c>
      <c r="BD213" s="1193" t="s">
        <v>98</v>
      </c>
      <c r="BE213" s="1006">
        <f t="shared" si="38"/>
        <v>40</v>
      </c>
      <c r="BF213" s="478"/>
    </row>
    <row r="214" spans="1:58" x14ac:dyDescent="0.25">
      <c r="A214" s="305" t="s">
        <v>29</v>
      </c>
      <c r="B214" s="981">
        <f>Calculations!C340</f>
        <v>17.920000000000002</v>
      </c>
      <c r="C214" s="744"/>
      <c r="D214" s="744"/>
      <c r="E214" s="744"/>
      <c r="F214" s="744"/>
      <c r="G214" s="744"/>
      <c r="H214" s="744"/>
      <c r="I214" s="744"/>
      <c r="J214" s="744"/>
      <c r="K214" s="744"/>
      <c r="L214" s="744"/>
      <c r="M214" s="744"/>
      <c r="N214" s="744"/>
      <c r="O214" s="744"/>
      <c r="P214" s="744"/>
      <c r="Q214" s="744"/>
      <c r="R214" s="744"/>
      <c r="S214" s="744"/>
      <c r="T214" s="744"/>
      <c r="U214" s="744"/>
      <c r="V214" s="744"/>
      <c r="W214" s="744"/>
      <c r="X214" s="744"/>
      <c r="BB214" s="998" t="s">
        <v>339</v>
      </c>
      <c r="BC214" s="1006">
        <f t="shared" si="38"/>
        <v>13.7</v>
      </c>
      <c r="BD214" s="1001"/>
      <c r="BE214" s="1001"/>
      <c r="BF214" s="478"/>
    </row>
    <row r="215" spans="1:58" x14ac:dyDescent="0.25">
      <c r="A215" s="305" t="s">
        <v>340</v>
      </c>
      <c r="B215" s="981">
        <f>Calculations!C341</f>
        <v>13.7</v>
      </c>
      <c r="C215" s="744"/>
      <c r="D215" s="744"/>
      <c r="E215" s="744"/>
      <c r="F215" s="744"/>
      <c r="G215" s="744"/>
      <c r="H215" s="744"/>
      <c r="I215" s="744"/>
      <c r="J215" s="744"/>
      <c r="K215" s="744"/>
      <c r="L215" s="744"/>
      <c r="M215" s="744"/>
      <c r="N215" s="744"/>
      <c r="O215" s="744"/>
      <c r="P215" s="744"/>
      <c r="Q215" s="744"/>
      <c r="R215" s="744"/>
      <c r="S215" s="744"/>
      <c r="T215" s="744"/>
      <c r="U215" s="744"/>
      <c r="V215" s="744"/>
      <c r="W215" s="744"/>
      <c r="X215" s="744"/>
      <c r="BB215" s="998" t="s">
        <v>29</v>
      </c>
      <c r="BC215" s="1006">
        <f t="shared" si="38"/>
        <v>17.920000000000002</v>
      </c>
      <c r="BD215" s="1001"/>
      <c r="BE215" s="1001"/>
      <c r="BF215" s="478"/>
    </row>
    <row r="216" spans="1:58" x14ac:dyDescent="0.25">
      <c r="A216" s="305"/>
      <c r="B216" s="744"/>
      <c r="C216" s="744"/>
      <c r="D216" s="744"/>
      <c r="E216" s="744"/>
      <c r="F216" s="744"/>
      <c r="G216" s="744"/>
      <c r="H216" s="744"/>
      <c r="I216" s="744"/>
      <c r="J216" s="744"/>
      <c r="K216" s="744"/>
      <c r="L216" s="744"/>
      <c r="M216" s="744"/>
      <c r="N216" s="744"/>
      <c r="O216" s="744"/>
      <c r="P216" s="744"/>
      <c r="Q216" s="744"/>
      <c r="R216" s="744"/>
      <c r="S216" s="744"/>
      <c r="T216" s="744"/>
      <c r="U216" s="744"/>
      <c r="V216" s="744"/>
      <c r="W216" s="744"/>
      <c r="X216" s="744"/>
      <c r="BB216" s="998" t="s">
        <v>340</v>
      </c>
      <c r="BC216" s="1006">
        <f t="shared" si="38"/>
        <v>13.7</v>
      </c>
      <c r="BD216" s="1001"/>
      <c r="BE216" s="1001"/>
      <c r="BF216" s="478"/>
    </row>
    <row r="217" spans="1:58" ht="15.75" x14ac:dyDescent="0.25">
      <c r="A217" s="784" t="s">
        <v>1038</v>
      </c>
      <c r="B217" s="744"/>
      <c r="C217" s="744"/>
      <c r="D217" s="744"/>
      <c r="E217" s="744"/>
      <c r="F217" s="744"/>
      <c r="G217" s="744"/>
      <c r="H217" s="744"/>
      <c r="I217" s="744"/>
      <c r="J217" s="744"/>
      <c r="K217" s="744"/>
      <c r="L217" s="744"/>
      <c r="M217" s="744"/>
      <c r="N217" s="744"/>
      <c r="O217" s="744"/>
      <c r="P217" s="744"/>
      <c r="Q217" s="744"/>
      <c r="R217" s="744"/>
      <c r="S217" s="744"/>
      <c r="T217" s="744"/>
      <c r="U217" s="744"/>
      <c r="V217" s="744"/>
      <c r="W217" s="744"/>
      <c r="X217" s="744"/>
      <c r="BB217" s="998"/>
      <c r="BC217" s="1001"/>
      <c r="BD217" s="1001"/>
      <c r="BE217" s="1001"/>
      <c r="BF217" s="478"/>
    </row>
    <row r="218" spans="1:58" x14ac:dyDescent="0.25">
      <c r="A218" s="777" t="s">
        <v>879</v>
      </c>
      <c r="B218" s="980">
        <f>Calculations!C344</f>
        <v>2.5</v>
      </c>
      <c r="C218" s="744"/>
      <c r="D218" s="744"/>
      <c r="E218" s="744"/>
      <c r="F218" s="744"/>
      <c r="G218" s="744"/>
      <c r="H218" s="744"/>
      <c r="I218" s="744"/>
      <c r="J218" s="744"/>
      <c r="K218" s="744"/>
      <c r="L218" s="744"/>
      <c r="M218" s="744"/>
      <c r="N218" s="744"/>
      <c r="O218" s="744"/>
      <c r="P218" s="744"/>
      <c r="Q218" s="744"/>
      <c r="R218" s="744"/>
      <c r="S218" s="744"/>
      <c r="T218" s="744"/>
      <c r="U218" s="744"/>
      <c r="V218" s="744"/>
      <c r="W218" s="744"/>
      <c r="X218" s="744"/>
      <c r="BB218" s="991" t="s">
        <v>1038</v>
      </c>
      <c r="BC218" s="1001"/>
      <c r="BD218" s="1001"/>
      <c r="BE218" s="1001"/>
      <c r="BF218" s="478"/>
    </row>
    <row r="219" spans="1:58" x14ac:dyDescent="0.25">
      <c r="A219" s="777" t="s">
        <v>767</v>
      </c>
      <c r="B219" s="744"/>
      <c r="C219" s="744"/>
      <c r="D219" s="744"/>
      <c r="E219" s="744"/>
      <c r="F219" s="744"/>
      <c r="G219" s="744"/>
      <c r="H219" s="744"/>
      <c r="I219" s="744"/>
      <c r="J219" s="744"/>
      <c r="K219" s="744"/>
      <c r="L219" s="744"/>
      <c r="M219" s="744"/>
      <c r="N219" s="744"/>
      <c r="O219" s="744"/>
      <c r="P219" s="744"/>
      <c r="Q219" s="744"/>
      <c r="R219" s="744"/>
      <c r="S219" s="744"/>
      <c r="T219" s="744"/>
      <c r="U219" s="744"/>
      <c r="V219" s="744"/>
      <c r="W219" s="744"/>
      <c r="X219" s="744"/>
      <c r="BB219" s="998" t="s">
        <v>879</v>
      </c>
      <c r="BC219" s="1005">
        <v>2.5</v>
      </c>
      <c r="BD219" s="1001"/>
      <c r="BE219" s="1001"/>
      <c r="BF219" s="478"/>
    </row>
    <row r="220" spans="1:58" x14ac:dyDescent="0.25">
      <c r="A220" s="460" t="s">
        <v>768</v>
      </c>
      <c r="B220" s="981">
        <f>Calculations!C346</f>
        <v>23.388090349075977</v>
      </c>
      <c r="C220" s="744"/>
      <c r="D220" s="744"/>
      <c r="E220" s="744"/>
      <c r="F220" s="744"/>
      <c r="G220" s="744"/>
      <c r="H220" s="744"/>
      <c r="I220" s="744"/>
      <c r="J220" s="744"/>
      <c r="K220" s="744"/>
      <c r="L220" s="744"/>
      <c r="M220" s="744"/>
      <c r="N220" s="744"/>
      <c r="O220" s="744"/>
      <c r="P220" s="744"/>
      <c r="Q220" s="744"/>
      <c r="R220" s="744"/>
      <c r="S220" s="744"/>
      <c r="T220" s="744"/>
      <c r="U220" s="744"/>
      <c r="V220" s="744"/>
      <c r="W220" s="744"/>
      <c r="X220" s="744"/>
      <c r="BB220" s="991" t="s">
        <v>767</v>
      </c>
      <c r="BC220" s="786" t="s">
        <v>901</v>
      </c>
      <c r="BD220" s="1001"/>
      <c r="BE220" s="1001"/>
      <c r="BF220" s="478"/>
    </row>
    <row r="221" spans="1:58" x14ac:dyDescent="0.25">
      <c r="A221" s="460" t="s">
        <v>769</v>
      </c>
      <c r="B221" s="981">
        <f>Calculations!C347</f>
        <v>28.06570841889117</v>
      </c>
      <c r="C221" s="744"/>
      <c r="D221" s="744"/>
      <c r="E221" s="744"/>
      <c r="F221" s="744"/>
      <c r="G221" s="744"/>
      <c r="H221" s="744"/>
      <c r="I221" s="744"/>
      <c r="J221" s="744"/>
      <c r="K221" s="744"/>
      <c r="L221" s="744"/>
      <c r="M221" s="744"/>
      <c r="N221" s="744"/>
      <c r="O221" s="744"/>
      <c r="P221" s="744"/>
      <c r="Q221" s="744"/>
      <c r="R221" s="744"/>
      <c r="S221" s="744"/>
      <c r="T221" s="744"/>
      <c r="U221" s="744"/>
      <c r="V221" s="744"/>
      <c r="W221" s="744"/>
      <c r="X221" s="744"/>
      <c r="BB221" s="998" t="s">
        <v>768</v>
      </c>
      <c r="BC221" s="1006">
        <v>23.388090349075977</v>
      </c>
      <c r="BD221" s="1001"/>
      <c r="BE221" s="1001"/>
      <c r="BF221" s="478"/>
    </row>
    <row r="222" spans="1:58" x14ac:dyDescent="0.25">
      <c r="A222" s="460" t="s">
        <v>770</v>
      </c>
      <c r="B222" s="981">
        <f>Calculations!C348</f>
        <v>28.06570841889117</v>
      </c>
      <c r="C222" s="744"/>
      <c r="D222" s="744"/>
      <c r="E222" s="744"/>
      <c r="F222" s="744"/>
      <c r="G222" s="744"/>
      <c r="H222" s="744"/>
      <c r="I222" s="744"/>
      <c r="J222" s="744"/>
      <c r="K222" s="744"/>
      <c r="L222" s="744"/>
      <c r="M222" s="744"/>
      <c r="N222" s="744"/>
      <c r="O222" s="744"/>
      <c r="P222" s="744"/>
      <c r="Q222" s="744"/>
      <c r="R222" s="744"/>
      <c r="S222" s="744"/>
      <c r="T222" s="744"/>
      <c r="U222" s="744"/>
      <c r="V222" s="744"/>
      <c r="W222" s="744"/>
      <c r="X222" s="744"/>
      <c r="BB222" s="998" t="s">
        <v>769</v>
      </c>
      <c r="BC222" s="1006">
        <v>28.06570841889117</v>
      </c>
      <c r="BD222" s="1001"/>
      <c r="BE222" s="1001"/>
      <c r="BF222" s="478"/>
    </row>
    <row r="223" spans="1:58" x14ac:dyDescent="0.25">
      <c r="A223" s="460" t="s">
        <v>771</v>
      </c>
      <c r="B223" s="981">
        <f>Calculations!C349</f>
        <v>20.464579055441479</v>
      </c>
      <c r="C223" s="744"/>
      <c r="D223" s="744"/>
      <c r="E223" s="744"/>
      <c r="F223" s="744"/>
      <c r="G223" s="744"/>
      <c r="H223" s="744"/>
      <c r="I223" s="744"/>
      <c r="J223" s="744"/>
      <c r="K223" s="744"/>
      <c r="L223" s="744"/>
      <c r="M223" s="744"/>
      <c r="N223" s="744"/>
      <c r="O223" s="744"/>
      <c r="P223" s="744"/>
      <c r="Q223" s="744"/>
      <c r="R223" s="744"/>
      <c r="S223" s="744"/>
      <c r="T223" s="744"/>
      <c r="U223" s="744"/>
      <c r="V223" s="744"/>
      <c r="W223" s="744"/>
      <c r="X223" s="744"/>
      <c r="BB223" s="998" t="s">
        <v>770</v>
      </c>
      <c r="BC223" s="1006">
        <v>28.06570841889117</v>
      </c>
      <c r="BD223" s="1001"/>
      <c r="BE223" s="1001"/>
      <c r="BF223" s="478"/>
    </row>
    <row r="224" spans="1:58" x14ac:dyDescent="0.25">
      <c r="A224" s="460" t="s">
        <v>772</v>
      </c>
      <c r="B224" s="981">
        <f>Calculations!C350</f>
        <v>46.776180698151954</v>
      </c>
      <c r="C224" s="744"/>
      <c r="D224" s="744"/>
      <c r="E224" s="744"/>
      <c r="F224" s="744"/>
      <c r="G224" s="744"/>
      <c r="H224" s="744"/>
      <c r="I224" s="744"/>
      <c r="J224" s="744"/>
      <c r="K224" s="744"/>
      <c r="L224" s="744"/>
      <c r="M224" s="744"/>
      <c r="N224" s="744"/>
      <c r="O224" s="744"/>
      <c r="P224" s="744"/>
      <c r="Q224" s="744"/>
      <c r="R224" s="744"/>
      <c r="S224" s="744"/>
      <c r="T224" s="744"/>
      <c r="U224" s="744"/>
      <c r="V224" s="744"/>
      <c r="W224" s="744"/>
      <c r="X224" s="744"/>
      <c r="BB224" s="998" t="s">
        <v>771</v>
      </c>
      <c r="BC224" s="1006">
        <v>20.464579055441479</v>
      </c>
      <c r="BD224" s="1001"/>
      <c r="BE224" s="1001"/>
      <c r="BF224" s="478"/>
    </row>
    <row r="225" spans="1:58" x14ac:dyDescent="0.25">
      <c r="A225" s="460" t="s">
        <v>773</v>
      </c>
      <c r="B225" s="981">
        <f>Calculations!C351</f>
        <v>35.082135523613964</v>
      </c>
      <c r="C225" s="744"/>
      <c r="D225" s="744"/>
      <c r="E225" s="744"/>
      <c r="F225" s="744"/>
      <c r="G225" s="744"/>
      <c r="H225" s="744"/>
      <c r="I225" s="744"/>
      <c r="J225" s="744"/>
      <c r="K225" s="744"/>
      <c r="L225" s="744"/>
      <c r="M225" s="744"/>
      <c r="N225" s="744"/>
      <c r="O225" s="744"/>
      <c r="P225" s="744"/>
      <c r="Q225" s="744"/>
      <c r="R225" s="744"/>
      <c r="S225" s="744"/>
      <c r="T225" s="744"/>
      <c r="U225" s="744"/>
      <c r="V225" s="744"/>
      <c r="W225" s="744"/>
      <c r="X225" s="744"/>
      <c r="BB225" s="998" t="s">
        <v>772</v>
      </c>
      <c r="BC225" s="1006">
        <v>46.776180698151954</v>
      </c>
      <c r="BD225" s="1001"/>
      <c r="BE225" s="1001"/>
      <c r="BF225" s="478"/>
    </row>
    <row r="226" spans="1:58" x14ac:dyDescent="0.25">
      <c r="A226" s="460" t="s">
        <v>774</v>
      </c>
      <c r="B226" s="981">
        <f>Calculations!C352</f>
        <v>14.032854209445585</v>
      </c>
      <c r="C226" s="744"/>
      <c r="D226" s="744"/>
      <c r="E226" s="744"/>
      <c r="F226" s="744"/>
      <c r="G226" s="744"/>
      <c r="H226" s="744"/>
      <c r="I226" s="744"/>
      <c r="J226" s="744"/>
      <c r="K226" s="744"/>
      <c r="L226" s="744"/>
      <c r="M226" s="744"/>
      <c r="N226" s="744"/>
      <c r="O226" s="744"/>
      <c r="P226" s="744"/>
      <c r="Q226" s="744"/>
      <c r="R226" s="744"/>
      <c r="S226" s="744"/>
      <c r="T226" s="744"/>
      <c r="U226" s="744"/>
      <c r="V226" s="744"/>
      <c r="W226" s="744"/>
      <c r="X226" s="744"/>
      <c r="BB226" s="998" t="s">
        <v>773</v>
      </c>
      <c r="BC226" s="1006">
        <v>35.082135523613964</v>
      </c>
      <c r="BD226" s="1001"/>
      <c r="BE226" s="1001"/>
      <c r="BF226" s="478"/>
    </row>
    <row r="227" spans="1:58" x14ac:dyDescent="0.25">
      <c r="A227" s="744"/>
      <c r="B227" s="744"/>
      <c r="C227" s="744"/>
      <c r="D227" s="744"/>
      <c r="E227" s="744"/>
      <c r="F227" s="744"/>
      <c r="G227" s="744"/>
      <c r="H227" s="744"/>
      <c r="I227" s="744"/>
      <c r="J227" s="744"/>
      <c r="K227" s="744"/>
      <c r="L227" s="744"/>
      <c r="M227" s="744"/>
      <c r="N227" s="744"/>
      <c r="O227" s="744"/>
      <c r="P227" s="744"/>
      <c r="Q227" s="744"/>
      <c r="R227" s="744"/>
      <c r="S227" s="744"/>
      <c r="T227" s="744"/>
      <c r="U227" s="744"/>
      <c r="V227" s="744"/>
      <c r="W227" s="744"/>
      <c r="X227" s="744"/>
      <c r="BB227" s="998" t="s">
        <v>774</v>
      </c>
      <c r="BC227" s="1006">
        <v>14.032854209445585</v>
      </c>
      <c r="BD227" s="1001"/>
      <c r="BE227" s="1001"/>
      <c r="BF227" s="478"/>
    </row>
    <row r="228" spans="1:58" x14ac:dyDescent="0.25">
      <c r="A228" s="744"/>
      <c r="B228" s="744"/>
      <c r="C228" s="744"/>
      <c r="D228" s="744"/>
      <c r="E228" s="744"/>
      <c r="F228" s="744"/>
      <c r="G228" s="744"/>
      <c r="H228" s="744"/>
      <c r="I228" s="744"/>
      <c r="J228" s="744"/>
      <c r="K228" s="744"/>
      <c r="L228" s="744"/>
      <c r="M228" s="744"/>
      <c r="N228" s="744"/>
      <c r="O228" s="744"/>
      <c r="P228" s="744"/>
      <c r="Q228" s="744"/>
      <c r="R228" s="744"/>
      <c r="S228" s="744"/>
      <c r="T228" s="744"/>
      <c r="U228" s="744"/>
      <c r="V228" s="744"/>
      <c r="W228" s="744"/>
      <c r="X228" s="744"/>
      <c r="BF228" s="478"/>
    </row>
    <row r="229" spans="1:58" x14ac:dyDescent="0.25">
      <c r="A229" s="744"/>
      <c r="B229" s="744"/>
      <c r="C229" s="744"/>
      <c r="D229" s="744"/>
      <c r="E229" s="744"/>
      <c r="F229" s="744"/>
      <c r="G229" s="744"/>
      <c r="H229" s="744"/>
      <c r="I229" s="744"/>
      <c r="J229" s="744"/>
      <c r="K229" s="744"/>
      <c r="L229" s="744"/>
      <c r="M229" s="744"/>
      <c r="N229" s="744"/>
      <c r="O229" s="744"/>
      <c r="P229" s="744"/>
      <c r="Q229" s="744"/>
      <c r="R229" s="744"/>
      <c r="S229" s="744"/>
      <c r="T229" s="744"/>
      <c r="U229" s="744"/>
      <c r="V229" s="744"/>
      <c r="W229" s="744"/>
      <c r="X229" s="744"/>
    </row>
    <row r="230" spans="1:58" x14ac:dyDescent="0.25">
      <c r="A230" s="744"/>
      <c r="B230" s="744"/>
      <c r="C230" s="744"/>
      <c r="D230" s="744"/>
      <c r="E230" s="744"/>
      <c r="F230" s="744"/>
      <c r="G230" s="744"/>
      <c r="H230" s="744"/>
      <c r="I230" s="744"/>
      <c r="J230" s="744"/>
      <c r="K230" s="744"/>
      <c r="L230" s="744"/>
      <c r="M230" s="744"/>
      <c r="N230" s="744"/>
      <c r="O230" s="744"/>
      <c r="P230" s="744"/>
      <c r="Q230" s="744"/>
      <c r="R230" s="744"/>
      <c r="S230" s="744"/>
      <c r="T230" s="744"/>
      <c r="U230" s="744"/>
      <c r="V230" s="744"/>
      <c r="W230" s="744"/>
      <c r="X230" s="744"/>
    </row>
    <row r="231" spans="1:58" x14ac:dyDescent="0.25">
      <c r="A231" s="744"/>
      <c r="B231" s="744"/>
      <c r="C231" s="744"/>
      <c r="D231" s="744"/>
      <c r="E231" s="744"/>
      <c r="F231" s="744"/>
      <c r="G231" s="744"/>
      <c r="H231" s="744"/>
      <c r="I231" s="744"/>
      <c r="J231" s="744"/>
      <c r="K231" s="744"/>
      <c r="L231" s="744"/>
      <c r="M231" s="744"/>
      <c r="N231" s="744"/>
      <c r="O231" s="744"/>
      <c r="P231" s="744"/>
      <c r="Q231" s="744"/>
      <c r="R231" s="744"/>
      <c r="S231" s="744"/>
      <c r="T231" s="744"/>
      <c r="U231" s="744"/>
      <c r="V231" s="744"/>
      <c r="W231" s="744"/>
      <c r="X231" s="744"/>
    </row>
    <row r="232" spans="1:58" x14ac:dyDescent="0.25">
      <c r="A232" s="744"/>
      <c r="B232" s="744"/>
      <c r="C232" s="744"/>
      <c r="D232" s="744"/>
      <c r="E232" s="744"/>
      <c r="F232" s="744"/>
      <c r="G232" s="744"/>
      <c r="H232" s="744"/>
      <c r="I232" s="744"/>
      <c r="J232" s="744"/>
      <c r="K232" s="744"/>
      <c r="L232" s="744"/>
      <c r="M232" s="744"/>
      <c r="N232" s="744"/>
      <c r="O232" s="744"/>
      <c r="P232" s="744"/>
      <c r="Q232" s="744"/>
      <c r="R232" s="744"/>
      <c r="S232" s="744"/>
      <c r="T232" s="744"/>
      <c r="U232" s="744"/>
      <c r="V232" s="744"/>
      <c r="W232" s="744"/>
      <c r="X232" s="744"/>
    </row>
    <row r="233" spans="1:58" x14ac:dyDescent="0.25">
      <c r="A233" s="744"/>
      <c r="B233" s="744"/>
      <c r="C233" s="744"/>
      <c r="D233" s="744"/>
      <c r="E233" s="744"/>
      <c r="F233" s="744"/>
      <c r="G233" s="744"/>
      <c r="H233" s="744"/>
      <c r="I233" s="744"/>
      <c r="J233" s="744"/>
      <c r="K233" s="744"/>
      <c r="L233" s="744"/>
      <c r="M233" s="744"/>
      <c r="N233" s="744"/>
      <c r="O233" s="744"/>
      <c r="P233" s="744"/>
      <c r="Q233" s="744"/>
      <c r="R233" s="744"/>
      <c r="S233" s="744"/>
      <c r="T233" s="744"/>
      <c r="U233" s="744"/>
      <c r="V233" s="744"/>
      <c r="W233" s="744"/>
      <c r="X233" s="744"/>
    </row>
    <row r="234" spans="1:58" x14ac:dyDescent="0.25">
      <c r="A234" s="744"/>
      <c r="B234" s="744"/>
      <c r="C234" s="744"/>
      <c r="D234" s="744"/>
      <c r="E234" s="744"/>
      <c r="F234" s="744"/>
      <c r="G234" s="744"/>
      <c r="H234" s="744"/>
      <c r="I234" s="744"/>
      <c r="J234" s="744"/>
      <c r="K234" s="744"/>
      <c r="L234" s="744"/>
      <c r="M234" s="744"/>
      <c r="N234" s="744"/>
      <c r="O234" s="744"/>
      <c r="P234" s="744"/>
      <c r="Q234" s="744"/>
      <c r="R234" s="744"/>
      <c r="S234" s="744"/>
      <c r="T234" s="744"/>
      <c r="U234" s="744"/>
      <c r="V234" s="744"/>
      <c r="W234" s="744"/>
      <c r="X234" s="744"/>
    </row>
    <row r="235" spans="1:58" x14ac:dyDescent="0.25">
      <c r="A235" s="744"/>
      <c r="B235" s="744"/>
      <c r="C235" s="744"/>
      <c r="D235" s="744"/>
      <c r="E235" s="744"/>
      <c r="F235" s="744"/>
      <c r="G235" s="744"/>
      <c r="H235" s="744"/>
      <c r="I235" s="744"/>
      <c r="J235" s="744"/>
      <c r="K235" s="744"/>
      <c r="L235" s="744"/>
      <c r="M235" s="744"/>
      <c r="N235" s="744"/>
      <c r="O235" s="744"/>
      <c r="P235" s="744"/>
      <c r="Q235" s="744"/>
      <c r="R235" s="744"/>
      <c r="S235" s="744"/>
      <c r="T235" s="744"/>
      <c r="U235" s="744"/>
      <c r="V235" s="744"/>
      <c r="W235" s="744"/>
      <c r="X235" s="744"/>
    </row>
    <row r="236" spans="1:58" x14ac:dyDescent="0.25">
      <c r="A236" s="744"/>
      <c r="B236" s="744"/>
      <c r="C236" s="744"/>
      <c r="D236" s="744"/>
      <c r="E236" s="744"/>
      <c r="F236" s="744"/>
      <c r="G236" s="744"/>
      <c r="H236" s="744"/>
      <c r="I236" s="744"/>
      <c r="J236" s="744"/>
      <c r="K236" s="744"/>
      <c r="L236" s="744"/>
      <c r="M236" s="744"/>
      <c r="N236" s="744"/>
      <c r="O236" s="744"/>
      <c r="P236" s="744"/>
      <c r="Q236" s="744"/>
      <c r="R236" s="744"/>
      <c r="S236" s="744"/>
      <c r="T236" s="744"/>
      <c r="U236" s="744"/>
      <c r="V236" s="744"/>
      <c r="W236" s="744"/>
      <c r="X236" s="744"/>
    </row>
    <row r="237" spans="1:58" x14ac:dyDescent="0.25">
      <c r="A237" s="744"/>
      <c r="B237" s="744"/>
      <c r="C237" s="744"/>
      <c r="D237" s="744"/>
      <c r="E237" s="744"/>
      <c r="F237" s="744"/>
      <c r="G237" s="744"/>
      <c r="H237" s="744"/>
      <c r="I237" s="744"/>
      <c r="J237" s="744"/>
      <c r="K237" s="744"/>
      <c r="L237" s="744"/>
      <c r="M237" s="744"/>
      <c r="N237" s="744"/>
      <c r="O237" s="744"/>
      <c r="P237" s="744"/>
      <c r="Q237" s="744"/>
      <c r="R237" s="744"/>
      <c r="S237" s="744"/>
      <c r="T237" s="744"/>
      <c r="U237" s="744"/>
      <c r="V237" s="744"/>
      <c r="W237" s="744"/>
      <c r="X237" s="744"/>
    </row>
    <row r="238" spans="1:58" x14ac:dyDescent="0.25">
      <c r="A238" s="744"/>
      <c r="B238" s="744"/>
      <c r="C238" s="744"/>
      <c r="D238" s="744"/>
      <c r="E238" s="744"/>
      <c r="F238" s="744"/>
      <c r="G238" s="744"/>
      <c r="H238" s="744"/>
      <c r="I238" s="744"/>
      <c r="J238" s="744"/>
      <c r="K238" s="744"/>
      <c r="L238" s="744"/>
      <c r="M238" s="744"/>
      <c r="N238" s="744"/>
      <c r="O238" s="744"/>
      <c r="P238" s="744"/>
      <c r="Q238" s="744"/>
      <c r="R238" s="744"/>
      <c r="S238" s="744"/>
      <c r="T238" s="744"/>
      <c r="U238" s="744"/>
      <c r="V238" s="744"/>
      <c r="W238" s="744"/>
      <c r="X238" s="744"/>
    </row>
    <row r="239" spans="1:58" x14ac:dyDescent="0.25">
      <c r="A239" s="744"/>
      <c r="B239" s="744"/>
      <c r="C239" s="744"/>
      <c r="D239" s="744"/>
      <c r="E239" s="744"/>
      <c r="F239" s="744"/>
      <c r="G239" s="744"/>
      <c r="H239" s="744"/>
      <c r="I239" s="744"/>
      <c r="J239" s="744"/>
      <c r="K239" s="744"/>
      <c r="L239" s="744"/>
      <c r="M239" s="744"/>
      <c r="N239" s="744"/>
      <c r="O239" s="744"/>
      <c r="P239" s="744"/>
      <c r="Q239" s="744"/>
      <c r="R239" s="744"/>
      <c r="S239" s="744"/>
      <c r="T239" s="744"/>
      <c r="U239" s="744"/>
      <c r="V239" s="744"/>
      <c r="W239" s="744"/>
      <c r="X239" s="744"/>
    </row>
    <row r="240" spans="1:58" x14ac:dyDescent="0.25">
      <c r="A240" s="744"/>
      <c r="B240" s="744"/>
      <c r="C240" s="744"/>
      <c r="D240" s="744"/>
      <c r="E240" s="744"/>
      <c r="F240" s="744"/>
      <c r="G240" s="744"/>
      <c r="H240" s="744"/>
      <c r="I240" s="744"/>
      <c r="J240" s="744"/>
      <c r="K240" s="744"/>
      <c r="L240" s="744"/>
      <c r="M240" s="744"/>
      <c r="N240" s="744"/>
      <c r="O240" s="744"/>
      <c r="P240" s="744"/>
      <c r="Q240" s="744"/>
      <c r="R240" s="744"/>
      <c r="S240" s="744"/>
      <c r="T240" s="744"/>
      <c r="U240" s="744"/>
      <c r="V240" s="744"/>
      <c r="W240" s="744"/>
      <c r="X240" s="744"/>
    </row>
    <row r="241" spans="1:24" x14ac:dyDescent="0.25">
      <c r="A241" s="744"/>
      <c r="B241" s="744"/>
      <c r="C241" s="744"/>
      <c r="D241" s="744"/>
      <c r="E241" s="744"/>
      <c r="F241" s="744"/>
      <c r="G241" s="744"/>
      <c r="H241" s="744"/>
      <c r="I241" s="744"/>
      <c r="J241" s="744"/>
      <c r="K241" s="744"/>
      <c r="L241" s="744"/>
      <c r="M241" s="744"/>
      <c r="N241" s="744"/>
      <c r="O241" s="744"/>
      <c r="P241" s="744"/>
      <c r="Q241" s="744"/>
      <c r="R241" s="744"/>
      <c r="S241" s="744"/>
      <c r="T241" s="744"/>
      <c r="U241" s="744"/>
      <c r="V241" s="744"/>
      <c r="W241" s="744"/>
      <c r="X241" s="744"/>
    </row>
    <row r="242" spans="1:24" x14ac:dyDescent="0.25">
      <c r="A242" s="744"/>
      <c r="B242" s="744"/>
      <c r="C242" s="744"/>
      <c r="D242" s="744"/>
      <c r="E242" s="744"/>
      <c r="F242" s="744"/>
      <c r="G242" s="744"/>
      <c r="H242" s="744"/>
      <c r="I242" s="744"/>
      <c r="J242" s="744"/>
      <c r="K242" s="744"/>
      <c r="L242" s="744"/>
      <c r="M242" s="744"/>
      <c r="N242" s="744"/>
      <c r="O242" s="744"/>
      <c r="P242" s="744"/>
      <c r="Q242" s="744"/>
      <c r="R242" s="744"/>
      <c r="S242" s="744"/>
      <c r="T242" s="744"/>
      <c r="U242" s="744"/>
      <c r="V242" s="744"/>
      <c r="W242" s="744"/>
      <c r="X242" s="744"/>
    </row>
    <row r="243" spans="1:24" x14ac:dyDescent="0.25">
      <c r="A243" s="744"/>
      <c r="B243" s="744"/>
      <c r="C243" s="744"/>
      <c r="D243" s="744"/>
      <c r="E243" s="744"/>
      <c r="F243" s="744"/>
      <c r="G243" s="744"/>
      <c r="H243" s="744"/>
      <c r="I243" s="744"/>
      <c r="J243" s="744"/>
      <c r="K243" s="744"/>
      <c r="L243" s="744"/>
      <c r="M243" s="744"/>
      <c r="N243" s="744"/>
      <c r="O243" s="744"/>
      <c r="P243" s="744"/>
      <c r="Q243" s="744"/>
      <c r="R243" s="744"/>
      <c r="S243" s="744"/>
      <c r="T243" s="744"/>
      <c r="U243" s="744"/>
      <c r="V243" s="744"/>
      <c r="W243" s="744"/>
      <c r="X243" s="744"/>
    </row>
    <row r="244" spans="1:24" x14ac:dyDescent="0.25">
      <c r="A244" s="744"/>
      <c r="B244" s="744"/>
      <c r="C244" s="744"/>
      <c r="D244" s="744"/>
      <c r="E244" s="744"/>
      <c r="F244" s="744"/>
      <c r="G244" s="744"/>
      <c r="H244" s="744"/>
      <c r="I244" s="744"/>
      <c r="J244" s="744"/>
      <c r="K244" s="744"/>
      <c r="L244" s="744"/>
      <c r="M244" s="744"/>
      <c r="N244" s="744"/>
      <c r="O244" s="744"/>
      <c r="P244" s="744"/>
      <c r="Q244" s="744"/>
      <c r="R244" s="744"/>
      <c r="S244" s="744"/>
      <c r="T244" s="744"/>
      <c r="U244" s="744"/>
      <c r="V244" s="744"/>
      <c r="W244" s="744"/>
      <c r="X244" s="744"/>
    </row>
    <row r="245" spans="1:24" x14ac:dyDescent="0.25">
      <c r="A245" s="744"/>
      <c r="B245" s="744"/>
      <c r="C245" s="744"/>
      <c r="D245" s="744"/>
      <c r="E245" s="744"/>
      <c r="F245" s="744"/>
      <c r="G245" s="744"/>
      <c r="H245" s="744"/>
      <c r="I245" s="744"/>
      <c r="J245" s="744"/>
      <c r="K245" s="744"/>
      <c r="L245" s="744"/>
      <c r="M245" s="744"/>
      <c r="N245" s="744"/>
      <c r="O245" s="744"/>
      <c r="P245" s="744"/>
      <c r="Q245" s="744"/>
      <c r="R245" s="744"/>
      <c r="S245" s="744"/>
      <c r="T245" s="744"/>
      <c r="U245" s="744"/>
      <c r="V245" s="744"/>
      <c r="W245" s="744"/>
      <c r="X245" s="744"/>
    </row>
    <row r="246" spans="1:24" x14ac:dyDescent="0.25">
      <c r="A246" s="744"/>
      <c r="B246" s="744"/>
      <c r="C246" s="744"/>
      <c r="D246" s="744"/>
      <c r="E246" s="744"/>
      <c r="F246" s="744"/>
      <c r="G246" s="744"/>
      <c r="H246" s="744"/>
      <c r="I246" s="744"/>
      <c r="J246" s="744"/>
      <c r="K246" s="744"/>
      <c r="L246" s="744"/>
      <c r="M246" s="744"/>
      <c r="N246" s="744"/>
      <c r="O246" s="744"/>
      <c r="P246" s="744"/>
      <c r="Q246" s="744"/>
      <c r="R246" s="744"/>
      <c r="S246" s="744"/>
      <c r="T246" s="744"/>
      <c r="U246" s="744"/>
      <c r="V246" s="744"/>
      <c r="W246" s="744"/>
      <c r="X246" s="744"/>
    </row>
    <row r="247" spans="1:24" x14ac:dyDescent="0.25">
      <c r="A247" s="744"/>
      <c r="B247" s="744"/>
      <c r="C247" s="744"/>
      <c r="D247" s="744"/>
      <c r="E247" s="744"/>
      <c r="F247" s="744"/>
      <c r="G247" s="744"/>
      <c r="H247" s="744"/>
      <c r="I247" s="744"/>
      <c r="J247" s="744"/>
      <c r="K247" s="744"/>
      <c r="L247" s="744"/>
      <c r="M247" s="744"/>
      <c r="N247" s="744"/>
      <c r="O247" s="744"/>
      <c r="P247" s="744"/>
      <c r="Q247" s="744"/>
      <c r="R247" s="744"/>
      <c r="S247" s="744"/>
      <c r="T247" s="744"/>
      <c r="U247" s="744"/>
      <c r="V247" s="744"/>
      <c r="W247" s="744"/>
      <c r="X247" s="744"/>
    </row>
    <row r="248" spans="1:24" x14ac:dyDescent="0.25">
      <c r="A248" s="744"/>
      <c r="B248" s="744"/>
      <c r="C248" s="744"/>
      <c r="D248" s="744"/>
      <c r="E248" s="744"/>
      <c r="F248" s="744"/>
      <c r="G248" s="744"/>
      <c r="H248" s="744"/>
      <c r="I248" s="744"/>
      <c r="J248" s="744"/>
      <c r="K248" s="744"/>
      <c r="L248" s="744"/>
      <c r="M248" s="744"/>
      <c r="N248" s="744"/>
      <c r="O248" s="744"/>
      <c r="P248" s="744"/>
      <c r="Q248" s="744"/>
      <c r="R248" s="744"/>
      <c r="S248" s="744"/>
      <c r="T248" s="744"/>
      <c r="U248" s="744"/>
      <c r="V248" s="744"/>
      <c r="W248" s="744"/>
      <c r="X248" s="744"/>
    </row>
  </sheetData>
  <sheetProtection password="DFD3" sheet="1" objects="1" scenarios="1"/>
  <conditionalFormatting sqref="A204:A211 A44:A102 A108 A117:A171">
    <cfRule type="expression" dxfId="160" priority="23">
      <formula>$B$16="Simple"</formula>
    </cfRule>
  </conditionalFormatting>
  <conditionalFormatting sqref="A128:A133">
    <cfRule type="expression" dxfId="159" priority="21">
      <formula>#REF!="Flash"</formula>
    </cfRule>
    <cfRule type="expression" dxfId="158" priority="22">
      <formula>#REF!="Flash"</formula>
    </cfRule>
  </conditionalFormatting>
  <conditionalFormatting sqref="A135:A143">
    <cfRule type="expression" dxfId="157" priority="20">
      <formula>#REF!="Binary"</formula>
    </cfRule>
  </conditionalFormatting>
  <conditionalFormatting sqref="A103:A116">
    <cfRule type="expression" dxfId="156" priority="19">
      <formula>$B$16="Simple"</formula>
    </cfRule>
  </conditionalFormatting>
  <conditionalFormatting sqref="D207:E207 A205:A226 A192:A203 C207:C212 C180">
    <cfRule type="expression" dxfId="155" priority="17">
      <formula>$B$13="Simple"</formula>
    </cfRule>
  </conditionalFormatting>
  <conditionalFormatting sqref="D207:E207 A205:A226 A192:A203 C207:C212 C180">
    <cfRule type="expression" dxfId="154" priority="16">
      <formula>$B$13="Simple"</formula>
    </cfRule>
  </conditionalFormatting>
  <conditionalFormatting sqref="BB122">
    <cfRule type="expression" dxfId="153" priority="7">
      <formula>$B$16="Simple"</formula>
    </cfRule>
  </conditionalFormatting>
  <conditionalFormatting sqref="BB130">
    <cfRule type="expression" dxfId="152" priority="6">
      <formula>$B$16="Simple"</formula>
    </cfRule>
  </conditionalFormatting>
  <conditionalFormatting sqref="BB130">
    <cfRule type="expression" dxfId="151" priority="4">
      <formula>#REF!="Flash"</formula>
    </cfRule>
    <cfRule type="expression" dxfId="150" priority="5">
      <formula>#REF!="Flash"</formula>
    </cfRule>
  </conditionalFormatting>
  <conditionalFormatting sqref="BB136">
    <cfRule type="expression" dxfId="149" priority="3">
      <formula>$B$16="Simple"</formula>
    </cfRule>
  </conditionalFormatting>
  <conditionalFormatting sqref="BB136">
    <cfRule type="expression" dxfId="148" priority="2">
      <formula>#REF!="Binary"</formula>
    </cfRule>
  </conditionalFormatting>
  <conditionalFormatting sqref="BB149">
    <cfRule type="expression" dxfId="147" priority="1">
      <formula>$B$16="Simple"</formula>
    </cfRule>
  </conditionalFormatting>
  <pageMargins left="0.7" right="0.7" top="0.75" bottom="0.75" header="0.3" footer="0.3"/>
  <pageSetup scale="80" orientation="portrait" horizontalDpi="4294967293" r:id="rId1"/>
  <headerFooter>
    <oddFooter>&amp;C&amp;D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9974" r:id="rId4" name="Button 38">
              <controlPr defaultSize="0" print="0" autoFill="0" autoPict="0" macro="[0]!PrintProjectSummary">
                <anchor moveWithCells="1" sizeWithCells="1">
                  <from>
                    <xdr:col>5</xdr:col>
                    <xdr:colOff>295275</xdr:colOff>
                    <xdr:row>0</xdr:row>
                    <xdr:rowOff>142875</xdr:rowOff>
                  </from>
                  <to>
                    <xdr:col>5</xdr:col>
                    <xdr:colOff>1990725</xdr:colOff>
                    <xdr:row>3</xdr:row>
                    <xdr:rowOff>152400</xdr:rowOff>
                  </to>
                </anchor>
              </controlPr>
            </control>
          </mc:Choice>
        </mc:AlternateContent>
        <mc:AlternateContent xmlns:mc="http://schemas.openxmlformats.org/markup-compatibility/2006">
          <mc:Choice Requires="x14">
            <control shapeId="39975" r:id="rId5" name="Button 39">
              <controlPr defaultSize="0" print="0" autoFill="0" autoPict="0" macro="[0]!PrintDetail">
                <anchor moveWithCells="1" sizeWithCells="1">
                  <from>
                    <xdr:col>5</xdr:col>
                    <xdr:colOff>314325</xdr:colOff>
                    <xdr:row>5</xdr:row>
                    <xdr:rowOff>19050</xdr:rowOff>
                  </from>
                  <to>
                    <xdr:col>5</xdr:col>
                    <xdr:colOff>2019300</xdr:colOff>
                    <xdr:row>9</xdr:row>
                    <xdr:rowOff>85725</xdr:rowOff>
                  </to>
                </anchor>
              </controlPr>
            </control>
          </mc:Choice>
        </mc:AlternateContent>
        <mc:AlternateContent xmlns:mc="http://schemas.openxmlformats.org/markup-compatibility/2006">
          <mc:Choice Requires="x14">
            <control shapeId="39976" r:id="rId6" name="Button 40">
              <controlPr defaultSize="0" print="0" autoFill="0" autoPict="0" macro="[0]!ExportAll">
                <anchor moveWithCells="1" sizeWithCells="1">
                  <from>
                    <xdr:col>5</xdr:col>
                    <xdr:colOff>323850</xdr:colOff>
                    <xdr:row>10</xdr:row>
                    <xdr:rowOff>152400</xdr:rowOff>
                  </from>
                  <to>
                    <xdr:col>5</xdr:col>
                    <xdr:colOff>2028825</xdr:colOff>
                    <xdr:row>15</xdr:row>
                    <xdr:rowOff>9525</xdr:rowOff>
                  </to>
                </anchor>
              </controlPr>
            </control>
          </mc:Choice>
        </mc:AlternateContent>
        <mc:AlternateContent xmlns:mc="http://schemas.openxmlformats.org/markup-compatibility/2006">
          <mc:Choice Requires="x14">
            <control shapeId="39977" r:id="rId7" name="Button 41">
              <controlPr defaultSize="0" print="0" autoFill="0" autoPict="0" macro="[0]!StartAnalysis">
                <anchor moveWithCells="1" sizeWithCells="1">
                  <from>
                    <xdr:col>5</xdr:col>
                    <xdr:colOff>333375</xdr:colOff>
                    <xdr:row>16</xdr:row>
                    <xdr:rowOff>95250</xdr:rowOff>
                  </from>
                  <to>
                    <xdr:col>5</xdr:col>
                    <xdr:colOff>2019300</xdr:colOff>
                    <xdr:row>19</xdr:row>
                    <xdr:rowOff>66675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B050"/>
  </sheetPr>
  <dimension ref="A1:S733"/>
  <sheetViews>
    <sheetView workbookViewId="0">
      <selection activeCell="B3" sqref="B3"/>
    </sheetView>
  </sheetViews>
  <sheetFormatPr defaultRowHeight="15" x14ac:dyDescent="0.25"/>
  <cols>
    <col min="1" max="1" width="28.28515625" customWidth="1"/>
    <col min="2" max="2" width="24.85546875" customWidth="1"/>
    <col min="3" max="3" width="13.7109375" customWidth="1"/>
    <col min="4" max="4" width="11.42578125" customWidth="1"/>
  </cols>
  <sheetData>
    <row r="1" spans="1:19" ht="15.75" x14ac:dyDescent="0.25">
      <c r="A1" s="228" t="s">
        <v>535</v>
      </c>
      <c r="B1" s="229"/>
      <c r="C1" s="229"/>
      <c r="D1" s="229"/>
      <c r="E1" s="228"/>
      <c r="F1" s="229"/>
      <c r="G1" s="229"/>
      <c r="H1" s="229"/>
      <c r="I1" s="229"/>
      <c r="J1" s="229"/>
      <c r="K1" s="229"/>
      <c r="L1" s="229"/>
      <c r="M1" s="229"/>
      <c r="N1" s="229"/>
      <c r="O1" s="229"/>
      <c r="P1" s="229"/>
      <c r="Q1" s="229"/>
      <c r="R1" s="229"/>
      <c r="S1" s="229"/>
    </row>
    <row r="2" spans="1:19" ht="15.75" x14ac:dyDescent="0.25">
      <c r="A2" s="228"/>
      <c r="B2" s="229"/>
      <c r="C2" s="229"/>
      <c r="D2" s="229"/>
      <c r="E2" s="228"/>
      <c r="F2" s="229"/>
      <c r="G2" s="229"/>
      <c r="H2" s="229"/>
      <c r="I2" s="229"/>
      <c r="J2" s="229"/>
      <c r="K2" s="229"/>
      <c r="L2" s="229"/>
      <c r="M2" s="229"/>
      <c r="N2" s="229"/>
      <c r="O2" s="229"/>
      <c r="P2" s="229"/>
      <c r="Q2" s="229"/>
      <c r="R2" s="229"/>
      <c r="S2" s="229"/>
    </row>
    <row r="3" spans="1:19" ht="15.75" x14ac:dyDescent="0.25">
      <c r="A3" s="230" t="s">
        <v>680</v>
      </c>
      <c r="B3" s="231"/>
      <c r="C3" s="232" t="s">
        <v>536</v>
      </c>
      <c r="D3" s="233"/>
      <c r="E3" s="1030" t="str">
        <f>IF(B3="","",IF(D3="","Enter Year of Data",IF(D3&gt;2006,IF(D3&lt;2016,"","ERROR - Deflators Data Not Current"),"ERROR - Deflators Data Not Current")))</f>
        <v/>
      </c>
      <c r="F3" s="228"/>
      <c r="G3" s="228"/>
      <c r="H3" s="229"/>
      <c r="I3" s="229"/>
      <c r="J3" s="229"/>
      <c r="K3" s="229"/>
      <c r="L3" s="229"/>
      <c r="M3" s="229"/>
      <c r="N3" s="229"/>
      <c r="O3" s="229"/>
      <c r="P3" s="229"/>
      <c r="Q3" s="229"/>
      <c r="R3" s="229"/>
      <c r="S3" s="229"/>
    </row>
    <row r="4" spans="1:19" ht="15.75" x14ac:dyDescent="0.25">
      <c r="A4" s="230" t="s">
        <v>681</v>
      </c>
      <c r="B4" s="231"/>
      <c r="C4" s="232" t="s">
        <v>536</v>
      </c>
      <c r="D4" s="235"/>
      <c r="E4" s="1030" t="str">
        <f>IF(B4="","",IF(D4="","Enter Year of Data",IF(D4&gt;2006,IF(D4&lt;2016,"","ERROR - Deflators Data Not Current"),"ERROR - Deflators Data Not Current")))</f>
        <v/>
      </c>
      <c r="F4" s="228"/>
      <c r="G4" s="228"/>
      <c r="H4" s="229"/>
      <c r="I4" s="229"/>
      <c r="J4" s="229"/>
      <c r="K4" s="229"/>
      <c r="L4" s="229"/>
      <c r="M4" s="229"/>
      <c r="N4" s="229"/>
      <c r="O4" s="229"/>
      <c r="P4" s="229"/>
      <c r="Q4" s="229"/>
      <c r="R4" s="229"/>
      <c r="S4" s="229"/>
    </row>
    <row r="5" spans="1:19" ht="15.75" x14ac:dyDescent="0.25">
      <c r="A5" s="236"/>
      <c r="B5" s="236"/>
      <c r="C5" s="236"/>
      <c r="D5" s="237"/>
      <c r="E5" s="234"/>
      <c r="F5" s="228"/>
      <c r="G5" s="228"/>
      <c r="H5" s="229"/>
      <c r="I5" s="229"/>
      <c r="J5" s="229"/>
      <c r="K5" s="229"/>
      <c r="L5" s="229"/>
      <c r="M5" s="229"/>
      <c r="N5" s="229"/>
      <c r="O5" s="229"/>
      <c r="P5" s="229"/>
      <c r="Q5" s="229"/>
      <c r="R5" s="229"/>
      <c r="S5" s="229"/>
    </row>
    <row r="6" spans="1:19" ht="15.75" x14ac:dyDescent="0.25">
      <c r="A6" s="236"/>
      <c r="B6" s="236"/>
      <c r="C6" s="236"/>
      <c r="D6" s="237"/>
      <c r="E6" s="234"/>
      <c r="F6" s="228"/>
      <c r="G6" s="228"/>
      <c r="H6" s="229"/>
      <c r="I6" s="229"/>
      <c r="J6" s="229"/>
      <c r="K6" s="229"/>
      <c r="L6" s="229"/>
      <c r="M6" s="229"/>
      <c r="N6" s="229"/>
      <c r="O6" s="229"/>
      <c r="P6" s="229"/>
      <c r="Q6" s="229"/>
      <c r="R6" s="229"/>
      <c r="S6" s="229"/>
    </row>
    <row r="7" spans="1:19" x14ac:dyDescent="0.25">
      <c r="A7" s="229"/>
      <c r="B7" s="229"/>
      <c r="C7" s="229"/>
      <c r="D7" s="229"/>
      <c r="E7" s="229"/>
      <c r="F7" s="229"/>
      <c r="G7" s="229"/>
      <c r="H7" s="229"/>
      <c r="I7" s="229"/>
      <c r="J7" s="229"/>
      <c r="K7" s="229"/>
      <c r="L7" s="229"/>
      <c r="M7" s="229"/>
      <c r="N7" s="229"/>
      <c r="O7" s="229"/>
      <c r="P7" s="229"/>
      <c r="Q7" s="229"/>
      <c r="R7" s="229"/>
      <c r="S7" s="229"/>
    </row>
    <row r="8" spans="1:19" x14ac:dyDescent="0.25">
      <c r="A8" s="230" t="s">
        <v>537</v>
      </c>
      <c r="B8" s="229"/>
      <c r="C8" s="688"/>
      <c r="D8" s="238" t="s">
        <v>705</v>
      </c>
      <c r="E8" s="229"/>
      <c r="F8" s="229"/>
      <c r="G8" s="229"/>
      <c r="H8" s="229"/>
      <c r="I8" s="229"/>
      <c r="J8" s="229"/>
      <c r="K8" s="229"/>
      <c r="L8" s="229"/>
      <c r="M8" s="229"/>
      <c r="N8" s="229"/>
      <c r="O8" s="229"/>
      <c r="P8" s="229"/>
      <c r="Q8" s="229"/>
      <c r="R8" s="229"/>
      <c r="S8" s="229"/>
    </row>
    <row r="9" spans="1:19" x14ac:dyDescent="0.25">
      <c r="A9" s="239" t="s">
        <v>538</v>
      </c>
      <c r="B9" s="236" t="s">
        <v>565</v>
      </c>
      <c r="C9" s="236" t="s">
        <v>566</v>
      </c>
      <c r="D9" s="240"/>
      <c r="E9" s="236" t="s">
        <v>565</v>
      </c>
      <c r="F9" s="236" t="s">
        <v>566</v>
      </c>
      <c r="G9" s="229"/>
      <c r="H9" s="229"/>
      <c r="I9" s="229"/>
      <c r="J9" s="229"/>
      <c r="K9" s="229"/>
      <c r="L9" s="229"/>
      <c r="M9" s="229"/>
      <c r="N9" s="229"/>
      <c r="O9" s="229"/>
      <c r="P9" s="229"/>
      <c r="Q9" s="229"/>
      <c r="R9" s="229"/>
      <c r="S9" s="229"/>
    </row>
    <row r="10" spans="1:19" x14ac:dyDescent="0.25">
      <c r="A10" s="241" t="s">
        <v>592</v>
      </c>
      <c r="B10" s="242">
        <v>0</v>
      </c>
      <c r="C10" s="242">
        <v>0</v>
      </c>
      <c r="D10" s="229"/>
      <c r="E10" s="242">
        <v>0</v>
      </c>
      <c r="F10" s="242">
        <v>0</v>
      </c>
      <c r="G10" s="229"/>
      <c r="H10" s="229"/>
      <c r="I10" s="229"/>
      <c r="J10" s="229"/>
      <c r="K10" s="229"/>
      <c r="L10" s="229"/>
      <c r="M10" s="229"/>
      <c r="N10" s="229"/>
      <c r="O10" s="229"/>
      <c r="P10" s="229"/>
      <c r="Q10" s="229"/>
      <c r="R10" s="229"/>
      <c r="S10" s="229"/>
    </row>
    <row r="11" spans="1:19" x14ac:dyDescent="0.25">
      <c r="A11" s="241" t="s">
        <v>593</v>
      </c>
      <c r="B11" s="242">
        <v>0</v>
      </c>
      <c r="C11" s="242">
        <v>0</v>
      </c>
      <c r="D11" s="229"/>
      <c r="E11" s="242">
        <v>0</v>
      </c>
      <c r="F11" s="242">
        <v>0</v>
      </c>
      <c r="G11" s="229"/>
      <c r="H11" s="229"/>
      <c r="I11" s="229"/>
      <c r="J11" s="229"/>
      <c r="K11" s="229"/>
      <c r="L11" s="229"/>
      <c r="M11" s="229"/>
      <c r="N11" s="229"/>
      <c r="O11" s="229"/>
      <c r="P11" s="229"/>
      <c r="Q11" s="229"/>
      <c r="R11" s="229"/>
      <c r="S11" s="229"/>
    </row>
    <row r="12" spans="1:19" x14ac:dyDescent="0.25">
      <c r="A12" s="241" t="s">
        <v>595</v>
      </c>
      <c r="B12" s="242">
        <v>0</v>
      </c>
      <c r="C12" s="242">
        <v>0</v>
      </c>
      <c r="D12" s="229"/>
      <c r="E12" s="242">
        <v>0</v>
      </c>
      <c r="F12" s="242">
        <v>0</v>
      </c>
      <c r="G12" s="229"/>
      <c r="H12" s="229"/>
      <c r="I12" s="229"/>
      <c r="J12" s="229"/>
      <c r="K12" s="229"/>
      <c r="L12" s="229"/>
      <c r="M12" s="229"/>
      <c r="N12" s="229"/>
      <c r="O12" s="229"/>
      <c r="P12" s="229"/>
      <c r="Q12" s="229"/>
      <c r="R12" s="229"/>
      <c r="S12" s="229"/>
    </row>
    <row r="13" spans="1:19" x14ac:dyDescent="0.25">
      <c r="A13" s="241" t="s">
        <v>596</v>
      </c>
      <c r="B13" s="242">
        <v>0</v>
      </c>
      <c r="C13" s="242">
        <v>0</v>
      </c>
      <c r="D13" s="229"/>
      <c r="E13" s="242">
        <v>0</v>
      </c>
      <c r="F13" s="242">
        <v>0</v>
      </c>
      <c r="G13" s="229"/>
      <c r="H13" s="229"/>
      <c r="I13" s="229"/>
      <c r="J13" s="229"/>
      <c r="K13" s="229"/>
      <c r="L13" s="229"/>
      <c r="M13" s="229"/>
      <c r="N13" s="229"/>
      <c r="O13" s="229"/>
      <c r="P13" s="229"/>
      <c r="Q13" s="229"/>
      <c r="R13" s="229"/>
      <c r="S13" s="229"/>
    </row>
    <row r="14" spans="1:19" x14ac:dyDescent="0.25">
      <c r="A14" s="241" t="s">
        <v>598</v>
      </c>
      <c r="B14" s="242">
        <v>0</v>
      </c>
      <c r="C14" s="242">
        <v>0</v>
      </c>
      <c r="D14" s="229"/>
      <c r="E14" s="242">
        <v>0</v>
      </c>
      <c r="F14" s="242">
        <v>0</v>
      </c>
      <c r="G14" s="229"/>
      <c r="H14" s="229"/>
      <c r="I14" s="229"/>
      <c r="J14" s="229"/>
      <c r="K14" s="229"/>
      <c r="L14" s="229"/>
      <c r="M14" s="229"/>
      <c r="N14" s="229"/>
      <c r="O14" s="229"/>
      <c r="P14" s="229"/>
      <c r="Q14" s="229"/>
      <c r="R14" s="229"/>
      <c r="S14" s="229"/>
    </row>
    <row r="15" spans="1:19" x14ac:dyDescent="0.25">
      <c r="A15" s="241" t="s">
        <v>599</v>
      </c>
      <c r="B15" s="242">
        <v>0</v>
      </c>
      <c r="C15" s="242">
        <v>0</v>
      </c>
      <c r="D15" s="229"/>
      <c r="E15" s="242">
        <v>0</v>
      </c>
      <c r="F15" s="242">
        <v>0</v>
      </c>
      <c r="G15" s="229"/>
      <c r="H15" s="229"/>
      <c r="I15" s="229"/>
      <c r="J15" s="229"/>
      <c r="K15" s="229"/>
      <c r="L15" s="229"/>
      <c r="M15" s="229"/>
      <c r="N15" s="229"/>
      <c r="O15" s="229"/>
      <c r="P15" s="229"/>
      <c r="Q15" s="229"/>
      <c r="R15" s="229"/>
      <c r="S15" s="229"/>
    </row>
    <row r="16" spans="1:19" x14ac:dyDescent="0.25">
      <c r="A16" s="241" t="s">
        <v>601</v>
      </c>
      <c r="B16" s="242">
        <v>0</v>
      </c>
      <c r="C16" s="242">
        <v>0</v>
      </c>
      <c r="D16" s="229"/>
      <c r="E16" s="242">
        <v>0</v>
      </c>
      <c r="F16" s="242">
        <v>0</v>
      </c>
      <c r="G16" s="229"/>
      <c r="H16" s="229"/>
      <c r="I16" s="229"/>
      <c r="J16" s="229"/>
      <c r="K16" s="229"/>
      <c r="L16" s="229"/>
      <c r="M16" s="229"/>
      <c r="N16" s="229"/>
      <c r="O16" s="229"/>
      <c r="P16" s="229"/>
      <c r="Q16" s="229"/>
      <c r="R16" s="229"/>
      <c r="S16" s="229"/>
    </row>
    <row r="17" spans="1:19" x14ac:dyDescent="0.25">
      <c r="A17" s="241" t="s">
        <v>602</v>
      </c>
      <c r="B17" s="242">
        <v>0</v>
      </c>
      <c r="C17" s="242">
        <v>0</v>
      </c>
      <c r="D17" s="229"/>
      <c r="E17" s="242">
        <v>0</v>
      </c>
      <c r="F17" s="242">
        <v>0</v>
      </c>
      <c r="G17" s="229"/>
      <c r="H17" s="229"/>
      <c r="I17" s="229"/>
      <c r="J17" s="229"/>
      <c r="K17" s="229"/>
      <c r="L17" s="229"/>
      <c r="M17" s="229"/>
      <c r="N17" s="229"/>
      <c r="O17" s="229"/>
      <c r="P17" s="229"/>
      <c r="Q17" s="229"/>
      <c r="R17" s="229"/>
      <c r="S17" s="229"/>
    </row>
    <row r="18" spans="1:19" x14ac:dyDescent="0.25">
      <c r="A18" s="241" t="s">
        <v>603</v>
      </c>
      <c r="B18" s="242">
        <v>0</v>
      </c>
      <c r="C18" s="242">
        <v>0</v>
      </c>
      <c r="D18" s="229"/>
      <c r="E18" s="242">
        <v>0</v>
      </c>
      <c r="F18" s="242">
        <v>0</v>
      </c>
      <c r="G18" s="229"/>
      <c r="H18" s="229"/>
      <c r="I18" s="229"/>
      <c r="J18" s="229"/>
      <c r="K18" s="229"/>
      <c r="L18" s="229"/>
      <c r="M18" s="229"/>
      <c r="N18" s="229"/>
      <c r="O18" s="229"/>
      <c r="P18" s="229"/>
      <c r="Q18" s="229"/>
      <c r="R18" s="229"/>
      <c r="S18" s="229"/>
    </row>
    <row r="19" spans="1:19" x14ac:dyDescent="0.25">
      <c r="A19" s="241" t="s">
        <v>604</v>
      </c>
      <c r="B19" s="242">
        <v>0</v>
      </c>
      <c r="C19" s="242">
        <v>0</v>
      </c>
      <c r="D19" s="229"/>
      <c r="E19" s="242">
        <v>0</v>
      </c>
      <c r="F19" s="242">
        <v>0</v>
      </c>
      <c r="G19" s="229"/>
      <c r="H19" s="229"/>
      <c r="I19" s="229"/>
      <c r="J19" s="229"/>
      <c r="K19" s="229"/>
      <c r="L19" s="229"/>
      <c r="M19" s="229"/>
      <c r="N19" s="229"/>
      <c r="O19" s="229"/>
      <c r="P19" s="229"/>
      <c r="Q19" s="229"/>
      <c r="R19" s="229"/>
      <c r="S19" s="229"/>
    </row>
    <row r="20" spans="1:19" x14ac:dyDescent="0.25">
      <c r="A20" s="241" t="s">
        <v>605</v>
      </c>
      <c r="B20" s="242">
        <v>0</v>
      </c>
      <c r="C20" s="242">
        <v>0</v>
      </c>
      <c r="D20" s="229"/>
      <c r="E20" s="242">
        <v>0</v>
      </c>
      <c r="F20" s="242">
        <v>0</v>
      </c>
      <c r="G20" s="229"/>
      <c r="H20" s="229"/>
      <c r="I20" s="229"/>
      <c r="J20" s="229"/>
      <c r="K20" s="229"/>
      <c r="L20" s="229"/>
      <c r="M20" s="229"/>
      <c r="N20" s="229"/>
      <c r="O20" s="229"/>
      <c r="P20" s="229"/>
      <c r="Q20" s="229"/>
      <c r="R20" s="229"/>
      <c r="S20" s="229"/>
    </row>
    <row r="21" spans="1:19" x14ac:dyDescent="0.25">
      <c r="A21" s="241" t="s">
        <v>606</v>
      </c>
      <c r="B21" s="242">
        <v>0</v>
      </c>
      <c r="C21" s="242">
        <v>0</v>
      </c>
      <c r="D21" s="229"/>
      <c r="E21" s="242">
        <v>0</v>
      </c>
      <c r="F21" s="242">
        <v>0</v>
      </c>
      <c r="G21" s="229"/>
      <c r="H21" s="229"/>
      <c r="I21" s="229"/>
      <c r="J21" s="229"/>
      <c r="K21" s="229"/>
      <c r="L21" s="229"/>
      <c r="M21" s="229"/>
      <c r="N21" s="229"/>
      <c r="O21" s="229"/>
      <c r="P21" s="229"/>
      <c r="Q21" s="229"/>
      <c r="R21" s="229"/>
      <c r="S21" s="229"/>
    </row>
    <row r="22" spans="1:19" x14ac:dyDescent="0.25">
      <c r="A22" s="241" t="s">
        <v>607</v>
      </c>
      <c r="B22" s="242">
        <v>0</v>
      </c>
      <c r="C22" s="242">
        <v>0</v>
      </c>
      <c r="D22" s="229"/>
      <c r="E22" s="242">
        <v>0</v>
      </c>
      <c r="F22" s="242">
        <v>0</v>
      </c>
      <c r="G22" s="229"/>
      <c r="H22" s="229"/>
      <c r="I22" s="229"/>
      <c r="J22" s="229"/>
      <c r="K22" s="229"/>
      <c r="L22" s="229"/>
      <c r="M22" s="229"/>
      <c r="N22" s="229"/>
      <c r="O22" s="229"/>
      <c r="P22" s="229"/>
      <c r="Q22" s="229"/>
      <c r="R22" s="229"/>
      <c r="S22" s="229"/>
    </row>
    <row r="23" spans="1:19" x14ac:dyDescent="0.25">
      <c r="A23" s="241" t="s">
        <v>609</v>
      </c>
      <c r="B23" s="242">
        <v>0</v>
      </c>
      <c r="C23" s="242">
        <v>0</v>
      </c>
      <c r="D23" s="229"/>
      <c r="E23" s="242">
        <v>0</v>
      </c>
      <c r="F23" s="242">
        <v>0</v>
      </c>
      <c r="G23" s="229"/>
      <c r="H23" s="229"/>
      <c r="I23" s="229"/>
      <c r="J23" s="229"/>
      <c r="K23" s="229"/>
      <c r="L23" s="229"/>
      <c r="M23" s="229"/>
      <c r="N23" s="229"/>
      <c r="O23" s="229"/>
      <c r="P23" s="229"/>
      <c r="Q23" s="229"/>
      <c r="R23" s="229"/>
      <c r="S23" s="229"/>
    </row>
    <row r="24" spans="1:19" x14ac:dyDescent="0.25">
      <c r="A24" s="241"/>
      <c r="B24" s="243"/>
      <c r="C24" s="243"/>
      <c r="D24" s="244" t="s">
        <v>624</v>
      </c>
      <c r="E24" s="245">
        <v>0</v>
      </c>
      <c r="F24" s="245">
        <v>0</v>
      </c>
      <c r="G24" s="229"/>
      <c r="H24" s="229"/>
      <c r="I24" s="229"/>
      <c r="J24" s="229"/>
      <c r="K24" s="229"/>
      <c r="L24" s="229"/>
      <c r="M24" s="229"/>
      <c r="N24" s="229"/>
      <c r="O24" s="229"/>
      <c r="P24" s="229"/>
      <c r="Q24" s="229"/>
      <c r="R24" s="229"/>
      <c r="S24" s="229"/>
    </row>
    <row r="25" spans="1:19" x14ac:dyDescent="0.25">
      <c r="A25" s="230" t="s">
        <v>537</v>
      </c>
      <c r="B25" s="243"/>
      <c r="C25" s="243"/>
      <c r="D25" s="229"/>
      <c r="E25" s="229"/>
      <c r="F25" s="229"/>
      <c r="G25" s="229"/>
      <c r="H25" s="229"/>
      <c r="I25" s="229"/>
      <c r="J25" s="229"/>
      <c r="K25" s="229"/>
      <c r="L25" s="229"/>
      <c r="M25" s="229"/>
      <c r="N25" s="229"/>
      <c r="O25" s="229"/>
      <c r="P25" s="229"/>
      <c r="Q25" s="229"/>
      <c r="R25" s="229"/>
      <c r="S25" s="229"/>
    </row>
    <row r="26" spans="1:19" x14ac:dyDescent="0.25">
      <c r="A26" s="239" t="s">
        <v>610</v>
      </c>
      <c r="B26" s="236" t="s">
        <v>565</v>
      </c>
      <c r="C26" s="236" t="s">
        <v>566</v>
      </c>
      <c r="D26" s="229"/>
      <c r="E26" s="229"/>
      <c r="F26" s="229"/>
      <c r="G26" s="229"/>
      <c r="H26" s="229"/>
      <c r="I26" s="229"/>
      <c r="J26" s="229"/>
      <c r="K26" s="229"/>
      <c r="L26" s="229"/>
      <c r="M26" s="229"/>
      <c r="N26" s="229"/>
      <c r="O26" s="229"/>
      <c r="P26" s="229"/>
      <c r="Q26" s="229"/>
      <c r="R26" s="229"/>
      <c r="S26" s="229"/>
    </row>
    <row r="27" spans="1:19" x14ac:dyDescent="0.25">
      <c r="A27" s="241" t="s">
        <v>592</v>
      </c>
      <c r="B27" s="242">
        <v>0</v>
      </c>
      <c r="C27" s="242">
        <v>0</v>
      </c>
      <c r="D27" s="229"/>
      <c r="E27" s="229"/>
      <c r="F27" s="229"/>
      <c r="G27" s="229"/>
      <c r="H27" s="229"/>
      <c r="I27" s="229"/>
      <c r="J27" s="229"/>
      <c r="K27" s="229"/>
      <c r="L27" s="229"/>
      <c r="M27" s="229"/>
      <c r="N27" s="229"/>
      <c r="O27" s="229"/>
      <c r="P27" s="229"/>
      <c r="Q27" s="229"/>
      <c r="R27" s="229"/>
      <c r="S27" s="229"/>
    </row>
    <row r="28" spans="1:19" x14ac:dyDescent="0.25">
      <c r="A28" s="241" t="s">
        <v>593</v>
      </c>
      <c r="B28" s="242">
        <v>0</v>
      </c>
      <c r="C28" s="242">
        <v>0</v>
      </c>
      <c r="D28" s="229"/>
      <c r="E28" s="229"/>
      <c r="F28" s="229"/>
      <c r="G28" s="229"/>
      <c r="H28" s="229"/>
      <c r="I28" s="229"/>
      <c r="J28" s="229"/>
      <c r="K28" s="229"/>
      <c r="L28" s="229"/>
      <c r="M28" s="229"/>
      <c r="N28" s="229"/>
      <c r="O28" s="229"/>
      <c r="P28" s="229"/>
      <c r="Q28" s="229"/>
      <c r="R28" s="229"/>
      <c r="S28" s="229"/>
    </row>
    <row r="29" spans="1:19" x14ac:dyDescent="0.25">
      <c r="A29" s="241" t="s">
        <v>595</v>
      </c>
      <c r="B29" s="242">
        <v>0</v>
      </c>
      <c r="C29" s="242">
        <v>0</v>
      </c>
      <c r="D29" s="229"/>
      <c r="E29" s="229"/>
      <c r="F29" s="229"/>
      <c r="G29" s="229"/>
      <c r="H29" s="229"/>
      <c r="I29" s="229"/>
      <c r="J29" s="229"/>
      <c r="K29" s="229"/>
      <c r="L29" s="229"/>
      <c r="M29" s="229"/>
      <c r="N29" s="229"/>
      <c r="O29" s="229"/>
      <c r="P29" s="229"/>
      <c r="Q29" s="229"/>
      <c r="R29" s="229"/>
      <c r="S29" s="229"/>
    </row>
    <row r="30" spans="1:19" x14ac:dyDescent="0.25">
      <c r="A30" s="241" t="s">
        <v>596</v>
      </c>
      <c r="B30" s="242">
        <v>0</v>
      </c>
      <c r="C30" s="242">
        <v>0</v>
      </c>
      <c r="D30" s="229"/>
      <c r="E30" s="229"/>
      <c r="F30" s="229"/>
      <c r="G30" s="229"/>
      <c r="H30" s="229"/>
      <c r="I30" s="229"/>
      <c r="J30" s="229"/>
      <c r="K30" s="229"/>
      <c r="L30" s="229"/>
      <c r="M30" s="229"/>
      <c r="N30" s="229"/>
      <c r="O30" s="229"/>
      <c r="P30" s="229"/>
      <c r="Q30" s="229"/>
      <c r="R30" s="229"/>
      <c r="S30" s="229"/>
    </row>
    <row r="31" spans="1:19" x14ac:dyDescent="0.25">
      <c r="A31" s="241" t="s">
        <v>598</v>
      </c>
      <c r="B31" s="242">
        <v>0</v>
      </c>
      <c r="C31" s="242">
        <v>0</v>
      </c>
      <c r="D31" s="229"/>
      <c r="E31" s="229"/>
      <c r="F31" s="229"/>
      <c r="G31" s="229"/>
      <c r="H31" s="229"/>
      <c r="I31" s="229"/>
      <c r="J31" s="229"/>
      <c r="K31" s="229"/>
      <c r="L31" s="229"/>
      <c r="M31" s="229"/>
      <c r="N31" s="229"/>
      <c r="O31" s="229"/>
      <c r="P31" s="229"/>
      <c r="Q31" s="229"/>
      <c r="R31" s="229"/>
      <c r="S31" s="229"/>
    </row>
    <row r="32" spans="1:19" x14ac:dyDescent="0.25">
      <c r="A32" s="241" t="s">
        <v>599</v>
      </c>
      <c r="B32" s="242">
        <v>0</v>
      </c>
      <c r="C32" s="242">
        <v>0</v>
      </c>
      <c r="D32" s="229"/>
      <c r="E32" s="229"/>
      <c r="F32" s="229"/>
      <c r="G32" s="229"/>
      <c r="H32" s="229"/>
      <c r="I32" s="229"/>
      <c r="J32" s="229"/>
      <c r="K32" s="229"/>
      <c r="L32" s="229"/>
      <c r="M32" s="229"/>
      <c r="N32" s="229"/>
      <c r="O32" s="229"/>
      <c r="P32" s="229"/>
      <c r="Q32" s="229"/>
      <c r="R32" s="229"/>
      <c r="S32" s="229"/>
    </row>
    <row r="33" spans="1:19" x14ac:dyDescent="0.25">
      <c r="A33" s="241" t="s">
        <v>601</v>
      </c>
      <c r="B33" s="242">
        <v>0</v>
      </c>
      <c r="C33" s="242">
        <v>0</v>
      </c>
      <c r="D33" s="229"/>
      <c r="E33" s="229"/>
      <c r="F33" s="229"/>
      <c r="G33" s="229"/>
      <c r="H33" s="229"/>
      <c r="I33" s="229"/>
      <c r="J33" s="229"/>
      <c r="K33" s="229"/>
      <c r="L33" s="229"/>
      <c r="M33" s="229"/>
      <c r="N33" s="229"/>
      <c r="O33" s="229"/>
      <c r="P33" s="229"/>
      <c r="Q33" s="229"/>
      <c r="R33" s="229"/>
      <c r="S33" s="229"/>
    </row>
    <row r="34" spans="1:19" x14ac:dyDescent="0.25">
      <c r="A34" s="241" t="s">
        <v>602</v>
      </c>
      <c r="B34" s="242">
        <v>0</v>
      </c>
      <c r="C34" s="242">
        <v>0</v>
      </c>
      <c r="D34" s="229"/>
      <c r="E34" s="229"/>
      <c r="F34" s="229"/>
      <c r="G34" s="229"/>
      <c r="H34" s="229"/>
      <c r="I34" s="229"/>
      <c r="J34" s="229"/>
      <c r="K34" s="229"/>
      <c r="L34" s="229"/>
      <c r="M34" s="229"/>
      <c r="N34" s="229"/>
      <c r="O34" s="229"/>
      <c r="P34" s="229"/>
      <c r="Q34" s="229"/>
      <c r="R34" s="229"/>
      <c r="S34" s="229"/>
    </row>
    <row r="35" spans="1:19" x14ac:dyDescent="0.25">
      <c r="A35" s="241" t="s">
        <v>603</v>
      </c>
      <c r="B35" s="242">
        <v>0</v>
      </c>
      <c r="C35" s="242">
        <v>0</v>
      </c>
      <c r="D35" s="229"/>
      <c r="E35" s="229"/>
      <c r="F35" s="229"/>
      <c r="G35" s="229"/>
      <c r="H35" s="229"/>
      <c r="I35" s="229"/>
      <c r="J35" s="229"/>
      <c r="K35" s="229"/>
      <c r="L35" s="229"/>
      <c r="M35" s="229"/>
      <c r="N35" s="229"/>
      <c r="O35" s="229"/>
      <c r="P35" s="229"/>
      <c r="Q35" s="229"/>
      <c r="R35" s="229"/>
      <c r="S35" s="229"/>
    </row>
    <row r="36" spans="1:19" x14ac:dyDescent="0.25">
      <c r="A36" s="241" t="s">
        <v>604</v>
      </c>
      <c r="B36" s="242">
        <v>0</v>
      </c>
      <c r="C36" s="242">
        <v>0</v>
      </c>
      <c r="D36" s="229"/>
      <c r="E36" s="229"/>
      <c r="F36" s="229"/>
      <c r="G36" s="229"/>
      <c r="H36" s="229"/>
      <c r="I36" s="229"/>
      <c r="J36" s="229"/>
      <c r="K36" s="229"/>
      <c r="L36" s="229"/>
      <c r="M36" s="229"/>
      <c r="N36" s="229"/>
      <c r="O36" s="229"/>
      <c r="P36" s="229"/>
      <c r="Q36" s="229"/>
      <c r="R36" s="229"/>
      <c r="S36" s="229"/>
    </row>
    <row r="37" spans="1:19" x14ac:dyDescent="0.25">
      <c r="A37" s="241" t="s">
        <v>605</v>
      </c>
      <c r="B37" s="242">
        <v>0</v>
      </c>
      <c r="C37" s="242">
        <v>0</v>
      </c>
      <c r="D37" s="229"/>
      <c r="E37" s="229"/>
      <c r="F37" s="229"/>
      <c r="G37" s="229"/>
      <c r="H37" s="229"/>
      <c r="I37" s="229"/>
      <c r="J37" s="229"/>
      <c r="K37" s="229"/>
      <c r="L37" s="229"/>
      <c r="M37" s="229"/>
      <c r="N37" s="229"/>
      <c r="O37" s="229"/>
      <c r="P37" s="229"/>
      <c r="Q37" s="229"/>
      <c r="R37" s="229"/>
      <c r="S37" s="229"/>
    </row>
    <row r="38" spans="1:19" x14ac:dyDescent="0.25">
      <c r="A38" s="241" t="s">
        <v>606</v>
      </c>
      <c r="B38" s="242">
        <v>0</v>
      </c>
      <c r="C38" s="242">
        <v>0</v>
      </c>
      <c r="D38" s="229"/>
      <c r="E38" s="229"/>
      <c r="F38" s="229"/>
      <c r="G38" s="229"/>
      <c r="H38" s="229"/>
      <c r="I38" s="229"/>
      <c r="J38" s="229"/>
      <c r="K38" s="229"/>
      <c r="L38" s="229"/>
      <c r="M38" s="229"/>
      <c r="N38" s="229"/>
      <c r="O38" s="229"/>
      <c r="P38" s="229"/>
      <c r="Q38" s="229"/>
      <c r="R38" s="229"/>
      <c r="S38" s="229"/>
    </row>
    <row r="39" spans="1:19" x14ac:dyDescent="0.25">
      <c r="A39" s="241" t="s">
        <v>607</v>
      </c>
      <c r="B39" s="242">
        <v>0</v>
      </c>
      <c r="C39" s="242">
        <v>0</v>
      </c>
      <c r="D39" s="229"/>
      <c r="E39" s="229"/>
      <c r="F39" s="229"/>
      <c r="G39" s="229"/>
      <c r="H39" s="229"/>
      <c r="I39" s="229"/>
      <c r="J39" s="229"/>
      <c r="K39" s="229"/>
      <c r="L39" s="229"/>
      <c r="M39" s="229"/>
      <c r="N39" s="229"/>
      <c r="O39" s="229"/>
      <c r="P39" s="229"/>
      <c r="Q39" s="229"/>
      <c r="R39" s="229"/>
      <c r="S39" s="229"/>
    </row>
    <row r="40" spans="1:19" x14ac:dyDescent="0.25">
      <c r="A40" s="241" t="s">
        <v>609</v>
      </c>
      <c r="B40" s="242">
        <v>0</v>
      </c>
      <c r="C40" s="242">
        <v>0</v>
      </c>
      <c r="D40" s="229"/>
      <c r="E40" s="229"/>
      <c r="F40" s="229"/>
      <c r="G40" s="229"/>
      <c r="H40" s="229"/>
      <c r="I40" s="229"/>
      <c r="J40" s="229"/>
      <c r="K40" s="229"/>
      <c r="L40" s="229"/>
      <c r="M40" s="229"/>
      <c r="N40" s="229"/>
      <c r="O40" s="229"/>
      <c r="P40" s="229"/>
      <c r="Q40" s="229"/>
      <c r="R40" s="229"/>
      <c r="S40" s="229"/>
    </row>
    <row r="41" spans="1:19" x14ac:dyDescent="0.25">
      <c r="A41" s="241"/>
      <c r="B41" s="243"/>
      <c r="C41" s="243"/>
      <c r="D41" s="229"/>
      <c r="E41" s="229"/>
      <c r="F41" s="229"/>
      <c r="G41" s="229"/>
      <c r="H41" s="229"/>
      <c r="I41" s="229"/>
      <c r="J41" s="229"/>
      <c r="K41" s="229"/>
      <c r="L41" s="229"/>
      <c r="M41" s="229"/>
      <c r="N41" s="229"/>
      <c r="O41" s="229"/>
      <c r="P41" s="229"/>
      <c r="Q41" s="229"/>
      <c r="R41" s="229"/>
      <c r="S41" s="229"/>
    </row>
    <row r="42" spans="1:19" x14ac:dyDescent="0.25">
      <c r="A42" s="230" t="s">
        <v>537</v>
      </c>
      <c r="B42" s="243"/>
      <c r="C42" s="243"/>
      <c r="D42" s="229"/>
      <c r="E42" s="229"/>
      <c r="F42" s="229"/>
      <c r="G42" s="229"/>
      <c r="H42" s="229"/>
      <c r="I42" s="229"/>
      <c r="J42" s="229"/>
      <c r="K42" s="229"/>
      <c r="L42" s="229"/>
      <c r="M42" s="229"/>
      <c r="N42" s="229"/>
      <c r="O42" s="229"/>
      <c r="P42" s="229"/>
      <c r="Q42" s="229"/>
      <c r="R42" s="229"/>
      <c r="S42" s="229"/>
    </row>
    <row r="43" spans="1:19" x14ac:dyDescent="0.25">
      <c r="A43" s="239" t="s">
        <v>611</v>
      </c>
      <c r="B43" s="236" t="s">
        <v>565</v>
      </c>
      <c r="C43" s="236" t="s">
        <v>566</v>
      </c>
      <c r="D43" s="229"/>
      <c r="E43" s="229"/>
      <c r="F43" s="229"/>
      <c r="G43" s="229"/>
      <c r="H43" s="229"/>
      <c r="I43" s="229"/>
      <c r="J43" s="229"/>
      <c r="K43" s="229"/>
      <c r="L43" s="229"/>
      <c r="M43" s="229"/>
      <c r="N43" s="229"/>
      <c r="O43" s="229"/>
      <c r="P43" s="229"/>
      <c r="Q43" s="229"/>
      <c r="R43" s="229"/>
      <c r="S43" s="229"/>
    </row>
    <row r="44" spans="1:19" x14ac:dyDescent="0.25">
      <c r="A44" s="241" t="s">
        <v>592</v>
      </c>
      <c r="B44" s="242">
        <v>0</v>
      </c>
      <c r="C44" s="242">
        <v>0</v>
      </c>
      <c r="D44" s="229"/>
      <c r="E44" s="229"/>
      <c r="F44" s="229"/>
      <c r="G44" s="229"/>
      <c r="H44" s="229"/>
      <c r="I44" s="229"/>
      <c r="J44" s="229"/>
      <c r="K44" s="229"/>
      <c r="L44" s="229"/>
      <c r="M44" s="229"/>
      <c r="N44" s="229"/>
      <c r="O44" s="229"/>
      <c r="P44" s="229"/>
      <c r="Q44" s="229"/>
      <c r="R44" s="229"/>
      <c r="S44" s="229"/>
    </row>
    <row r="45" spans="1:19" x14ac:dyDescent="0.25">
      <c r="A45" s="241" t="s">
        <v>593</v>
      </c>
      <c r="B45" s="242">
        <v>0</v>
      </c>
      <c r="C45" s="242">
        <v>0</v>
      </c>
      <c r="D45" s="229"/>
      <c r="E45" s="229"/>
      <c r="F45" s="229"/>
      <c r="G45" s="229"/>
      <c r="H45" s="229"/>
      <c r="I45" s="229"/>
      <c r="J45" s="229"/>
      <c r="K45" s="229"/>
      <c r="L45" s="229"/>
      <c r="M45" s="229"/>
      <c r="N45" s="229"/>
      <c r="O45" s="229"/>
      <c r="P45" s="229"/>
      <c r="Q45" s="229"/>
      <c r="R45" s="229"/>
      <c r="S45" s="229"/>
    </row>
    <row r="46" spans="1:19" x14ac:dyDescent="0.25">
      <c r="A46" s="241" t="s">
        <v>595</v>
      </c>
      <c r="B46" s="242">
        <v>0</v>
      </c>
      <c r="C46" s="242">
        <v>0</v>
      </c>
      <c r="D46" s="229"/>
      <c r="E46" s="229"/>
      <c r="F46" s="229"/>
      <c r="G46" s="229"/>
      <c r="H46" s="229"/>
      <c r="I46" s="229"/>
      <c r="J46" s="229"/>
      <c r="K46" s="229"/>
      <c r="L46" s="229"/>
      <c r="M46" s="229"/>
      <c r="N46" s="229"/>
      <c r="O46" s="229"/>
      <c r="P46" s="229"/>
      <c r="Q46" s="229"/>
      <c r="R46" s="229"/>
      <c r="S46" s="229"/>
    </row>
    <row r="47" spans="1:19" x14ac:dyDescent="0.25">
      <c r="A47" s="241" t="s">
        <v>596</v>
      </c>
      <c r="B47" s="242">
        <v>0</v>
      </c>
      <c r="C47" s="242">
        <v>0</v>
      </c>
      <c r="D47" s="229"/>
      <c r="E47" s="229"/>
      <c r="F47" s="229"/>
      <c r="G47" s="229"/>
      <c r="H47" s="229"/>
      <c r="I47" s="229"/>
      <c r="J47" s="229"/>
      <c r="K47" s="229"/>
      <c r="L47" s="229"/>
      <c r="M47" s="229"/>
      <c r="N47" s="229"/>
      <c r="O47" s="229"/>
      <c r="P47" s="229"/>
      <c r="Q47" s="229"/>
      <c r="R47" s="229"/>
      <c r="S47" s="229"/>
    </row>
    <row r="48" spans="1:19" x14ac:dyDescent="0.25">
      <c r="A48" s="241" t="s">
        <v>598</v>
      </c>
      <c r="B48" s="242">
        <v>0</v>
      </c>
      <c r="C48" s="242">
        <v>0</v>
      </c>
      <c r="D48" s="229"/>
      <c r="E48" s="229"/>
      <c r="F48" s="229"/>
      <c r="G48" s="229"/>
      <c r="H48" s="229"/>
      <c r="I48" s="229"/>
      <c r="J48" s="229"/>
      <c r="K48" s="229"/>
      <c r="L48" s="229"/>
      <c r="M48" s="229"/>
      <c r="N48" s="229"/>
      <c r="O48" s="229"/>
      <c r="P48" s="229"/>
      <c r="Q48" s="229"/>
      <c r="R48" s="229"/>
      <c r="S48" s="229"/>
    </row>
    <row r="49" spans="1:19" x14ac:dyDescent="0.25">
      <c r="A49" s="241" t="s">
        <v>599</v>
      </c>
      <c r="B49" s="242">
        <v>0</v>
      </c>
      <c r="C49" s="242">
        <v>0</v>
      </c>
      <c r="D49" s="229"/>
      <c r="E49" s="229"/>
      <c r="F49" s="229"/>
      <c r="G49" s="229"/>
      <c r="H49" s="229"/>
      <c r="I49" s="229"/>
      <c r="J49" s="229"/>
      <c r="K49" s="229"/>
      <c r="L49" s="229"/>
      <c r="M49" s="229"/>
      <c r="N49" s="229"/>
      <c r="O49" s="229"/>
      <c r="P49" s="229"/>
      <c r="Q49" s="229"/>
      <c r="R49" s="229"/>
      <c r="S49" s="229"/>
    </row>
    <row r="50" spans="1:19" x14ac:dyDescent="0.25">
      <c r="A50" s="241" t="s">
        <v>601</v>
      </c>
      <c r="B50" s="242">
        <v>0</v>
      </c>
      <c r="C50" s="242">
        <v>0</v>
      </c>
      <c r="D50" s="229"/>
      <c r="E50" s="229"/>
      <c r="F50" s="229"/>
      <c r="G50" s="229"/>
      <c r="H50" s="229"/>
      <c r="I50" s="229"/>
      <c r="J50" s="229"/>
      <c r="K50" s="229"/>
      <c r="L50" s="229"/>
      <c r="M50" s="229"/>
      <c r="N50" s="229"/>
      <c r="O50" s="229"/>
      <c r="P50" s="229"/>
      <c r="Q50" s="229"/>
      <c r="R50" s="229"/>
      <c r="S50" s="229"/>
    </row>
    <row r="51" spans="1:19" x14ac:dyDescent="0.25">
      <c r="A51" s="241" t="s">
        <v>602</v>
      </c>
      <c r="B51" s="242">
        <v>0</v>
      </c>
      <c r="C51" s="242">
        <v>0</v>
      </c>
      <c r="D51" s="229"/>
      <c r="E51" s="229"/>
      <c r="F51" s="229"/>
      <c r="G51" s="229"/>
      <c r="H51" s="229"/>
      <c r="I51" s="229"/>
      <c r="J51" s="229"/>
      <c r="K51" s="229"/>
      <c r="L51" s="229"/>
      <c r="M51" s="229"/>
      <c r="N51" s="229"/>
      <c r="O51" s="229"/>
      <c r="P51" s="229"/>
      <c r="Q51" s="229"/>
      <c r="R51" s="229"/>
      <c r="S51" s="229"/>
    </row>
    <row r="52" spans="1:19" x14ac:dyDescent="0.25">
      <c r="A52" s="241" t="s">
        <v>603</v>
      </c>
      <c r="B52" s="242">
        <v>0</v>
      </c>
      <c r="C52" s="242">
        <v>0</v>
      </c>
      <c r="D52" s="229"/>
      <c r="E52" s="229"/>
      <c r="F52" s="229"/>
      <c r="G52" s="229"/>
      <c r="H52" s="229"/>
      <c r="I52" s="229"/>
      <c r="J52" s="229"/>
      <c r="K52" s="229"/>
      <c r="L52" s="229"/>
      <c r="M52" s="229"/>
      <c r="N52" s="229"/>
      <c r="O52" s="229"/>
      <c r="P52" s="229"/>
      <c r="Q52" s="229"/>
      <c r="R52" s="229"/>
      <c r="S52" s="229"/>
    </row>
    <row r="53" spans="1:19" x14ac:dyDescent="0.25">
      <c r="A53" s="241" t="s">
        <v>604</v>
      </c>
      <c r="B53" s="242">
        <v>0</v>
      </c>
      <c r="C53" s="242">
        <v>0</v>
      </c>
      <c r="D53" s="229"/>
      <c r="E53" s="229"/>
      <c r="F53" s="229"/>
      <c r="G53" s="229"/>
      <c r="H53" s="229"/>
      <c r="I53" s="229"/>
      <c r="J53" s="229"/>
      <c r="K53" s="229"/>
      <c r="L53" s="229"/>
      <c r="M53" s="229"/>
      <c r="N53" s="229"/>
      <c r="O53" s="229"/>
      <c r="P53" s="229"/>
      <c r="Q53" s="229"/>
      <c r="R53" s="229"/>
      <c r="S53" s="229"/>
    </row>
    <row r="54" spans="1:19" x14ac:dyDescent="0.25">
      <c r="A54" s="241" t="s">
        <v>605</v>
      </c>
      <c r="B54" s="242">
        <v>0</v>
      </c>
      <c r="C54" s="242">
        <v>0</v>
      </c>
      <c r="D54" s="229"/>
      <c r="E54" s="229"/>
      <c r="F54" s="229"/>
      <c r="G54" s="229"/>
      <c r="H54" s="229"/>
      <c r="I54" s="229"/>
      <c r="J54" s="229"/>
      <c r="K54" s="229"/>
      <c r="L54" s="229"/>
      <c r="M54" s="229"/>
      <c r="N54" s="229"/>
      <c r="O54" s="229"/>
      <c r="P54" s="229"/>
      <c r="Q54" s="229"/>
      <c r="R54" s="229"/>
      <c r="S54" s="229"/>
    </row>
    <row r="55" spans="1:19" x14ac:dyDescent="0.25">
      <c r="A55" s="241" t="s">
        <v>606</v>
      </c>
      <c r="B55" s="242">
        <v>0</v>
      </c>
      <c r="C55" s="242">
        <v>0</v>
      </c>
      <c r="D55" s="229"/>
      <c r="E55" s="229"/>
      <c r="F55" s="229"/>
      <c r="G55" s="229"/>
      <c r="H55" s="229"/>
      <c r="I55" s="229"/>
      <c r="J55" s="229"/>
      <c r="K55" s="229"/>
      <c r="L55" s="229"/>
      <c r="M55" s="229"/>
      <c r="N55" s="229"/>
      <c r="O55" s="229"/>
      <c r="P55" s="229"/>
      <c r="Q55" s="229"/>
      <c r="R55" s="229"/>
      <c r="S55" s="229"/>
    </row>
    <row r="56" spans="1:19" x14ac:dyDescent="0.25">
      <c r="A56" s="241" t="s">
        <v>607</v>
      </c>
      <c r="B56" s="242">
        <v>0</v>
      </c>
      <c r="C56" s="242">
        <v>0</v>
      </c>
      <c r="D56" s="229"/>
      <c r="E56" s="229"/>
      <c r="F56" s="229"/>
      <c r="G56" s="229"/>
      <c r="H56" s="229"/>
      <c r="I56" s="229"/>
      <c r="J56" s="229"/>
      <c r="K56" s="229"/>
      <c r="L56" s="229"/>
      <c r="M56" s="229"/>
      <c r="N56" s="229"/>
      <c r="O56" s="229"/>
      <c r="P56" s="229"/>
      <c r="Q56" s="229"/>
      <c r="R56" s="229"/>
      <c r="S56" s="229"/>
    </row>
    <row r="57" spans="1:19" x14ac:dyDescent="0.25">
      <c r="A57" s="241" t="s">
        <v>609</v>
      </c>
      <c r="B57" s="242">
        <v>0</v>
      </c>
      <c r="C57" s="242">
        <v>0</v>
      </c>
      <c r="D57" s="229"/>
      <c r="E57" s="229"/>
      <c r="F57" s="229"/>
      <c r="G57" s="229"/>
      <c r="H57" s="229"/>
      <c r="I57" s="229"/>
      <c r="J57" s="229"/>
      <c r="K57" s="229"/>
      <c r="L57" s="229"/>
      <c r="M57" s="229"/>
      <c r="N57" s="229"/>
      <c r="O57" s="229"/>
      <c r="P57" s="229"/>
      <c r="Q57" s="229"/>
      <c r="R57" s="229"/>
      <c r="S57" s="229"/>
    </row>
    <row r="58" spans="1:19" x14ac:dyDescent="0.25">
      <c r="A58" s="241"/>
      <c r="B58" s="243"/>
      <c r="C58" s="243"/>
      <c r="D58" s="229"/>
      <c r="E58" s="229"/>
      <c r="F58" s="229"/>
      <c r="G58" s="229"/>
      <c r="H58" s="229"/>
      <c r="I58" s="229"/>
      <c r="J58" s="229"/>
      <c r="K58" s="229"/>
      <c r="L58" s="229"/>
      <c r="M58" s="229"/>
      <c r="N58" s="229"/>
      <c r="O58" s="229"/>
      <c r="P58" s="229"/>
      <c r="Q58" s="229"/>
      <c r="R58" s="229"/>
      <c r="S58" s="229"/>
    </row>
    <row r="59" spans="1:19" x14ac:dyDescent="0.25">
      <c r="A59" s="230" t="s">
        <v>612</v>
      </c>
      <c r="B59" s="243"/>
      <c r="C59" s="243"/>
      <c r="D59" s="229"/>
      <c r="E59" s="229"/>
      <c r="F59" s="229"/>
      <c r="G59" s="229"/>
      <c r="H59" s="229"/>
      <c r="I59" s="229"/>
      <c r="J59" s="229"/>
      <c r="K59" s="229"/>
      <c r="L59" s="229"/>
      <c r="M59" s="229"/>
      <c r="N59" s="229"/>
      <c r="O59" s="229"/>
      <c r="P59" s="229"/>
      <c r="Q59" s="229"/>
      <c r="R59" s="229"/>
      <c r="S59" s="229"/>
    </row>
    <row r="60" spans="1:19" x14ac:dyDescent="0.25">
      <c r="A60" s="246" t="s">
        <v>613</v>
      </c>
      <c r="B60" s="236" t="s">
        <v>565</v>
      </c>
      <c r="C60" s="236" t="s">
        <v>566</v>
      </c>
      <c r="D60" s="229"/>
      <c r="E60" s="229"/>
      <c r="F60" s="229"/>
      <c r="G60" s="229"/>
      <c r="H60" s="229"/>
      <c r="I60" s="229"/>
      <c r="J60" s="229"/>
      <c r="K60" s="229"/>
      <c r="L60" s="229"/>
      <c r="M60" s="229"/>
      <c r="N60" s="229"/>
      <c r="O60" s="229"/>
      <c r="P60" s="229"/>
      <c r="Q60" s="229"/>
      <c r="R60" s="229"/>
      <c r="S60" s="229"/>
    </row>
    <row r="61" spans="1:19" x14ac:dyDescent="0.25">
      <c r="A61" s="241" t="s">
        <v>592</v>
      </c>
      <c r="B61" s="242">
        <v>0</v>
      </c>
      <c r="C61" s="242">
        <v>0</v>
      </c>
      <c r="D61" s="229"/>
      <c r="E61" s="229"/>
      <c r="F61" s="229"/>
      <c r="G61" s="229"/>
      <c r="H61" s="229"/>
      <c r="I61" s="229"/>
      <c r="J61" s="229"/>
      <c r="K61" s="229"/>
      <c r="L61" s="229"/>
      <c r="M61" s="229"/>
      <c r="N61" s="229"/>
      <c r="O61" s="229"/>
      <c r="P61" s="229"/>
      <c r="Q61" s="229"/>
      <c r="R61" s="229"/>
      <c r="S61" s="229"/>
    </row>
    <row r="62" spans="1:19" x14ac:dyDescent="0.25">
      <c r="A62" s="241" t="s">
        <v>593</v>
      </c>
      <c r="B62" s="242">
        <v>0</v>
      </c>
      <c r="C62" s="242">
        <v>0</v>
      </c>
      <c r="D62" s="229"/>
      <c r="E62" s="229"/>
      <c r="F62" s="229"/>
      <c r="G62" s="229"/>
      <c r="H62" s="229"/>
      <c r="I62" s="229"/>
      <c r="J62" s="229"/>
      <c r="K62" s="229"/>
      <c r="L62" s="229"/>
      <c r="M62" s="229"/>
      <c r="N62" s="229"/>
      <c r="O62" s="229"/>
      <c r="P62" s="229"/>
      <c r="Q62" s="229"/>
      <c r="R62" s="229"/>
      <c r="S62" s="229"/>
    </row>
    <row r="63" spans="1:19" x14ac:dyDescent="0.25">
      <c r="A63" s="241" t="s">
        <v>595</v>
      </c>
      <c r="B63" s="242">
        <v>0</v>
      </c>
      <c r="C63" s="242">
        <v>0</v>
      </c>
      <c r="D63" s="229"/>
      <c r="E63" s="229"/>
      <c r="F63" s="229"/>
      <c r="G63" s="229"/>
      <c r="H63" s="229"/>
      <c r="I63" s="229"/>
      <c r="J63" s="229"/>
      <c r="K63" s="229"/>
      <c r="L63" s="229"/>
      <c r="M63" s="229"/>
      <c r="N63" s="229"/>
      <c r="O63" s="229"/>
      <c r="P63" s="229"/>
      <c r="Q63" s="229"/>
      <c r="R63" s="229"/>
      <c r="S63" s="229"/>
    </row>
    <row r="64" spans="1:19" x14ac:dyDescent="0.25">
      <c r="A64" s="241" t="s">
        <v>596</v>
      </c>
      <c r="B64" s="242">
        <v>0</v>
      </c>
      <c r="C64" s="242">
        <v>0</v>
      </c>
      <c r="D64" s="229"/>
      <c r="E64" s="229"/>
      <c r="F64" s="229"/>
      <c r="G64" s="229"/>
      <c r="H64" s="229"/>
      <c r="I64" s="229"/>
      <c r="J64" s="229"/>
      <c r="K64" s="229"/>
      <c r="L64" s="229"/>
      <c r="M64" s="229"/>
      <c r="N64" s="229"/>
      <c r="O64" s="229"/>
      <c r="P64" s="229"/>
      <c r="Q64" s="229"/>
      <c r="R64" s="229"/>
      <c r="S64" s="229"/>
    </row>
    <row r="65" spans="1:19" x14ac:dyDescent="0.25">
      <c r="A65" s="241" t="s">
        <v>598</v>
      </c>
      <c r="B65" s="242">
        <v>0</v>
      </c>
      <c r="C65" s="242">
        <v>0</v>
      </c>
      <c r="D65" s="229"/>
      <c r="E65" s="229"/>
      <c r="F65" s="229"/>
      <c r="G65" s="229"/>
      <c r="H65" s="229"/>
      <c r="I65" s="229"/>
      <c r="J65" s="229"/>
      <c r="K65" s="229"/>
      <c r="L65" s="229"/>
      <c r="M65" s="229"/>
      <c r="N65" s="229"/>
      <c r="O65" s="229"/>
      <c r="P65" s="229"/>
      <c r="Q65" s="229"/>
      <c r="R65" s="229"/>
      <c r="S65" s="229"/>
    </row>
    <row r="66" spans="1:19" x14ac:dyDescent="0.25">
      <c r="A66" s="241" t="s">
        <v>599</v>
      </c>
      <c r="B66" s="242">
        <v>0</v>
      </c>
      <c r="C66" s="242">
        <v>0</v>
      </c>
      <c r="D66" s="229"/>
      <c r="E66" s="229"/>
      <c r="F66" s="229"/>
      <c r="G66" s="229"/>
      <c r="H66" s="229"/>
      <c r="I66" s="229"/>
      <c r="J66" s="229"/>
      <c r="K66" s="229"/>
      <c r="L66" s="229"/>
      <c r="M66" s="229"/>
      <c r="N66" s="229"/>
      <c r="O66" s="229"/>
      <c r="P66" s="229"/>
      <c r="Q66" s="229"/>
      <c r="R66" s="229"/>
      <c r="S66" s="229"/>
    </row>
    <row r="67" spans="1:19" x14ac:dyDescent="0.25">
      <c r="A67" s="241" t="s">
        <v>601</v>
      </c>
      <c r="B67" s="242">
        <v>0</v>
      </c>
      <c r="C67" s="242">
        <v>0</v>
      </c>
      <c r="D67" s="229"/>
      <c r="E67" s="229"/>
      <c r="F67" s="229"/>
      <c r="G67" s="229"/>
      <c r="H67" s="229"/>
      <c r="I67" s="229"/>
      <c r="J67" s="229"/>
      <c r="K67" s="229"/>
      <c r="L67" s="229"/>
      <c r="M67" s="229"/>
      <c r="N67" s="229"/>
      <c r="O67" s="229"/>
      <c r="P67" s="229"/>
      <c r="Q67" s="229"/>
      <c r="R67" s="229"/>
      <c r="S67" s="229"/>
    </row>
    <row r="68" spans="1:19" x14ac:dyDescent="0.25">
      <c r="A68" s="241" t="s">
        <v>602</v>
      </c>
      <c r="B68" s="242">
        <v>0</v>
      </c>
      <c r="C68" s="242">
        <v>0</v>
      </c>
      <c r="D68" s="229"/>
      <c r="E68" s="229"/>
      <c r="F68" s="229"/>
      <c r="G68" s="229"/>
      <c r="H68" s="229"/>
      <c r="I68" s="229"/>
      <c r="J68" s="229"/>
      <c r="K68" s="229"/>
      <c r="L68" s="229"/>
      <c r="M68" s="229"/>
      <c r="N68" s="229"/>
      <c r="O68" s="229"/>
      <c r="P68" s="229"/>
      <c r="Q68" s="229"/>
      <c r="R68" s="229"/>
      <c r="S68" s="229"/>
    </row>
    <row r="69" spans="1:19" x14ac:dyDescent="0.25">
      <c r="A69" s="241" t="s">
        <v>603</v>
      </c>
      <c r="B69" s="242">
        <v>0</v>
      </c>
      <c r="C69" s="242">
        <v>0</v>
      </c>
      <c r="D69" s="229"/>
      <c r="E69" s="229"/>
      <c r="F69" s="229"/>
      <c r="G69" s="229"/>
      <c r="H69" s="229"/>
      <c r="I69" s="229"/>
      <c r="J69" s="229"/>
      <c r="K69" s="229"/>
      <c r="L69" s="229"/>
      <c r="M69" s="229"/>
      <c r="N69" s="229"/>
      <c r="O69" s="229"/>
      <c r="P69" s="229"/>
      <c r="Q69" s="229"/>
      <c r="R69" s="229"/>
      <c r="S69" s="229"/>
    </row>
    <row r="70" spans="1:19" x14ac:dyDescent="0.25">
      <c r="A70" s="241" t="s">
        <v>604</v>
      </c>
      <c r="B70" s="242">
        <v>0</v>
      </c>
      <c r="C70" s="242">
        <v>0</v>
      </c>
      <c r="D70" s="229"/>
      <c r="E70" s="229"/>
      <c r="F70" s="229"/>
      <c r="G70" s="229"/>
      <c r="H70" s="229"/>
      <c r="I70" s="229"/>
      <c r="J70" s="229"/>
      <c r="K70" s="229"/>
      <c r="L70" s="229"/>
      <c r="M70" s="229"/>
      <c r="N70" s="229"/>
      <c r="O70" s="229"/>
      <c r="P70" s="229"/>
      <c r="Q70" s="229"/>
      <c r="R70" s="229"/>
      <c r="S70" s="229"/>
    </row>
    <row r="71" spans="1:19" x14ac:dyDescent="0.25">
      <c r="A71" s="241" t="s">
        <v>605</v>
      </c>
      <c r="B71" s="242">
        <v>0</v>
      </c>
      <c r="C71" s="242">
        <v>0</v>
      </c>
      <c r="D71" s="229"/>
      <c r="E71" s="229"/>
      <c r="F71" s="229"/>
      <c r="G71" s="229"/>
      <c r="H71" s="229"/>
      <c r="I71" s="229"/>
      <c r="J71" s="229"/>
      <c r="K71" s="229"/>
      <c r="L71" s="229"/>
      <c r="M71" s="229"/>
      <c r="N71" s="229"/>
      <c r="O71" s="229"/>
      <c r="P71" s="229"/>
      <c r="Q71" s="229"/>
      <c r="R71" s="229"/>
      <c r="S71" s="229"/>
    </row>
    <row r="72" spans="1:19" x14ac:dyDescent="0.25">
      <c r="A72" s="241" t="s">
        <v>606</v>
      </c>
      <c r="B72" s="242">
        <v>0</v>
      </c>
      <c r="C72" s="242">
        <v>0</v>
      </c>
      <c r="D72" s="229"/>
      <c r="E72" s="229"/>
      <c r="F72" s="229"/>
      <c r="G72" s="229"/>
      <c r="H72" s="229"/>
      <c r="I72" s="229"/>
      <c r="J72" s="229"/>
      <c r="K72" s="229"/>
      <c r="L72" s="229"/>
      <c r="M72" s="229"/>
      <c r="N72" s="229"/>
      <c r="O72" s="229"/>
      <c r="P72" s="229"/>
      <c r="Q72" s="229"/>
      <c r="R72" s="229"/>
      <c r="S72" s="229"/>
    </row>
    <row r="73" spans="1:19" x14ac:dyDescent="0.25">
      <c r="A73" s="241" t="s">
        <v>607</v>
      </c>
      <c r="B73" s="242">
        <v>0</v>
      </c>
      <c r="C73" s="242">
        <v>0</v>
      </c>
      <c r="D73" s="229"/>
      <c r="E73" s="229"/>
      <c r="F73" s="229"/>
      <c r="G73" s="229"/>
      <c r="H73" s="229"/>
      <c r="I73" s="229"/>
      <c r="J73" s="229"/>
      <c r="K73" s="229"/>
      <c r="L73" s="229"/>
      <c r="M73" s="229"/>
      <c r="N73" s="229"/>
      <c r="O73" s="229"/>
      <c r="P73" s="229"/>
      <c r="Q73" s="229"/>
      <c r="R73" s="229"/>
      <c r="S73" s="229"/>
    </row>
    <row r="74" spans="1:19" x14ac:dyDescent="0.25">
      <c r="A74" s="241" t="s">
        <v>609</v>
      </c>
      <c r="B74" s="242">
        <v>0</v>
      </c>
      <c r="C74" s="242">
        <v>0</v>
      </c>
      <c r="D74" s="229"/>
      <c r="E74" s="229"/>
      <c r="F74" s="229"/>
      <c r="G74" s="229"/>
      <c r="H74" s="229"/>
      <c r="I74" s="229"/>
      <c r="J74" s="229"/>
      <c r="K74" s="229"/>
      <c r="L74" s="229"/>
      <c r="M74" s="229"/>
      <c r="N74" s="229"/>
      <c r="O74" s="229"/>
      <c r="P74" s="229"/>
      <c r="Q74" s="229"/>
      <c r="R74" s="229"/>
      <c r="S74" s="229"/>
    </row>
    <row r="75" spans="1:19" x14ac:dyDescent="0.25">
      <c r="A75" s="247"/>
      <c r="B75" s="243"/>
      <c r="C75" s="243"/>
      <c r="D75" s="229"/>
      <c r="E75" s="229"/>
      <c r="F75" s="229"/>
      <c r="G75" s="229"/>
      <c r="H75" s="229"/>
      <c r="I75" s="229"/>
      <c r="J75" s="229"/>
      <c r="K75" s="229"/>
      <c r="L75" s="229"/>
      <c r="M75" s="229"/>
      <c r="N75" s="229"/>
      <c r="O75" s="229"/>
      <c r="P75" s="229"/>
      <c r="Q75" s="229"/>
      <c r="R75" s="229"/>
      <c r="S75" s="229"/>
    </row>
    <row r="76" spans="1:19" x14ac:dyDescent="0.25">
      <c r="A76" s="230" t="s">
        <v>612</v>
      </c>
      <c r="B76" s="243"/>
      <c r="C76" s="243"/>
      <c r="D76" s="229"/>
      <c r="E76" s="229"/>
      <c r="F76" s="229"/>
      <c r="G76" s="229"/>
      <c r="H76" s="229"/>
      <c r="I76" s="229"/>
      <c r="J76" s="229"/>
      <c r="K76" s="229"/>
      <c r="L76" s="229"/>
      <c r="M76" s="229"/>
      <c r="N76" s="229"/>
      <c r="O76" s="229"/>
      <c r="P76" s="229"/>
      <c r="Q76" s="229"/>
      <c r="R76" s="229"/>
      <c r="S76" s="229"/>
    </row>
    <row r="77" spans="1:19" x14ac:dyDescent="0.25">
      <c r="A77" s="248" t="s">
        <v>614</v>
      </c>
      <c r="B77" s="236" t="s">
        <v>565</v>
      </c>
      <c r="C77" s="236" t="s">
        <v>566</v>
      </c>
      <c r="D77" s="229"/>
      <c r="E77" s="229"/>
      <c r="F77" s="229"/>
      <c r="G77" s="229"/>
      <c r="H77" s="229"/>
      <c r="I77" s="229"/>
      <c r="J77" s="229"/>
      <c r="K77" s="229"/>
      <c r="L77" s="229"/>
      <c r="M77" s="229"/>
      <c r="N77" s="229"/>
      <c r="O77" s="229"/>
      <c r="P77" s="229"/>
      <c r="Q77" s="229"/>
      <c r="R77" s="229"/>
      <c r="S77" s="229"/>
    </row>
    <row r="78" spans="1:19" x14ac:dyDescent="0.25">
      <c r="A78" s="241" t="s">
        <v>592</v>
      </c>
      <c r="B78" s="242">
        <v>0</v>
      </c>
      <c r="C78" s="242">
        <v>0</v>
      </c>
      <c r="D78" s="229"/>
      <c r="E78" s="229"/>
      <c r="F78" s="229"/>
      <c r="G78" s="229"/>
      <c r="H78" s="229"/>
      <c r="I78" s="229"/>
      <c r="J78" s="229"/>
      <c r="K78" s="229"/>
      <c r="L78" s="229"/>
      <c r="M78" s="229"/>
      <c r="N78" s="229"/>
      <c r="O78" s="229"/>
      <c r="P78" s="229"/>
      <c r="Q78" s="229"/>
      <c r="R78" s="229"/>
      <c r="S78" s="229"/>
    </row>
    <row r="79" spans="1:19" x14ac:dyDescent="0.25">
      <c r="A79" s="241" t="s">
        <v>593</v>
      </c>
      <c r="B79" s="242">
        <v>0</v>
      </c>
      <c r="C79" s="242">
        <v>0</v>
      </c>
      <c r="D79" s="229"/>
      <c r="E79" s="229"/>
      <c r="F79" s="229"/>
      <c r="G79" s="229"/>
      <c r="H79" s="229"/>
      <c r="I79" s="229"/>
      <c r="J79" s="229"/>
      <c r="K79" s="229"/>
      <c r="L79" s="229"/>
      <c r="M79" s="229"/>
      <c r="N79" s="229"/>
      <c r="O79" s="229"/>
      <c r="P79" s="229"/>
      <c r="Q79" s="229"/>
      <c r="R79" s="229"/>
      <c r="S79" s="229"/>
    </row>
    <row r="80" spans="1:19" x14ac:dyDescent="0.25">
      <c r="A80" s="241" t="s">
        <v>595</v>
      </c>
      <c r="B80" s="242">
        <v>0</v>
      </c>
      <c r="C80" s="242">
        <v>0</v>
      </c>
      <c r="D80" s="229"/>
      <c r="E80" s="229"/>
      <c r="F80" s="229"/>
      <c r="G80" s="229"/>
      <c r="H80" s="229"/>
      <c r="I80" s="229"/>
      <c r="J80" s="229"/>
      <c r="K80" s="229"/>
      <c r="L80" s="229"/>
      <c r="M80" s="229"/>
      <c r="N80" s="229"/>
      <c r="O80" s="229"/>
      <c r="P80" s="229"/>
      <c r="Q80" s="229"/>
      <c r="R80" s="229"/>
      <c r="S80" s="229"/>
    </row>
    <row r="81" spans="1:19" x14ac:dyDescent="0.25">
      <c r="A81" s="241" t="s">
        <v>596</v>
      </c>
      <c r="B81" s="242">
        <v>0</v>
      </c>
      <c r="C81" s="242">
        <v>0</v>
      </c>
      <c r="D81" s="229"/>
      <c r="E81" s="229"/>
      <c r="F81" s="229"/>
      <c r="G81" s="229"/>
      <c r="H81" s="229"/>
      <c r="I81" s="229"/>
      <c r="J81" s="229"/>
      <c r="K81" s="229"/>
      <c r="L81" s="229"/>
      <c r="M81" s="229"/>
      <c r="N81" s="229"/>
      <c r="O81" s="229"/>
      <c r="P81" s="229"/>
      <c r="Q81" s="229"/>
      <c r="R81" s="229"/>
      <c r="S81" s="229"/>
    </row>
    <row r="82" spans="1:19" x14ac:dyDescent="0.25">
      <c r="A82" s="241" t="s">
        <v>598</v>
      </c>
      <c r="B82" s="242">
        <v>0</v>
      </c>
      <c r="C82" s="242">
        <v>0</v>
      </c>
      <c r="D82" s="229"/>
      <c r="E82" s="229"/>
      <c r="F82" s="229"/>
      <c r="G82" s="229"/>
      <c r="H82" s="229"/>
      <c r="I82" s="229"/>
      <c r="J82" s="229"/>
      <c r="K82" s="229"/>
      <c r="L82" s="229"/>
      <c r="M82" s="229"/>
      <c r="N82" s="229"/>
      <c r="O82" s="229"/>
      <c r="P82" s="229"/>
      <c r="Q82" s="229"/>
      <c r="R82" s="229"/>
      <c r="S82" s="229"/>
    </row>
    <row r="83" spans="1:19" x14ac:dyDescent="0.25">
      <c r="A83" s="241" t="s">
        <v>599</v>
      </c>
      <c r="B83" s="242">
        <v>0</v>
      </c>
      <c r="C83" s="242">
        <v>0</v>
      </c>
      <c r="D83" s="229"/>
      <c r="E83" s="229"/>
      <c r="F83" s="229"/>
      <c r="G83" s="229"/>
      <c r="H83" s="229"/>
      <c r="I83" s="229"/>
      <c r="J83" s="229"/>
      <c r="K83" s="229"/>
      <c r="L83" s="229"/>
      <c r="M83" s="229"/>
      <c r="N83" s="229"/>
      <c r="O83" s="229"/>
      <c r="P83" s="229"/>
      <c r="Q83" s="229"/>
      <c r="R83" s="229"/>
      <c r="S83" s="229"/>
    </row>
    <row r="84" spans="1:19" x14ac:dyDescent="0.25">
      <c r="A84" s="241" t="s">
        <v>601</v>
      </c>
      <c r="B84" s="242">
        <v>0</v>
      </c>
      <c r="C84" s="242">
        <v>0</v>
      </c>
      <c r="D84" s="229"/>
      <c r="E84" s="229"/>
      <c r="F84" s="229"/>
      <c r="G84" s="229"/>
      <c r="H84" s="229"/>
      <c r="I84" s="229"/>
      <c r="J84" s="229"/>
      <c r="K84" s="229"/>
      <c r="L84" s="229"/>
      <c r="M84" s="229"/>
      <c r="N84" s="229"/>
      <c r="O84" s="229"/>
      <c r="P84" s="229"/>
      <c r="Q84" s="229"/>
      <c r="R84" s="229"/>
      <c r="S84" s="229"/>
    </row>
    <row r="85" spans="1:19" x14ac:dyDescent="0.25">
      <c r="A85" s="241" t="s">
        <v>602</v>
      </c>
      <c r="B85" s="242">
        <v>0</v>
      </c>
      <c r="C85" s="242">
        <v>0</v>
      </c>
      <c r="D85" s="229"/>
      <c r="E85" s="229"/>
      <c r="F85" s="229"/>
      <c r="G85" s="229"/>
      <c r="H85" s="229"/>
      <c r="I85" s="229"/>
      <c r="J85" s="229"/>
      <c r="K85" s="229"/>
      <c r="L85" s="229"/>
      <c r="M85" s="229"/>
      <c r="N85" s="229"/>
      <c r="O85" s="229"/>
      <c r="P85" s="229"/>
      <c r="Q85" s="229"/>
      <c r="R85" s="229"/>
      <c r="S85" s="229"/>
    </row>
    <row r="86" spans="1:19" x14ac:dyDescent="0.25">
      <c r="A86" s="241" t="s">
        <v>603</v>
      </c>
      <c r="B86" s="242">
        <v>0</v>
      </c>
      <c r="C86" s="242">
        <v>0</v>
      </c>
      <c r="D86" s="229"/>
      <c r="E86" s="229"/>
      <c r="F86" s="229"/>
      <c r="G86" s="229"/>
      <c r="H86" s="229"/>
      <c r="I86" s="229"/>
      <c r="J86" s="229"/>
      <c r="K86" s="229"/>
      <c r="L86" s="229"/>
      <c r="M86" s="229"/>
      <c r="N86" s="229"/>
      <c r="O86" s="229"/>
      <c r="P86" s="229"/>
      <c r="Q86" s="229"/>
      <c r="R86" s="229"/>
      <c r="S86" s="229"/>
    </row>
    <row r="87" spans="1:19" x14ac:dyDescent="0.25">
      <c r="A87" s="241" t="s">
        <v>604</v>
      </c>
      <c r="B87" s="242">
        <v>0</v>
      </c>
      <c r="C87" s="242">
        <v>0</v>
      </c>
      <c r="D87" s="229"/>
      <c r="E87" s="229"/>
      <c r="F87" s="229"/>
      <c r="G87" s="229"/>
      <c r="H87" s="229"/>
      <c r="I87" s="229"/>
      <c r="J87" s="229"/>
      <c r="K87" s="229"/>
      <c r="L87" s="229"/>
      <c r="M87" s="229"/>
      <c r="N87" s="229"/>
      <c r="O87" s="229"/>
      <c r="P87" s="229"/>
      <c r="Q87" s="229"/>
      <c r="R87" s="229"/>
      <c r="S87" s="229"/>
    </row>
    <row r="88" spans="1:19" x14ac:dyDescent="0.25">
      <c r="A88" s="241" t="s">
        <v>605</v>
      </c>
      <c r="B88" s="242">
        <v>0</v>
      </c>
      <c r="C88" s="242">
        <v>0</v>
      </c>
      <c r="D88" s="229"/>
      <c r="E88" s="229"/>
      <c r="F88" s="229"/>
      <c r="G88" s="229"/>
      <c r="H88" s="229"/>
      <c r="I88" s="229"/>
      <c r="J88" s="229"/>
      <c r="K88" s="229"/>
      <c r="L88" s="229"/>
      <c r="M88" s="229"/>
      <c r="N88" s="229"/>
      <c r="O88" s="229"/>
      <c r="P88" s="229"/>
      <c r="Q88" s="229"/>
      <c r="R88" s="229"/>
      <c r="S88" s="229"/>
    </row>
    <row r="89" spans="1:19" x14ac:dyDescent="0.25">
      <c r="A89" s="241" t="s">
        <v>606</v>
      </c>
      <c r="B89" s="242">
        <v>0</v>
      </c>
      <c r="C89" s="242">
        <v>0</v>
      </c>
      <c r="D89" s="229"/>
      <c r="E89" s="229"/>
      <c r="F89" s="229"/>
      <c r="G89" s="229"/>
      <c r="H89" s="229"/>
      <c r="I89" s="229"/>
      <c r="J89" s="229"/>
      <c r="K89" s="229"/>
      <c r="L89" s="229"/>
      <c r="M89" s="229"/>
      <c r="N89" s="229"/>
      <c r="O89" s="229"/>
      <c r="P89" s="229"/>
      <c r="Q89" s="229"/>
      <c r="R89" s="229"/>
      <c r="S89" s="229"/>
    </row>
    <row r="90" spans="1:19" x14ac:dyDescent="0.25">
      <c r="A90" s="241" t="s">
        <v>607</v>
      </c>
      <c r="B90" s="242">
        <v>0</v>
      </c>
      <c r="C90" s="242">
        <v>0</v>
      </c>
      <c r="D90" s="229"/>
      <c r="E90" s="229"/>
      <c r="F90" s="229"/>
      <c r="G90" s="229"/>
      <c r="H90" s="229"/>
      <c r="I90" s="229"/>
      <c r="J90" s="229"/>
      <c r="K90" s="229"/>
      <c r="L90" s="229"/>
      <c r="M90" s="229"/>
      <c r="N90" s="229"/>
      <c r="O90" s="229"/>
      <c r="P90" s="229"/>
      <c r="Q90" s="229"/>
      <c r="R90" s="229"/>
      <c r="S90" s="229"/>
    </row>
    <row r="91" spans="1:19" x14ac:dyDescent="0.25">
      <c r="A91" s="241" t="s">
        <v>609</v>
      </c>
      <c r="B91" s="242">
        <v>0</v>
      </c>
      <c r="C91" s="242">
        <v>0</v>
      </c>
      <c r="D91" s="229"/>
      <c r="E91" s="229"/>
      <c r="F91" s="229"/>
      <c r="G91" s="229"/>
      <c r="H91" s="229"/>
      <c r="I91" s="229"/>
      <c r="J91" s="229"/>
      <c r="K91" s="229"/>
      <c r="L91" s="229"/>
      <c r="M91" s="229"/>
      <c r="N91" s="229"/>
      <c r="O91" s="229"/>
      <c r="P91" s="229"/>
      <c r="Q91" s="229"/>
      <c r="R91" s="229"/>
      <c r="S91" s="229"/>
    </row>
    <row r="92" spans="1:19" x14ac:dyDescent="0.25">
      <c r="A92" s="247"/>
      <c r="B92" s="243"/>
      <c r="C92" s="243"/>
      <c r="D92" s="229"/>
      <c r="E92" s="229"/>
      <c r="F92" s="229"/>
      <c r="G92" s="229"/>
      <c r="H92" s="229"/>
      <c r="I92" s="229"/>
      <c r="J92" s="229"/>
      <c r="K92" s="229"/>
      <c r="L92" s="229"/>
      <c r="M92" s="229"/>
      <c r="N92" s="229"/>
      <c r="O92" s="229"/>
      <c r="P92" s="229"/>
      <c r="Q92" s="229"/>
      <c r="R92" s="229"/>
      <c r="S92" s="229"/>
    </row>
    <row r="93" spans="1:19" x14ac:dyDescent="0.25">
      <c r="A93" s="230" t="s">
        <v>612</v>
      </c>
      <c r="B93" s="243"/>
      <c r="C93" s="243"/>
      <c r="D93" s="229"/>
      <c r="E93" s="229"/>
      <c r="F93" s="229"/>
      <c r="G93" s="229"/>
      <c r="H93" s="229"/>
      <c r="I93" s="229"/>
      <c r="J93" s="229"/>
      <c r="K93" s="229"/>
      <c r="L93" s="229"/>
      <c r="M93" s="229"/>
      <c r="N93" s="229"/>
      <c r="O93" s="229"/>
      <c r="P93" s="229"/>
      <c r="Q93" s="229"/>
      <c r="R93" s="229"/>
      <c r="S93" s="229"/>
    </row>
    <row r="94" spans="1:19" x14ac:dyDescent="0.25">
      <c r="A94" s="248" t="s">
        <v>615</v>
      </c>
      <c r="B94" s="236" t="s">
        <v>565</v>
      </c>
      <c r="C94" s="236" t="s">
        <v>566</v>
      </c>
      <c r="D94" s="229"/>
      <c r="E94" s="229"/>
      <c r="F94" s="229"/>
      <c r="G94" s="229"/>
      <c r="H94" s="229"/>
      <c r="I94" s="229"/>
      <c r="J94" s="229"/>
      <c r="K94" s="229"/>
      <c r="L94" s="229"/>
      <c r="M94" s="229"/>
      <c r="N94" s="229"/>
      <c r="O94" s="229"/>
      <c r="P94" s="229"/>
      <c r="Q94" s="229"/>
      <c r="R94" s="229"/>
      <c r="S94" s="229"/>
    </row>
    <row r="95" spans="1:19" x14ac:dyDescent="0.25">
      <c r="A95" s="241" t="s">
        <v>592</v>
      </c>
      <c r="B95" s="242">
        <v>0</v>
      </c>
      <c r="C95" s="242">
        <v>0</v>
      </c>
      <c r="D95" s="229"/>
      <c r="E95" s="229"/>
      <c r="F95" s="229"/>
      <c r="G95" s="229"/>
      <c r="H95" s="229"/>
      <c r="I95" s="229"/>
      <c r="J95" s="229"/>
      <c r="K95" s="229"/>
      <c r="L95" s="229"/>
      <c r="M95" s="229"/>
      <c r="N95" s="229"/>
      <c r="O95" s="229"/>
      <c r="P95" s="229"/>
      <c r="Q95" s="229"/>
      <c r="R95" s="229"/>
      <c r="S95" s="229"/>
    </row>
    <row r="96" spans="1:19" x14ac:dyDescent="0.25">
      <c r="A96" s="241" t="s">
        <v>593</v>
      </c>
      <c r="B96" s="242">
        <v>0</v>
      </c>
      <c r="C96" s="242">
        <v>0</v>
      </c>
      <c r="D96" s="229"/>
      <c r="E96" s="229"/>
      <c r="F96" s="229"/>
      <c r="G96" s="229"/>
      <c r="H96" s="229"/>
      <c r="I96" s="229"/>
      <c r="J96" s="229"/>
      <c r="K96" s="229"/>
      <c r="L96" s="229"/>
      <c r="M96" s="229"/>
      <c r="N96" s="229"/>
      <c r="O96" s="229"/>
      <c r="P96" s="229"/>
      <c r="Q96" s="229"/>
      <c r="R96" s="229"/>
      <c r="S96" s="229"/>
    </row>
    <row r="97" spans="1:19" x14ac:dyDescent="0.25">
      <c r="A97" s="241" t="s">
        <v>595</v>
      </c>
      <c r="B97" s="242">
        <v>0</v>
      </c>
      <c r="C97" s="242">
        <v>0</v>
      </c>
      <c r="D97" s="229"/>
      <c r="E97" s="229"/>
      <c r="F97" s="229"/>
      <c r="G97" s="229"/>
      <c r="H97" s="229"/>
      <c r="I97" s="229"/>
      <c r="J97" s="229"/>
      <c r="K97" s="229"/>
      <c r="L97" s="229"/>
      <c r="M97" s="229"/>
      <c r="N97" s="229"/>
      <c r="O97" s="229"/>
      <c r="P97" s="229"/>
      <c r="Q97" s="229"/>
      <c r="R97" s="229"/>
      <c r="S97" s="229"/>
    </row>
    <row r="98" spans="1:19" x14ac:dyDescent="0.25">
      <c r="A98" s="241" t="s">
        <v>596</v>
      </c>
      <c r="B98" s="242">
        <v>0</v>
      </c>
      <c r="C98" s="242">
        <v>0</v>
      </c>
      <c r="D98" s="229"/>
      <c r="E98" s="229"/>
      <c r="F98" s="229"/>
      <c r="G98" s="229"/>
      <c r="H98" s="229"/>
      <c r="I98" s="229"/>
      <c r="J98" s="229"/>
      <c r="K98" s="229"/>
      <c r="L98" s="229"/>
      <c r="M98" s="229"/>
      <c r="N98" s="229"/>
      <c r="O98" s="229"/>
      <c r="P98" s="229"/>
      <c r="Q98" s="229"/>
      <c r="R98" s="229"/>
      <c r="S98" s="229"/>
    </row>
    <row r="99" spans="1:19" x14ac:dyDescent="0.25">
      <c r="A99" s="241" t="s">
        <v>598</v>
      </c>
      <c r="B99" s="242">
        <v>0</v>
      </c>
      <c r="C99" s="242">
        <v>0</v>
      </c>
      <c r="D99" s="229"/>
      <c r="E99" s="229"/>
      <c r="F99" s="229"/>
      <c r="G99" s="229"/>
      <c r="H99" s="229"/>
      <c r="I99" s="229"/>
      <c r="J99" s="229"/>
      <c r="K99" s="229"/>
      <c r="L99" s="229"/>
      <c r="M99" s="229"/>
      <c r="N99" s="229"/>
      <c r="O99" s="229"/>
      <c r="P99" s="229"/>
      <c r="Q99" s="229"/>
      <c r="R99" s="229"/>
      <c r="S99" s="229"/>
    </row>
    <row r="100" spans="1:19" x14ac:dyDescent="0.25">
      <c r="A100" s="241" t="s">
        <v>599</v>
      </c>
      <c r="B100" s="242">
        <v>0</v>
      </c>
      <c r="C100" s="242">
        <v>0</v>
      </c>
      <c r="D100" s="229"/>
      <c r="E100" s="229"/>
      <c r="F100" s="229"/>
      <c r="G100" s="229"/>
      <c r="H100" s="229"/>
      <c r="I100" s="229"/>
      <c r="J100" s="229"/>
      <c r="K100" s="229"/>
      <c r="L100" s="229"/>
      <c r="M100" s="229"/>
      <c r="N100" s="229"/>
      <c r="O100" s="229"/>
      <c r="P100" s="229"/>
      <c r="Q100" s="229"/>
      <c r="R100" s="229"/>
      <c r="S100" s="229"/>
    </row>
    <row r="101" spans="1:19" x14ac:dyDescent="0.25">
      <c r="A101" s="241" t="s">
        <v>601</v>
      </c>
      <c r="B101" s="242">
        <v>0</v>
      </c>
      <c r="C101" s="242">
        <v>0</v>
      </c>
      <c r="D101" s="229"/>
      <c r="E101" s="229"/>
      <c r="F101" s="229"/>
      <c r="G101" s="229"/>
      <c r="H101" s="229"/>
      <c r="I101" s="229"/>
      <c r="J101" s="229"/>
      <c r="K101" s="229"/>
      <c r="L101" s="229"/>
      <c r="M101" s="229"/>
      <c r="N101" s="229"/>
      <c r="O101" s="229"/>
      <c r="P101" s="229"/>
      <c r="Q101" s="229"/>
      <c r="R101" s="229"/>
      <c r="S101" s="229"/>
    </row>
    <row r="102" spans="1:19" x14ac:dyDescent="0.25">
      <c r="A102" s="241" t="s">
        <v>602</v>
      </c>
      <c r="B102" s="242">
        <v>0</v>
      </c>
      <c r="C102" s="242">
        <v>0</v>
      </c>
      <c r="D102" s="229"/>
      <c r="E102" s="229"/>
      <c r="F102" s="229"/>
      <c r="G102" s="229"/>
      <c r="H102" s="229"/>
      <c r="I102" s="229"/>
      <c r="J102" s="229"/>
      <c r="K102" s="229"/>
      <c r="L102" s="229"/>
      <c r="M102" s="229"/>
      <c r="N102" s="229"/>
      <c r="O102" s="229"/>
      <c r="P102" s="229"/>
      <c r="Q102" s="229"/>
      <c r="R102" s="229"/>
      <c r="S102" s="229"/>
    </row>
    <row r="103" spans="1:19" x14ac:dyDescent="0.25">
      <c r="A103" s="241" t="s">
        <v>603</v>
      </c>
      <c r="B103" s="242">
        <v>0</v>
      </c>
      <c r="C103" s="242">
        <v>0</v>
      </c>
      <c r="D103" s="229"/>
      <c r="E103" s="229"/>
      <c r="F103" s="229"/>
      <c r="G103" s="229"/>
      <c r="H103" s="229"/>
      <c r="I103" s="229"/>
      <c r="J103" s="229"/>
      <c r="K103" s="229"/>
      <c r="L103" s="229"/>
      <c r="M103" s="229"/>
      <c r="N103" s="229"/>
      <c r="O103" s="229"/>
      <c r="P103" s="229"/>
      <c r="Q103" s="229"/>
      <c r="R103" s="229"/>
      <c r="S103" s="229"/>
    </row>
    <row r="104" spans="1:19" x14ac:dyDescent="0.25">
      <c r="A104" s="241" t="s">
        <v>604</v>
      </c>
      <c r="B104" s="242">
        <v>0</v>
      </c>
      <c r="C104" s="242">
        <v>0</v>
      </c>
      <c r="D104" s="229"/>
      <c r="E104" s="229"/>
      <c r="F104" s="229"/>
      <c r="G104" s="229"/>
      <c r="H104" s="229"/>
      <c r="I104" s="229"/>
      <c r="J104" s="229"/>
      <c r="K104" s="229"/>
      <c r="L104" s="229"/>
      <c r="M104" s="229"/>
      <c r="N104" s="229"/>
      <c r="O104" s="229"/>
      <c r="P104" s="229"/>
      <c r="Q104" s="229"/>
      <c r="R104" s="229"/>
      <c r="S104" s="229"/>
    </row>
    <row r="105" spans="1:19" x14ac:dyDescent="0.25">
      <c r="A105" s="241" t="s">
        <v>605</v>
      </c>
      <c r="B105" s="242">
        <v>0</v>
      </c>
      <c r="C105" s="242">
        <v>0</v>
      </c>
      <c r="D105" s="229"/>
      <c r="E105" s="229"/>
      <c r="F105" s="229"/>
      <c r="G105" s="229"/>
      <c r="H105" s="229"/>
      <c r="I105" s="229"/>
      <c r="J105" s="229"/>
      <c r="K105" s="229"/>
      <c r="L105" s="229"/>
      <c r="M105" s="229"/>
      <c r="N105" s="229"/>
      <c r="O105" s="229"/>
      <c r="P105" s="229"/>
      <c r="Q105" s="229"/>
      <c r="R105" s="229"/>
      <c r="S105" s="229"/>
    </row>
    <row r="106" spans="1:19" x14ac:dyDescent="0.25">
      <c r="A106" s="241" t="s">
        <v>606</v>
      </c>
      <c r="B106" s="242">
        <v>0</v>
      </c>
      <c r="C106" s="242">
        <v>0</v>
      </c>
      <c r="D106" s="229"/>
      <c r="E106" s="229"/>
      <c r="F106" s="229"/>
      <c r="G106" s="229"/>
      <c r="H106" s="229"/>
      <c r="I106" s="229"/>
      <c r="J106" s="229"/>
      <c r="K106" s="229"/>
      <c r="L106" s="229"/>
      <c r="M106" s="229"/>
      <c r="N106" s="229"/>
      <c r="O106" s="229"/>
      <c r="P106" s="229"/>
      <c r="Q106" s="229"/>
      <c r="R106" s="229"/>
      <c r="S106" s="229"/>
    </row>
    <row r="107" spans="1:19" x14ac:dyDescent="0.25">
      <c r="A107" s="241" t="s">
        <v>607</v>
      </c>
      <c r="B107" s="242">
        <v>0</v>
      </c>
      <c r="C107" s="242">
        <v>0</v>
      </c>
      <c r="D107" s="229"/>
      <c r="E107" s="229"/>
      <c r="F107" s="229"/>
      <c r="G107" s="229"/>
      <c r="H107" s="229"/>
      <c r="I107" s="229"/>
      <c r="J107" s="229"/>
      <c r="K107" s="229"/>
      <c r="L107" s="229"/>
      <c r="M107" s="229"/>
      <c r="N107" s="229"/>
      <c r="O107" s="229"/>
      <c r="P107" s="229"/>
      <c r="Q107" s="229"/>
      <c r="R107" s="229"/>
      <c r="S107" s="229"/>
    </row>
    <row r="108" spans="1:19" x14ac:dyDescent="0.25">
      <c r="A108" s="241" t="s">
        <v>609</v>
      </c>
      <c r="B108" s="242">
        <v>0</v>
      </c>
      <c r="C108" s="242">
        <v>0</v>
      </c>
      <c r="D108" s="229"/>
      <c r="E108" s="229"/>
      <c r="F108" s="229"/>
      <c r="G108" s="229"/>
      <c r="H108" s="229"/>
      <c r="I108" s="229"/>
      <c r="J108" s="229"/>
      <c r="K108" s="229"/>
      <c r="L108" s="229"/>
      <c r="M108" s="229"/>
      <c r="N108" s="229"/>
      <c r="O108" s="229"/>
      <c r="P108" s="229"/>
      <c r="Q108" s="229"/>
      <c r="R108" s="229"/>
      <c r="S108" s="229"/>
    </row>
    <row r="109" spans="1:19" x14ac:dyDescent="0.25">
      <c r="A109" s="241"/>
      <c r="B109" s="243"/>
      <c r="C109" s="243"/>
      <c r="D109" s="229"/>
      <c r="E109" s="229"/>
      <c r="F109" s="229"/>
      <c r="G109" s="229"/>
      <c r="H109" s="229"/>
      <c r="I109" s="229"/>
      <c r="J109" s="229"/>
      <c r="K109" s="229"/>
      <c r="L109" s="229"/>
      <c r="M109" s="229"/>
      <c r="N109" s="229"/>
      <c r="O109" s="229"/>
      <c r="P109" s="229"/>
      <c r="Q109" s="229"/>
      <c r="R109" s="229"/>
      <c r="S109" s="229"/>
    </row>
    <row r="110" spans="1:19" x14ac:dyDescent="0.25">
      <c r="A110" s="249" t="s">
        <v>616</v>
      </c>
      <c r="B110" s="243"/>
      <c r="C110" s="243"/>
      <c r="D110" s="229"/>
      <c r="E110" s="229"/>
      <c r="F110" s="229"/>
      <c r="G110" s="229"/>
      <c r="H110" s="229"/>
      <c r="I110" s="229"/>
      <c r="J110" s="229"/>
      <c r="K110" s="229"/>
      <c r="L110" s="229"/>
      <c r="M110" s="229"/>
      <c r="N110" s="229"/>
      <c r="O110" s="229"/>
      <c r="P110" s="229"/>
      <c r="Q110" s="229"/>
      <c r="R110" s="229"/>
      <c r="S110" s="229"/>
    </row>
    <row r="111" spans="1:19" x14ac:dyDescent="0.25">
      <c r="A111" s="248" t="s">
        <v>617</v>
      </c>
      <c r="B111" s="236" t="s">
        <v>565</v>
      </c>
      <c r="C111" s="236" t="s">
        <v>566</v>
      </c>
      <c r="D111" s="229"/>
      <c r="E111" s="229"/>
      <c r="F111" s="229"/>
      <c r="G111" s="229"/>
      <c r="H111" s="229"/>
      <c r="I111" s="229"/>
      <c r="J111" s="229"/>
      <c r="K111" s="229"/>
      <c r="L111" s="229"/>
      <c r="M111" s="229"/>
      <c r="N111" s="229"/>
      <c r="O111" s="229"/>
      <c r="P111" s="229"/>
      <c r="Q111" s="229"/>
      <c r="R111" s="229"/>
      <c r="S111" s="229"/>
    </row>
    <row r="112" spans="1:19" x14ac:dyDescent="0.25">
      <c r="A112" s="241" t="s">
        <v>592</v>
      </c>
      <c r="B112" s="242">
        <v>0</v>
      </c>
      <c r="C112" s="242">
        <v>0</v>
      </c>
      <c r="D112" s="229"/>
      <c r="E112" s="229"/>
      <c r="F112" s="229"/>
      <c r="G112" s="229"/>
      <c r="H112" s="229"/>
      <c r="I112" s="229"/>
      <c r="J112" s="229"/>
      <c r="K112" s="229"/>
      <c r="L112" s="229"/>
      <c r="M112" s="229"/>
      <c r="N112" s="229"/>
      <c r="O112" s="229"/>
      <c r="P112" s="229"/>
      <c r="Q112" s="229"/>
      <c r="R112" s="229"/>
      <c r="S112" s="229"/>
    </row>
    <row r="113" spans="1:19" x14ac:dyDescent="0.25">
      <c r="A113" s="241" t="s">
        <v>593</v>
      </c>
      <c r="B113" s="242">
        <v>0</v>
      </c>
      <c r="C113" s="242">
        <v>0</v>
      </c>
      <c r="D113" s="229"/>
      <c r="E113" s="229"/>
      <c r="F113" s="229"/>
      <c r="G113" s="229"/>
      <c r="H113" s="229"/>
      <c r="I113" s="229"/>
      <c r="J113" s="229"/>
      <c r="K113" s="229"/>
      <c r="L113" s="229"/>
      <c r="M113" s="229"/>
      <c r="N113" s="229"/>
      <c r="O113" s="229"/>
      <c r="P113" s="229"/>
      <c r="Q113" s="229"/>
      <c r="R113" s="229"/>
      <c r="S113" s="229"/>
    </row>
    <row r="114" spans="1:19" x14ac:dyDescent="0.25">
      <c r="A114" s="241" t="s">
        <v>595</v>
      </c>
      <c r="B114" s="242">
        <v>0</v>
      </c>
      <c r="C114" s="242">
        <v>0</v>
      </c>
      <c r="D114" s="229"/>
      <c r="E114" s="229"/>
      <c r="F114" s="229"/>
      <c r="G114" s="229"/>
      <c r="H114" s="229"/>
      <c r="I114" s="229"/>
      <c r="J114" s="229"/>
      <c r="K114" s="229"/>
      <c r="L114" s="229"/>
      <c r="M114" s="229"/>
      <c r="N114" s="229"/>
      <c r="O114" s="229"/>
      <c r="P114" s="229"/>
      <c r="Q114" s="229"/>
      <c r="R114" s="229"/>
      <c r="S114" s="229"/>
    </row>
    <row r="115" spans="1:19" x14ac:dyDescent="0.25">
      <c r="A115" s="241" t="s">
        <v>596</v>
      </c>
      <c r="B115" s="242">
        <v>0</v>
      </c>
      <c r="C115" s="242">
        <v>0</v>
      </c>
      <c r="D115" s="229"/>
      <c r="E115" s="229"/>
      <c r="F115" s="229"/>
      <c r="G115" s="229"/>
      <c r="H115" s="229"/>
      <c r="I115" s="229"/>
      <c r="J115" s="229"/>
      <c r="K115" s="229"/>
      <c r="L115" s="229"/>
      <c r="M115" s="229"/>
      <c r="N115" s="229"/>
      <c r="O115" s="229"/>
      <c r="P115" s="229"/>
      <c r="Q115" s="229"/>
      <c r="R115" s="229"/>
      <c r="S115" s="229"/>
    </row>
    <row r="116" spans="1:19" x14ac:dyDescent="0.25">
      <c r="A116" s="241" t="s">
        <v>598</v>
      </c>
      <c r="B116" s="242">
        <v>0</v>
      </c>
      <c r="C116" s="242">
        <v>0</v>
      </c>
      <c r="D116" s="229"/>
      <c r="E116" s="229"/>
      <c r="F116" s="229"/>
      <c r="G116" s="229"/>
      <c r="H116" s="229"/>
      <c r="I116" s="229"/>
      <c r="J116" s="229"/>
      <c r="K116" s="229"/>
      <c r="L116" s="229"/>
      <c r="M116" s="229"/>
      <c r="N116" s="229"/>
      <c r="O116" s="229"/>
      <c r="P116" s="229"/>
      <c r="Q116" s="229"/>
      <c r="R116" s="229"/>
      <c r="S116" s="229"/>
    </row>
    <row r="117" spans="1:19" x14ac:dyDescent="0.25">
      <c r="A117" s="241" t="s">
        <v>599</v>
      </c>
      <c r="B117" s="242">
        <v>0</v>
      </c>
      <c r="C117" s="242">
        <v>0</v>
      </c>
      <c r="D117" s="229"/>
      <c r="E117" s="229"/>
      <c r="F117" s="229"/>
      <c r="G117" s="229"/>
      <c r="H117" s="229"/>
      <c r="I117" s="229"/>
      <c r="J117" s="229"/>
      <c r="K117" s="229"/>
      <c r="L117" s="229"/>
      <c r="M117" s="229"/>
      <c r="N117" s="229"/>
      <c r="O117" s="229"/>
      <c r="P117" s="229"/>
      <c r="Q117" s="229"/>
      <c r="R117" s="229"/>
      <c r="S117" s="229"/>
    </row>
    <row r="118" spans="1:19" x14ac:dyDescent="0.25">
      <c r="A118" s="241" t="s">
        <v>601</v>
      </c>
      <c r="B118" s="242">
        <v>0</v>
      </c>
      <c r="C118" s="242">
        <v>0</v>
      </c>
      <c r="D118" s="229"/>
      <c r="E118" s="229"/>
      <c r="F118" s="229"/>
      <c r="G118" s="229"/>
      <c r="H118" s="229"/>
      <c r="I118" s="229"/>
      <c r="J118" s="229"/>
      <c r="K118" s="229"/>
      <c r="L118" s="229"/>
      <c r="M118" s="229"/>
      <c r="N118" s="229"/>
      <c r="O118" s="229"/>
      <c r="P118" s="229"/>
      <c r="Q118" s="229"/>
      <c r="R118" s="229"/>
      <c r="S118" s="229"/>
    </row>
    <row r="119" spans="1:19" x14ac:dyDescent="0.25">
      <c r="A119" s="241" t="s">
        <v>602</v>
      </c>
      <c r="B119" s="242">
        <v>0</v>
      </c>
      <c r="C119" s="242">
        <v>0</v>
      </c>
      <c r="D119" s="229"/>
      <c r="E119" s="229"/>
      <c r="F119" s="229"/>
      <c r="G119" s="229"/>
      <c r="H119" s="229"/>
      <c r="I119" s="229"/>
      <c r="J119" s="229"/>
      <c r="K119" s="229"/>
      <c r="L119" s="229"/>
      <c r="M119" s="229"/>
      <c r="N119" s="229"/>
      <c r="O119" s="229"/>
      <c r="P119" s="229"/>
      <c r="Q119" s="229"/>
      <c r="R119" s="229"/>
      <c r="S119" s="229"/>
    </row>
    <row r="120" spans="1:19" x14ac:dyDescent="0.25">
      <c r="A120" s="241" t="s">
        <v>603</v>
      </c>
      <c r="B120" s="242">
        <v>0</v>
      </c>
      <c r="C120" s="242">
        <v>0</v>
      </c>
      <c r="D120" s="229"/>
      <c r="E120" s="229"/>
      <c r="F120" s="229"/>
      <c r="G120" s="229"/>
      <c r="H120" s="229"/>
      <c r="I120" s="229"/>
      <c r="J120" s="229"/>
      <c r="K120" s="229"/>
      <c r="L120" s="229"/>
      <c r="M120" s="229"/>
      <c r="N120" s="229"/>
      <c r="O120" s="229"/>
      <c r="P120" s="229"/>
      <c r="Q120" s="229"/>
      <c r="R120" s="229"/>
      <c r="S120" s="229"/>
    </row>
    <row r="121" spans="1:19" x14ac:dyDescent="0.25">
      <c r="A121" s="241" t="s">
        <v>604</v>
      </c>
      <c r="B121" s="242">
        <v>0</v>
      </c>
      <c r="C121" s="242">
        <v>0</v>
      </c>
      <c r="D121" s="229"/>
      <c r="E121" s="229"/>
      <c r="F121" s="229"/>
      <c r="G121" s="229"/>
      <c r="H121" s="229"/>
      <c r="I121" s="229"/>
      <c r="J121" s="229"/>
      <c r="K121" s="229"/>
      <c r="L121" s="229"/>
      <c r="M121" s="229"/>
      <c r="N121" s="229"/>
      <c r="O121" s="229"/>
      <c r="P121" s="229"/>
      <c r="Q121" s="229"/>
      <c r="R121" s="229"/>
      <c r="S121" s="229"/>
    </row>
    <row r="122" spans="1:19" x14ac:dyDescent="0.25">
      <c r="A122" s="241" t="s">
        <v>605</v>
      </c>
      <c r="B122" s="242">
        <v>0</v>
      </c>
      <c r="C122" s="242">
        <v>0</v>
      </c>
      <c r="D122" s="229"/>
      <c r="E122" s="229"/>
      <c r="F122" s="229"/>
      <c r="G122" s="229"/>
      <c r="H122" s="229"/>
      <c r="I122" s="229"/>
      <c r="J122" s="229"/>
      <c r="K122" s="229"/>
      <c r="L122" s="229"/>
      <c r="M122" s="229"/>
      <c r="N122" s="229"/>
      <c r="O122" s="229"/>
      <c r="P122" s="229"/>
      <c r="Q122" s="229"/>
      <c r="R122" s="229"/>
      <c r="S122" s="229"/>
    </row>
    <row r="123" spans="1:19" x14ac:dyDescent="0.25">
      <c r="A123" s="241" t="s">
        <v>606</v>
      </c>
      <c r="B123" s="242">
        <v>0</v>
      </c>
      <c r="C123" s="242">
        <v>0</v>
      </c>
      <c r="D123" s="229"/>
      <c r="E123" s="229"/>
      <c r="F123" s="229"/>
      <c r="G123" s="229"/>
      <c r="H123" s="229"/>
      <c r="I123" s="229"/>
      <c r="J123" s="229"/>
      <c r="K123" s="229"/>
      <c r="L123" s="229"/>
      <c r="M123" s="229"/>
      <c r="N123" s="229"/>
      <c r="O123" s="229"/>
      <c r="P123" s="229"/>
      <c r="Q123" s="229"/>
      <c r="R123" s="229"/>
      <c r="S123" s="229"/>
    </row>
    <row r="124" spans="1:19" x14ac:dyDescent="0.25">
      <c r="A124" s="241" t="s">
        <v>607</v>
      </c>
      <c r="B124" s="242">
        <v>0</v>
      </c>
      <c r="C124" s="242">
        <v>0</v>
      </c>
      <c r="D124" s="229"/>
      <c r="E124" s="229"/>
      <c r="F124" s="229"/>
      <c r="G124" s="229"/>
      <c r="H124" s="229"/>
      <c r="I124" s="229"/>
      <c r="J124" s="229"/>
      <c r="K124" s="229"/>
      <c r="L124" s="229"/>
      <c r="M124" s="229"/>
      <c r="N124" s="229"/>
      <c r="O124" s="229"/>
      <c r="P124" s="229"/>
      <c r="Q124" s="229"/>
      <c r="R124" s="229"/>
      <c r="S124" s="229"/>
    </row>
    <row r="125" spans="1:19" x14ac:dyDescent="0.25">
      <c r="A125" s="241" t="s">
        <v>609</v>
      </c>
      <c r="B125" s="242">
        <v>0</v>
      </c>
      <c r="C125" s="242">
        <v>0</v>
      </c>
      <c r="D125" s="229"/>
      <c r="E125" s="229"/>
      <c r="F125" s="229"/>
      <c r="G125" s="229"/>
      <c r="H125" s="229"/>
      <c r="I125" s="229"/>
      <c r="J125" s="229"/>
      <c r="K125" s="229"/>
      <c r="L125" s="229"/>
      <c r="M125" s="229"/>
      <c r="N125" s="229"/>
      <c r="O125" s="229"/>
      <c r="P125" s="229"/>
      <c r="Q125" s="229"/>
      <c r="R125" s="229"/>
      <c r="S125" s="229"/>
    </row>
    <row r="126" spans="1:19" x14ac:dyDescent="0.25">
      <c r="A126" s="241"/>
      <c r="B126" s="243"/>
      <c r="C126" s="243"/>
      <c r="D126" s="229"/>
      <c r="E126" s="229"/>
      <c r="F126" s="229"/>
      <c r="G126" s="229"/>
      <c r="H126" s="229"/>
      <c r="I126" s="229"/>
      <c r="J126" s="229"/>
      <c r="K126" s="229"/>
      <c r="L126" s="229"/>
      <c r="M126" s="229"/>
      <c r="N126" s="229"/>
      <c r="O126" s="229"/>
      <c r="P126" s="229"/>
      <c r="Q126" s="229"/>
      <c r="R126" s="229"/>
      <c r="S126" s="229"/>
    </row>
    <row r="127" spans="1:19" x14ac:dyDescent="0.25">
      <c r="A127" s="249" t="s">
        <v>616</v>
      </c>
      <c r="B127" s="243"/>
      <c r="C127" s="243"/>
      <c r="D127" s="229"/>
      <c r="E127" s="229"/>
      <c r="F127" s="229"/>
      <c r="G127" s="229"/>
      <c r="H127" s="229"/>
      <c r="I127" s="229"/>
      <c r="J127" s="229"/>
      <c r="K127" s="229"/>
      <c r="L127" s="229"/>
      <c r="M127" s="229"/>
      <c r="N127" s="229"/>
      <c r="O127" s="229"/>
      <c r="P127" s="229"/>
      <c r="Q127" s="229"/>
      <c r="R127" s="229"/>
      <c r="S127" s="229"/>
    </row>
    <row r="128" spans="1:19" x14ac:dyDescent="0.25">
      <c r="A128" s="248" t="s">
        <v>618</v>
      </c>
      <c r="B128" s="236" t="s">
        <v>565</v>
      </c>
      <c r="C128" s="236" t="s">
        <v>566</v>
      </c>
      <c r="D128" s="229"/>
      <c r="E128" s="229"/>
      <c r="F128" s="229"/>
      <c r="G128" s="229"/>
      <c r="H128" s="229"/>
      <c r="I128" s="229"/>
      <c r="J128" s="229"/>
      <c r="K128" s="229"/>
      <c r="L128" s="229"/>
      <c r="M128" s="229"/>
      <c r="N128" s="229"/>
      <c r="O128" s="229"/>
      <c r="P128" s="229"/>
      <c r="Q128" s="229"/>
      <c r="R128" s="229"/>
      <c r="S128" s="229"/>
    </row>
    <row r="129" spans="1:19" x14ac:dyDescent="0.25">
      <c r="A129" s="241" t="s">
        <v>592</v>
      </c>
      <c r="B129" s="242">
        <v>0</v>
      </c>
      <c r="C129" s="242">
        <v>0</v>
      </c>
      <c r="D129" s="229"/>
      <c r="E129" s="229"/>
      <c r="F129" s="229"/>
      <c r="G129" s="229"/>
      <c r="H129" s="229"/>
      <c r="I129" s="229"/>
      <c r="J129" s="229"/>
      <c r="K129" s="229"/>
      <c r="L129" s="229"/>
      <c r="M129" s="229"/>
      <c r="N129" s="229"/>
      <c r="O129" s="229"/>
      <c r="P129" s="229"/>
      <c r="Q129" s="229"/>
      <c r="R129" s="229"/>
      <c r="S129" s="229"/>
    </row>
    <row r="130" spans="1:19" x14ac:dyDescent="0.25">
      <c r="A130" s="241" t="s">
        <v>593</v>
      </c>
      <c r="B130" s="242">
        <v>0</v>
      </c>
      <c r="C130" s="242">
        <v>0</v>
      </c>
      <c r="D130" s="229"/>
      <c r="E130" s="229"/>
      <c r="F130" s="229"/>
      <c r="G130" s="229"/>
      <c r="H130" s="229"/>
      <c r="I130" s="229"/>
      <c r="J130" s="229"/>
      <c r="K130" s="229"/>
      <c r="L130" s="229"/>
      <c r="M130" s="229"/>
      <c r="N130" s="229"/>
      <c r="O130" s="229"/>
      <c r="P130" s="229"/>
      <c r="Q130" s="229"/>
      <c r="R130" s="229"/>
      <c r="S130" s="229"/>
    </row>
    <row r="131" spans="1:19" x14ac:dyDescent="0.25">
      <c r="A131" s="241" t="s">
        <v>595</v>
      </c>
      <c r="B131" s="242">
        <v>0</v>
      </c>
      <c r="C131" s="242">
        <v>0</v>
      </c>
      <c r="D131" s="229"/>
      <c r="E131" s="229"/>
      <c r="F131" s="229"/>
      <c r="G131" s="229"/>
      <c r="H131" s="229"/>
      <c r="I131" s="229"/>
      <c r="J131" s="229"/>
      <c r="K131" s="229"/>
      <c r="L131" s="229"/>
      <c r="M131" s="229"/>
      <c r="N131" s="229"/>
      <c r="O131" s="229"/>
      <c r="P131" s="229"/>
      <c r="Q131" s="229"/>
      <c r="R131" s="229"/>
      <c r="S131" s="229"/>
    </row>
    <row r="132" spans="1:19" x14ac:dyDescent="0.25">
      <c r="A132" s="241" t="s">
        <v>596</v>
      </c>
      <c r="B132" s="242">
        <v>0</v>
      </c>
      <c r="C132" s="242">
        <v>0</v>
      </c>
      <c r="D132" s="229"/>
      <c r="E132" s="229"/>
      <c r="F132" s="229"/>
      <c r="G132" s="229"/>
      <c r="H132" s="229"/>
      <c r="I132" s="229"/>
      <c r="J132" s="229"/>
      <c r="K132" s="229"/>
      <c r="L132" s="229"/>
      <c r="M132" s="229"/>
      <c r="N132" s="229"/>
      <c r="O132" s="229"/>
      <c r="P132" s="229"/>
      <c r="Q132" s="229"/>
      <c r="R132" s="229"/>
      <c r="S132" s="229"/>
    </row>
    <row r="133" spans="1:19" x14ac:dyDescent="0.25">
      <c r="A133" s="241" t="s">
        <v>598</v>
      </c>
      <c r="B133" s="242">
        <v>0</v>
      </c>
      <c r="C133" s="242">
        <v>0</v>
      </c>
      <c r="D133" s="229"/>
      <c r="E133" s="229"/>
      <c r="F133" s="229"/>
      <c r="G133" s="229"/>
      <c r="H133" s="229"/>
      <c r="I133" s="229"/>
      <c r="J133" s="229"/>
      <c r="K133" s="229"/>
      <c r="L133" s="229"/>
      <c r="M133" s="229"/>
      <c r="N133" s="229"/>
      <c r="O133" s="229"/>
      <c r="P133" s="229"/>
      <c r="Q133" s="229"/>
      <c r="R133" s="229"/>
      <c r="S133" s="229"/>
    </row>
    <row r="134" spans="1:19" x14ac:dyDescent="0.25">
      <c r="A134" s="241" t="s">
        <v>599</v>
      </c>
      <c r="B134" s="242">
        <v>0</v>
      </c>
      <c r="C134" s="242">
        <v>0</v>
      </c>
      <c r="D134" s="229"/>
      <c r="E134" s="229"/>
      <c r="F134" s="229"/>
      <c r="G134" s="229"/>
      <c r="H134" s="229"/>
      <c r="I134" s="229"/>
      <c r="J134" s="229"/>
      <c r="K134" s="229"/>
      <c r="L134" s="229"/>
      <c r="M134" s="229"/>
      <c r="N134" s="229"/>
      <c r="O134" s="229"/>
      <c r="P134" s="229"/>
      <c r="Q134" s="229"/>
      <c r="R134" s="229"/>
      <c r="S134" s="229"/>
    </row>
    <row r="135" spans="1:19" x14ac:dyDescent="0.25">
      <c r="A135" s="241" t="s">
        <v>601</v>
      </c>
      <c r="B135" s="242">
        <v>0</v>
      </c>
      <c r="C135" s="242">
        <v>0</v>
      </c>
      <c r="D135" s="229"/>
      <c r="E135" s="229"/>
      <c r="F135" s="229"/>
      <c r="G135" s="229"/>
      <c r="H135" s="229"/>
      <c r="I135" s="229"/>
      <c r="J135" s="229"/>
      <c r="K135" s="229"/>
      <c r="L135" s="229"/>
      <c r="M135" s="229"/>
      <c r="N135" s="229"/>
      <c r="O135" s="229"/>
      <c r="P135" s="229"/>
      <c r="Q135" s="229"/>
      <c r="R135" s="229"/>
      <c r="S135" s="229"/>
    </row>
    <row r="136" spans="1:19" x14ac:dyDescent="0.25">
      <c r="A136" s="241" t="s">
        <v>602</v>
      </c>
      <c r="B136" s="242">
        <v>0</v>
      </c>
      <c r="C136" s="242">
        <v>0</v>
      </c>
      <c r="D136" s="229"/>
      <c r="E136" s="229"/>
      <c r="F136" s="229"/>
      <c r="G136" s="229"/>
      <c r="H136" s="229"/>
      <c r="I136" s="229"/>
      <c r="J136" s="229"/>
      <c r="K136" s="229"/>
      <c r="L136" s="229"/>
      <c r="M136" s="229"/>
      <c r="N136" s="229"/>
      <c r="O136" s="229"/>
      <c r="P136" s="229"/>
      <c r="Q136" s="229"/>
      <c r="R136" s="229"/>
      <c r="S136" s="229"/>
    </row>
    <row r="137" spans="1:19" x14ac:dyDescent="0.25">
      <c r="A137" s="241" t="s">
        <v>603</v>
      </c>
      <c r="B137" s="242">
        <v>0</v>
      </c>
      <c r="C137" s="242">
        <v>0</v>
      </c>
      <c r="D137" s="229"/>
      <c r="E137" s="229"/>
      <c r="F137" s="229"/>
      <c r="G137" s="229"/>
      <c r="H137" s="229"/>
      <c r="I137" s="229"/>
      <c r="J137" s="229"/>
      <c r="K137" s="229"/>
      <c r="L137" s="229"/>
      <c r="M137" s="229"/>
      <c r="N137" s="229"/>
      <c r="O137" s="229"/>
      <c r="P137" s="229"/>
      <c r="Q137" s="229"/>
      <c r="R137" s="229"/>
      <c r="S137" s="229"/>
    </row>
    <row r="138" spans="1:19" x14ac:dyDescent="0.25">
      <c r="A138" s="241" t="s">
        <v>604</v>
      </c>
      <c r="B138" s="242">
        <v>0</v>
      </c>
      <c r="C138" s="242">
        <v>0</v>
      </c>
      <c r="D138" s="229"/>
      <c r="E138" s="229"/>
      <c r="F138" s="229"/>
      <c r="G138" s="229"/>
      <c r="H138" s="229"/>
      <c r="I138" s="229"/>
      <c r="J138" s="229"/>
      <c r="K138" s="229"/>
      <c r="L138" s="229"/>
      <c r="M138" s="229"/>
      <c r="N138" s="229"/>
      <c r="O138" s="229"/>
      <c r="P138" s="229"/>
      <c r="Q138" s="229"/>
      <c r="R138" s="229"/>
      <c r="S138" s="229"/>
    </row>
    <row r="139" spans="1:19" x14ac:dyDescent="0.25">
      <c r="A139" s="241" t="s">
        <v>605</v>
      </c>
      <c r="B139" s="242">
        <v>0</v>
      </c>
      <c r="C139" s="242">
        <v>0</v>
      </c>
      <c r="D139" s="229"/>
      <c r="E139" s="229"/>
      <c r="F139" s="229"/>
      <c r="G139" s="229"/>
      <c r="H139" s="229"/>
      <c r="I139" s="229"/>
      <c r="J139" s="229"/>
      <c r="K139" s="229"/>
      <c r="L139" s="229"/>
      <c r="M139" s="229"/>
      <c r="N139" s="229"/>
      <c r="O139" s="229"/>
      <c r="P139" s="229"/>
      <c r="Q139" s="229"/>
      <c r="R139" s="229"/>
      <c r="S139" s="229"/>
    </row>
    <row r="140" spans="1:19" x14ac:dyDescent="0.25">
      <c r="A140" s="241" t="s">
        <v>606</v>
      </c>
      <c r="B140" s="242">
        <v>0</v>
      </c>
      <c r="C140" s="242">
        <v>0</v>
      </c>
      <c r="D140" s="229"/>
      <c r="E140" s="229"/>
      <c r="F140" s="229"/>
      <c r="G140" s="229"/>
      <c r="H140" s="229"/>
      <c r="I140" s="229"/>
      <c r="J140" s="229"/>
      <c r="K140" s="229"/>
      <c r="L140" s="229"/>
      <c r="M140" s="229"/>
      <c r="N140" s="229"/>
      <c r="O140" s="229"/>
      <c r="P140" s="229"/>
      <c r="Q140" s="229"/>
      <c r="R140" s="229"/>
      <c r="S140" s="229"/>
    </row>
    <row r="141" spans="1:19" x14ac:dyDescent="0.25">
      <c r="A141" s="241" t="s">
        <v>607</v>
      </c>
      <c r="B141" s="242">
        <v>0</v>
      </c>
      <c r="C141" s="242">
        <v>0</v>
      </c>
      <c r="D141" s="229"/>
      <c r="E141" s="229"/>
      <c r="F141" s="229"/>
      <c r="G141" s="229"/>
      <c r="H141" s="229"/>
      <c r="I141" s="229"/>
      <c r="J141" s="229"/>
      <c r="K141" s="229"/>
      <c r="L141" s="229"/>
      <c r="M141" s="229"/>
      <c r="N141" s="229"/>
      <c r="O141" s="229"/>
      <c r="P141" s="229"/>
      <c r="Q141" s="229"/>
      <c r="R141" s="229"/>
      <c r="S141" s="229"/>
    </row>
    <row r="142" spans="1:19" x14ac:dyDescent="0.25">
      <c r="A142" s="241" t="s">
        <v>609</v>
      </c>
      <c r="B142" s="242">
        <v>0</v>
      </c>
      <c r="C142" s="242">
        <v>0</v>
      </c>
      <c r="D142" s="229"/>
      <c r="E142" s="229"/>
      <c r="F142" s="229"/>
      <c r="G142" s="229"/>
      <c r="H142" s="229"/>
      <c r="I142" s="229"/>
      <c r="J142" s="229"/>
      <c r="K142" s="229"/>
      <c r="L142" s="229"/>
      <c r="M142" s="229"/>
      <c r="N142" s="229"/>
      <c r="O142" s="229"/>
      <c r="P142" s="229"/>
      <c r="Q142" s="229"/>
      <c r="R142" s="229"/>
      <c r="S142" s="229"/>
    </row>
    <row r="143" spans="1:19" x14ac:dyDescent="0.25">
      <c r="A143" s="229"/>
      <c r="B143" s="250"/>
      <c r="C143" s="250"/>
      <c r="D143" s="229"/>
      <c r="E143" s="229"/>
      <c r="F143" s="229"/>
      <c r="G143" s="229"/>
      <c r="H143" s="229"/>
      <c r="I143" s="229"/>
      <c r="J143" s="229"/>
      <c r="K143" s="229"/>
      <c r="L143" s="229"/>
      <c r="M143" s="229"/>
      <c r="N143" s="229"/>
      <c r="O143" s="229"/>
      <c r="P143" s="229"/>
      <c r="Q143" s="229"/>
      <c r="R143" s="229"/>
      <c r="S143" s="229"/>
    </row>
    <row r="144" spans="1:19" x14ac:dyDescent="0.25">
      <c r="A144" s="249" t="s">
        <v>616</v>
      </c>
      <c r="B144" s="250"/>
      <c r="C144" s="250"/>
      <c r="D144" s="229"/>
      <c r="E144" s="229"/>
      <c r="F144" s="229"/>
      <c r="G144" s="229"/>
      <c r="H144" s="229"/>
      <c r="I144" s="229"/>
      <c r="J144" s="229"/>
      <c r="K144" s="229"/>
      <c r="L144" s="229"/>
      <c r="M144" s="229"/>
      <c r="N144" s="229"/>
      <c r="O144" s="229"/>
      <c r="P144" s="229"/>
      <c r="Q144" s="229"/>
      <c r="R144" s="229"/>
      <c r="S144" s="229"/>
    </row>
    <row r="145" spans="1:19" x14ac:dyDescent="0.25">
      <c r="A145" s="248" t="s">
        <v>619</v>
      </c>
      <c r="B145" s="236" t="s">
        <v>565</v>
      </c>
      <c r="C145" s="236" t="s">
        <v>566</v>
      </c>
      <c r="D145" s="229"/>
      <c r="E145" s="229"/>
      <c r="F145" s="229"/>
      <c r="G145" s="229"/>
      <c r="H145" s="229"/>
      <c r="I145" s="229"/>
      <c r="J145" s="229"/>
      <c r="K145" s="229"/>
      <c r="L145" s="229"/>
      <c r="M145" s="229"/>
      <c r="N145" s="229"/>
      <c r="O145" s="229"/>
      <c r="P145" s="229"/>
      <c r="Q145" s="229"/>
      <c r="R145" s="229"/>
      <c r="S145" s="229"/>
    </row>
    <row r="146" spans="1:19" x14ac:dyDescent="0.25">
      <c r="A146" s="241" t="s">
        <v>592</v>
      </c>
      <c r="B146" s="242">
        <v>0</v>
      </c>
      <c r="C146" s="242">
        <v>0</v>
      </c>
      <c r="D146" s="229"/>
      <c r="E146" s="229"/>
      <c r="F146" s="229"/>
      <c r="G146" s="229"/>
      <c r="H146" s="229"/>
      <c r="I146" s="229"/>
      <c r="J146" s="229"/>
      <c r="K146" s="229"/>
      <c r="L146" s="229"/>
      <c r="M146" s="229"/>
      <c r="N146" s="229"/>
      <c r="O146" s="229"/>
      <c r="P146" s="229"/>
      <c r="Q146" s="229"/>
      <c r="R146" s="229"/>
      <c r="S146" s="229"/>
    </row>
    <row r="147" spans="1:19" x14ac:dyDescent="0.25">
      <c r="A147" s="241" t="s">
        <v>593</v>
      </c>
      <c r="B147" s="242">
        <v>0</v>
      </c>
      <c r="C147" s="242">
        <v>0</v>
      </c>
      <c r="D147" s="229"/>
      <c r="E147" s="229"/>
      <c r="F147" s="229"/>
      <c r="G147" s="229"/>
      <c r="H147" s="229"/>
      <c r="I147" s="229"/>
      <c r="J147" s="229"/>
      <c r="K147" s="229"/>
      <c r="L147" s="229"/>
      <c r="M147" s="229"/>
      <c r="N147" s="229"/>
      <c r="O147" s="229"/>
      <c r="P147" s="229"/>
      <c r="Q147" s="229"/>
      <c r="R147" s="229"/>
      <c r="S147" s="229"/>
    </row>
    <row r="148" spans="1:19" x14ac:dyDescent="0.25">
      <c r="A148" s="241" t="s">
        <v>595</v>
      </c>
      <c r="B148" s="242">
        <v>0</v>
      </c>
      <c r="C148" s="242">
        <v>0</v>
      </c>
      <c r="D148" s="229"/>
      <c r="E148" s="229"/>
      <c r="F148" s="229"/>
      <c r="G148" s="229"/>
      <c r="H148" s="229"/>
      <c r="I148" s="229"/>
      <c r="J148" s="229"/>
      <c r="K148" s="229"/>
      <c r="L148" s="229"/>
      <c r="M148" s="229"/>
      <c r="N148" s="229"/>
      <c r="O148" s="229"/>
      <c r="P148" s="229"/>
      <c r="Q148" s="229"/>
      <c r="R148" s="229"/>
      <c r="S148" s="229"/>
    </row>
    <row r="149" spans="1:19" x14ac:dyDescent="0.25">
      <c r="A149" s="241" t="s">
        <v>596</v>
      </c>
      <c r="B149" s="242">
        <v>0</v>
      </c>
      <c r="C149" s="242">
        <v>0</v>
      </c>
      <c r="D149" s="229"/>
      <c r="E149" s="229"/>
      <c r="F149" s="229"/>
      <c r="G149" s="229"/>
      <c r="H149" s="229"/>
      <c r="I149" s="229"/>
      <c r="J149" s="229"/>
      <c r="K149" s="229"/>
      <c r="L149" s="229"/>
      <c r="M149" s="229"/>
      <c r="N149" s="229"/>
      <c r="O149" s="229"/>
      <c r="P149" s="229"/>
      <c r="Q149" s="229"/>
      <c r="R149" s="229"/>
      <c r="S149" s="229"/>
    </row>
    <row r="150" spans="1:19" x14ac:dyDescent="0.25">
      <c r="A150" s="241" t="s">
        <v>598</v>
      </c>
      <c r="B150" s="242">
        <v>0</v>
      </c>
      <c r="C150" s="242">
        <v>0</v>
      </c>
      <c r="D150" s="229"/>
      <c r="E150" s="229"/>
      <c r="F150" s="229"/>
      <c r="G150" s="229"/>
      <c r="H150" s="229"/>
      <c r="I150" s="229"/>
      <c r="J150" s="229"/>
      <c r="K150" s="229"/>
      <c r="L150" s="229"/>
      <c r="M150" s="229"/>
      <c r="N150" s="229"/>
      <c r="O150" s="229"/>
      <c r="P150" s="229"/>
      <c r="Q150" s="229"/>
      <c r="R150" s="229"/>
      <c r="S150" s="229"/>
    </row>
    <row r="151" spans="1:19" x14ac:dyDescent="0.25">
      <c r="A151" s="241" t="s">
        <v>599</v>
      </c>
      <c r="B151" s="242">
        <v>0</v>
      </c>
      <c r="C151" s="242">
        <v>0</v>
      </c>
      <c r="D151" s="229"/>
      <c r="E151" s="229"/>
      <c r="F151" s="229"/>
      <c r="G151" s="229"/>
      <c r="H151" s="229"/>
      <c r="I151" s="229"/>
      <c r="J151" s="229"/>
      <c r="K151" s="229"/>
      <c r="L151" s="229"/>
      <c r="M151" s="229"/>
      <c r="N151" s="229"/>
      <c r="O151" s="229"/>
      <c r="P151" s="229"/>
      <c r="Q151" s="229"/>
      <c r="R151" s="229"/>
      <c r="S151" s="229"/>
    </row>
    <row r="152" spans="1:19" x14ac:dyDescent="0.25">
      <c r="A152" s="241" t="s">
        <v>601</v>
      </c>
      <c r="B152" s="242">
        <v>0</v>
      </c>
      <c r="C152" s="242">
        <v>0</v>
      </c>
      <c r="D152" s="229"/>
      <c r="E152" s="229"/>
      <c r="F152" s="229"/>
      <c r="G152" s="229"/>
      <c r="H152" s="229"/>
      <c r="I152" s="229"/>
      <c r="J152" s="229"/>
      <c r="K152" s="229"/>
      <c r="L152" s="229"/>
      <c r="M152" s="229"/>
      <c r="N152" s="229"/>
      <c r="O152" s="229"/>
      <c r="P152" s="229"/>
      <c r="Q152" s="229"/>
      <c r="R152" s="229"/>
      <c r="S152" s="229"/>
    </row>
    <row r="153" spans="1:19" x14ac:dyDescent="0.25">
      <c r="A153" s="241" t="s">
        <v>602</v>
      </c>
      <c r="B153" s="242">
        <v>0</v>
      </c>
      <c r="C153" s="242">
        <v>0</v>
      </c>
      <c r="D153" s="229"/>
      <c r="E153" s="229"/>
      <c r="F153" s="229"/>
      <c r="G153" s="229"/>
      <c r="H153" s="229"/>
      <c r="I153" s="229"/>
      <c r="J153" s="229"/>
      <c r="K153" s="229"/>
      <c r="L153" s="229"/>
      <c r="M153" s="229"/>
      <c r="N153" s="229"/>
      <c r="O153" s="229"/>
      <c r="P153" s="229"/>
      <c r="Q153" s="229"/>
      <c r="R153" s="229"/>
      <c r="S153" s="229"/>
    </row>
    <row r="154" spans="1:19" x14ac:dyDescent="0.25">
      <c r="A154" s="241" t="s">
        <v>603</v>
      </c>
      <c r="B154" s="242">
        <v>0</v>
      </c>
      <c r="C154" s="242">
        <v>0</v>
      </c>
      <c r="D154" s="229"/>
      <c r="E154" s="229"/>
      <c r="F154" s="229"/>
      <c r="G154" s="229"/>
      <c r="H154" s="229"/>
      <c r="I154" s="229"/>
      <c r="J154" s="229"/>
      <c r="K154" s="229"/>
      <c r="L154" s="229"/>
      <c r="M154" s="229"/>
      <c r="N154" s="229"/>
      <c r="O154" s="229"/>
      <c r="P154" s="229"/>
      <c r="Q154" s="229"/>
      <c r="R154" s="229"/>
      <c r="S154" s="229"/>
    </row>
    <row r="155" spans="1:19" x14ac:dyDescent="0.25">
      <c r="A155" s="241" t="s">
        <v>604</v>
      </c>
      <c r="B155" s="242">
        <v>0</v>
      </c>
      <c r="C155" s="242">
        <v>0</v>
      </c>
      <c r="D155" s="229"/>
      <c r="E155" s="229"/>
      <c r="F155" s="229"/>
      <c r="G155" s="229"/>
      <c r="H155" s="229"/>
      <c r="I155" s="229"/>
      <c r="J155" s="229"/>
      <c r="K155" s="229"/>
      <c r="L155" s="229"/>
      <c r="M155" s="229"/>
      <c r="N155" s="229"/>
      <c r="O155" s="229"/>
      <c r="P155" s="229"/>
      <c r="Q155" s="229"/>
      <c r="R155" s="229"/>
      <c r="S155" s="229"/>
    </row>
    <row r="156" spans="1:19" x14ac:dyDescent="0.25">
      <c r="A156" s="241" t="s">
        <v>605</v>
      </c>
      <c r="B156" s="242">
        <v>0</v>
      </c>
      <c r="C156" s="242">
        <v>0</v>
      </c>
      <c r="D156" s="229"/>
      <c r="E156" s="229"/>
      <c r="F156" s="229"/>
      <c r="G156" s="229"/>
      <c r="H156" s="229"/>
      <c r="I156" s="229"/>
      <c r="J156" s="229"/>
      <c r="K156" s="229"/>
      <c r="L156" s="229"/>
      <c r="M156" s="229"/>
      <c r="N156" s="229"/>
      <c r="O156" s="229"/>
      <c r="P156" s="229"/>
      <c r="Q156" s="229"/>
      <c r="R156" s="229"/>
      <c r="S156" s="229"/>
    </row>
    <row r="157" spans="1:19" x14ac:dyDescent="0.25">
      <c r="A157" s="241" t="s">
        <v>606</v>
      </c>
      <c r="B157" s="242">
        <v>0</v>
      </c>
      <c r="C157" s="242">
        <v>0</v>
      </c>
      <c r="D157" s="229"/>
      <c r="E157" s="229"/>
      <c r="F157" s="229"/>
      <c r="G157" s="229"/>
      <c r="H157" s="229"/>
      <c r="I157" s="229"/>
      <c r="J157" s="229"/>
      <c r="K157" s="229"/>
      <c r="L157" s="229"/>
      <c r="M157" s="229"/>
      <c r="N157" s="229"/>
      <c r="O157" s="229"/>
      <c r="P157" s="229"/>
      <c r="Q157" s="229"/>
      <c r="R157" s="229"/>
      <c r="S157" s="229"/>
    </row>
    <row r="158" spans="1:19" x14ac:dyDescent="0.25">
      <c r="A158" s="241" t="s">
        <v>607</v>
      </c>
      <c r="B158" s="242">
        <v>0</v>
      </c>
      <c r="C158" s="242">
        <v>0</v>
      </c>
      <c r="D158" s="229"/>
      <c r="E158" s="229"/>
      <c r="F158" s="229"/>
      <c r="G158" s="229"/>
      <c r="H158" s="229"/>
      <c r="I158" s="229"/>
      <c r="J158" s="229"/>
      <c r="K158" s="229"/>
      <c r="L158" s="229"/>
      <c r="M158" s="229"/>
      <c r="N158" s="229"/>
      <c r="O158" s="229"/>
      <c r="P158" s="229"/>
      <c r="Q158" s="229"/>
      <c r="R158" s="229"/>
      <c r="S158" s="229"/>
    </row>
    <row r="159" spans="1:19" x14ac:dyDescent="0.25">
      <c r="A159" s="241" t="s">
        <v>609</v>
      </c>
      <c r="B159" s="242">
        <v>0</v>
      </c>
      <c r="C159" s="242">
        <v>0</v>
      </c>
      <c r="D159" s="229"/>
      <c r="E159" s="229"/>
      <c r="F159" s="229"/>
      <c r="G159" s="229"/>
      <c r="H159" s="229"/>
      <c r="I159" s="229"/>
      <c r="J159" s="229"/>
      <c r="K159" s="229"/>
      <c r="L159" s="229"/>
      <c r="M159" s="229"/>
      <c r="N159" s="229"/>
      <c r="O159" s="229"/>
      <c r="P159" s="229"/>
      <c r="Q159" s="229"/>
      <c r="R159" s="229"/>
      <c r="S159" s="229"/>
    </row>
    <row r="160" spans="1:19" x14ac:dyDescent="0.25">
      <c r="A160" s="229"/>
      <c r="B160" s="229"/>
      <c r="C160" s="229"/>
      <c r="D160" s="229"/>
      <c r="E160" s="229"/>
      <c r="F160" s="229"/>
      <c r="G160" s="229"/>
      <c r="H160" s="229"/>
      <c r="I160" s="229"/>
      <c r="J160" s="229"/>
      <c r="K160" s="229"/>
      <c r="L160" s="229"/>
      <c r="M160" s="229"/>
      <c r="N160" s="229"/>
      <c r="O160" s="229"/>
      <c r="P160" s="229"/>
      <c r="Q160" s="229"/>
      <c r="R160" s="229"/>
      <c r="S160" s="229"/>
    </row>
    <row r="161" spans="1:19" x14ac:dyDescent="0.25">
      <c r="A161" s="249" t="s">
        <v>1405</v>
      </c>
      <c r="B161" s="243"/>
      <c r="C161" s="243"/>
      <c r="D161" s="229"/>
      <c r="E161" s="229"/>
      <c r="F161" s="229"/>
      <c r="G161" s="229"/>
      <c r="H161" s="229"/>
      <c r="I161" s="229"/>
      <c r="J161" s="229"/>
      <c r="K161" s="229"/>
      <c r="L161" s="229"/>
      <c r="M161" s="229"/>
      <c r="N161" s="229"/>
      <c r="O161" s="229"/>
      <c r="P161" s="229"/>
      <c r="Q161" s="229"/>
      <c r="R161" s="229"/>
      <c r="S161" s="229"/>
    </row>
    <row r="162" spans="1:19" x14ac:dyDescent="0.25">
      <c r="A162" s="248" t="s">
        <v>1417</v>
      </c>
      <c r="B162" s="236" t="s">
        <v>565</v>
      </c>
      <c r="C162" s="236" t="s">
        <v>566</v>
      </c>
      <c r="D162" s="229"/>
      <c r="E162" s="229"/>
      <c r="F162" s="229"/>
      <c r="G162" s="229"/>
      <c r="H162" s="229"/>
      <c r="I162" s="229"/>
      <c r="J162" s="229"/>
      <c r="K162" s="229"/>
      <c r="L162" s="229"/>
      <c r="M162" s="229"/>
      <c r="N162" s="229"/>
      <c r="O162" s="229"/>
      <c r="P162" s="229"/>
      <c r="Q162" s="229"/>
      <c r="R162" s="229"/>
      <c r="S162" s="229"/>
    </row>
    <row r="163" spans="1:19" x14ac:dyDescent="0.25">
      <c r="A163" s="241" t="s">
        <v>592</v>
      </c>
      <c r="B163" s="242">
        <v>0</v>
      </c>
      <c r="C163" s="242">
        <v>0</v>
      </c>
      <c r="D163" s="229"/>
      <c r="E163" s="229"/>
      <c r="F163" s="229"/>
      <c r="G163" s="229"/>
      <c r="H163" s="229"/>
      <c r="I163" s="229"/>
      <c r="J163" s="229"/>
      <c r="K163" s="229"/>
      <c r="L163" s="229"/>
      <c r="M163" s="229"/>
      <c r="N163" s="229"/>
      <c r="O163" s="229"/>
      <c r="P163" s="229"/>
      <c r="Q163" s="229"/>
      <c r="R163" s="229"/>
      <c r="S163" s="229"/>
    </row>
    <row r="164" spans="1:19" x14ac:dyDescent="0.25">
      <c r="A164" s="241" t="s">
        <v>593</v>
      </c>
      <c r="B164" s="242">
        <v>0</v>
      </c>
      <c r="C164" s="242">
        <v>0</v>
      </c>
      <c r="D164" s="229"/>
      <c r="E164" s="229"/>
      <c r="F164" s="229"/>
      <c r="G164" s="229"/>
      <c r="H164" s="229"/>
      <c r="I164" s="229"/>
      <c r="J164" s="229"/>
      <c r="K164" s="229"/>
      <c r="L164" s="229"/>
      <c r="M164" s="229"/>
      <c r="N164" s="229"/>
      <c r="O164" s="229"/>
      <c r="P164" s="229"/>
      <c r="Q164" s="229"/>
      <c r="R164" s="229"/>
      <c r="S164" s="229"/>
    </row>
    <row r="165" spans="1:19" x14ac:dyDescent="0.25">
      <c r="A165" s="241" t="s">
        <v>595</v>
      </c>
      <c r="B165" s="242">
        <v>0</v>
      </c>
      <c r="C165" s="242">
        <v>0</v>
      </c>
      <c r="D165" s="229"/>
      <c r="E165" s="229"/>
      <c r="F165" s="229"/>
      <c r="G165" s="229"/>
      <c r="H165" s="229"/>
      <c r="I165" s="229"/>
      <c r="J165" s="229"/>
      <c r="K165" s="229"/>
      <c r="L165" s="229"/>
      <c r="M165" s="229"/>
      <c r="N165" s="229"/>
      <c r="O165" s="229"/>
      <c r="P165" s="229"/>
      <c r="Q165" s="229"/>
      <c r="R165" s="229"/>
      <c r="S165" s="229"/>
    </row>
    <row r="166" spans="1:19" x14ac:dyDescent="0.25">
      <c r="A166" s="241" t="s">
        <v>596</v>
      </c>
      <c r="B166" s="242">
        <v>0</v>
      </c>
      <c r="C166" s="242">
        <v>0</v>
      </c>
      <c r="D166" s="229"/>
      <c r="E166" s="229"/>
      <c r="F166" s="229"/>
      <c r="G166" s="229"/>
      <c r="H166" s="229"/>
      <c r="I166" s="229"/>
      <c r="J166" s="229"/>
      <c r="K166" s="229"/>
      <c r="L166" s="229"/>
      <c r="M166" s="229"/>
      <c r="N166" s="229"/>
      <c r="O166" s="229"/>
      <c r="P166" s="229"/>
      <c r="Q166" s="229"/>
      <c r="R166" s="229"/>
      <c r="S166" s="229"/>
    </row>
    <row r="167" spans="1:19" x14ac:dyDescent="0.25">
      <c r="A167" s="241" t="s">
        <v>598</v>
      </c>
      <c r="B167" s="242">
        <v>0</v>
      </c>
      <c r="C167" s="242">
        <v>0</v>
      </c>
      <c r="D167" s="229"/>
      <c r="E167" s="229"/>
      <c r="F167" s="229"/>
      <c r="G167" s="229"/>
      <c r="H167" s="229"/>
      <c r="I167" s="229"/>
      <c r="J167" s="229"/>
      <c r="K167" s="229"/>
      <c r="L167" s="229"/>
      <c r="M167" s="229"/>
      <c r="N167" s="229"/>
      <c r="O167" s="229"/>
      <c r="P167" s="229"/>
      <c r="Q167" s="229"/>
      <c r="R167" s="229"/>
      <c r="S167" s="229"/>
    </row>
    <row r="168" spans="1:19" x14ac:dyDescent="0.25">
      <c r="A168" s="241" t="s">
        <v>599</v>
      </c>
      <c r="B168" s="242">
        <v>0</v>
      </c>
      <c r="C168" s="242">
        <v>0</v>
      </c>
      <c r="D168" s="229"/>
      <c r="E168" s="229"/>
      <c r="F168" s="229"/>
      <c r="G168" s="229"/>
      <c r="H168" s="229"/>
      <c r="I168" s="229"/>
      <c r="J168" s="229"/>
      <c r="K168" s="229"/>
      <c r="L168" s="229"/>
      <c r="M168" s="229"/>
      <c r="N168" s="229"/>
      <c r="O168" s="229"/>
      <c r="P168" s="229"/>
      <c r="Q168" s="229"/>
      <c r="R168" s="229"/>
      <c r="S168" s="229"/>
    </row>
    <row r="169" spans="1:19" x14ac:dyDescent="0.25">
      <c r="A169" s="241" t="s">
        <v>601</v>
      </c>
      <c r="B169" s="242">
        <v>0</v>
      </c>
      <c r="C169" s="242">
        <v>0</v>
      </c>
      <c r="D169" s="229"/>
      <c r="E169" s="229"/>
      <c r="F169" s="229"/>
      <c r="G169" s="229"/>
      <c r="H169" s="229"/>
      <c r="I169" s="229"/>
      <c r="J169" s="229"/>
      <c r="K169" s="229"/>
      <c r="L169" s="229"/>
      <c r="M169" s="229"/>
      <c r="N169" s="229"/>
      <c r="O169" s="229"/>
      <c r="P169" s="229"/>
      <c r="Q169" s="229"/>
      <c r="R169" s="229"/>
      <c r="S169" s="229"/>
    </row>
    <row r="170" spans="1:19" x14ac:dyDescent="0.25">
      <c r="A170" s="241" t="s">
        <v>602</v>
      </c>
      <c r="B170" s="242">
        <v>0</v>
      </c>
      <c r="C170" s="242">
        <v>0</v>
      </c>
      <c r="D170" s="229"/>
      <c r="E170" s="229"/>
      <c r="F170" s="229"/>
      <c r="G170" s="229"/>
      <c r="H170" s="229"/>
      <c r="I170" s="229"/>
      <c r="J170" s="229"/>
      <c r="K170" s="229"/>
      <c r="L170" s="229"/>
      <c r="M170" s="229"/>
      <c r="N170" s="229"/>
      <c r="O170" s="229"/>
      <c r="P170" s="229"/>
      <c r="Q170" s="229"/>
      <c r="R170" s="229"/>
      <c r="S170" s="229"/>
    </row>
    <row r="171" spans="1:19" x14ac:dyDescent="0.25">
      <c r="A171" s="241" t="s">
        <v>603</v>
      </c>
      <c r="B171" s="242">
        <v>0</v>
      </c>
      <c r="C171" s="242">
        <v>0</v>
      </c>
      <c r="D171" s="229"/>
      <c r="E171" s="229"/>
      <c r="F171" s="229"/>
      <c r="G171" s="229"/>
      <c r="H171" s="229"/>
      <c r="I171" s="229"/>
      <c r="J171" s="229"/>
      <c r="K171" s="229"/>
      <c r="L171" s="229"/>
      <c r="M171" s="229"/>
      <c r="N171" s="229"/>
      <c r="O171" s="229"/>
      <c r="P171" s="229"/>
      <c r="Q171" s="229"/>
      <c r="R171" s="229"/>
      <c r="S171" s="229"/>
    </row>
    <row r="172" spans="1:19" x14ac:dyDescent="0.25">
      <c r="A172" s="241" t="s">
        <v>604</v>
      </c>
      <c r="B172" s="242">
        <v>0</v>
      </c>
      <c r="C172" s="242">
        <v>0</v>
      </c>
      <c r="D172" s="229"/>
      <c r="E172" s="229"/>
      <c r="F172" s="229"/>
      <c r="G172" s="229"/>
      <c r="H172" s="229"/>
      <c r="I172" s="229"/>
      <c r="J172" s="229"/>
      <c r="K172" s="229"/>
      <c r="L172" s="229"/>
      <c r="M172" s="229"/>
      <c r="N172" s="229"/>
      <c r="O172" s="229"/>
      <c r="P172" s="229"/>
      <c r="Q172" s="229"/>
      <c r="R172" s="229"/>
      <c r="S172" s="229"/>
    </row>
    <row r="173" spans="1:19" x14ac:dyDescent="0.25">
      <c r="A173" s="241" t="s">
        <v>605</v>
      </c>
      <c r="B173" s="242">
        <v>0</v>
      </c>
      <c r="C173" s="242">
        <v>0</v>
      </c>
      <c r="D173" s="229"/>
      <c r="E173" s="229"/>
      <c r="F173" s="229"/>
      <c r="G173" s="229"/>
      <c r="H173" s="229"/>
      <c r="I173" s="229"/>
      <c r="J173" s="229"/>
      <c r="K173" s="229"/>
      <c r="L173" s="229"/>
      <c r="M173" s="229"/>
      <c r="N173" s="229"/>
      <c r="O173" s="229"/>
      <c r="P173" s="229"/>
      <c r="Q173" s="229"/>
      <c r="R173" s="229"/>
      <c r="S173" s="229"/>
    </row>
    <row r="174" spans="1:19" x14ac:dyDescent="0.25">
      <c r="A174" s="241" t="s">
        <v>606</v>
      </c>
      <c r="B174" s="242">
        <v>0</v>
      </c>
      <c r="C174" s="242">
        <v>0</v>
      </c>
      <c r="D174" s="229"/>
      <c r="E174" s="229"/>
      <c r="F174" s="229"/>
      <c r="G174" s="229"/>
      <c r="H174" s="229"/>
      <c r="I174" s="229"/>
      <c r="J174" s="229"/>
      <c r="K174" s="229"/>
      <c r="L174" s="229"/>
      <c r="M174" s="229"/>
      <c r="N174" s="229"/>
      <c r="O174" s="229"/>
      <c r="P174" s="229"/>
      <c r="Q174" s="229"/>
      <c r="R174" s="229"/>
      <c r="S174" s="229"/>
    </row>
    <row r="175" spans="1:19" x14ac:dyDescent="0.25">
      <c r="A175" s="241" t="s">
        <v>607</v>
      </c>
      <c r="B175" s="242">
        <v>0</v>
      </c>
      <c r="C175" s="242">
        <v>0</v>
      </c>
      <c r="D175" s="229"/>
      <c r="E175" s="229"/>
      <c r="F175" s="229"/>
      <c r="G175" s="229"/>
      <c r="H175" s="229"/>
      <c r="I175" s="229"/>
      <c r="J175" s="229"/>
      <c r="K175" s="229"/>
      <c r="L175" s="229"/>
      <c r="M175" s="229"/>
      <c r="N175" s="229"/>
      <c r="O175" s="229"/>
      <c r="P175" s="229"/>
      <c r="Q175" s="229"/>
      <c r="R175" s="229"/>
      <c r="S175" s="229"/>
    </row>
    <row r="176" spans="1:19" x14ac:dyDescent="0.25">
      <c r="A176" s="241" t="s">
        <v>609</v>
      </c>
      <c r="B176" s="242">
        <v>0</v>
      </c>
      <c r="C176" s="242">
        <v>0</v>
      </c>
      <c r="D176" s="229"/>
      <c r="E176" s="229"/>
      <c r="F176" s="229"/>
      <c r="G176" s="229"/>
      <c r="H176" s="229"/>
      <c r="I176" s="229"/>
      <c r="J176" s="229"/>
      <c r="K176" s="229"/>
      <c r="L176" s="229"/>
      <c r="M176" s="229"/>
      <c r="N176" s="229"/>
      <c r="O176" s="229"/>
      <c r="P176" s="229"/>
      <c r="Q176" s="229"/>
      <c r="R176" s="229"/>
      <c r="S176" s="229"/>
    </row>
    <row r="177" spans="1:19" x14ac:dyDescent="0.25">
      <c r="A177" s="241"/>
      <c r="B177" s="243"/>
      <c r="C177" s="243"/>
      <c r="D177" s="229"/>
      <c r="E177" s="229"/>
      <c r="F177" s="229"/>
      <c r="G177" s="229"/>
      <c r="H177" s="229"/>
      <c r="I177" s="229"/>
      <c r="J177" s="229"/>
      <c r="K177" s="229"/>
      <c r="L177" s="229"/>
      <c r="M177" s="229"/>
      <c r="N177" s="229"/>
      <c r="O177" s="229"/>
      <c r="P177" s="229"/>
      <c r="Q177" s="229"/>
      <c r="R177" s="229"/>
      <c r="S177" s="229"/>
    </row>
    <row r="178" spans="1:19" x14ac:dyDescent="0.25">
      <c r="A178" s="249" t="s">
        <v>1405</v>
      </c>
      <c r="B178" s="243"/>
      <c r="C178" s="243"/>
      <c r="D178" s="229"/>
      <c r="E178" s="229"/>
      <c r="F178" s="229"/>
      <c r="G178" s="229"/>
      <c r="H178" s="229"/>
      <c r="I178" s="229"/>
      <c r="J178" s="229"/>
      <c r="K178" s="229"/>
      <c r="L178" s="229"/>
      <c r="M178" s="229"/>
      <c r="N178" s="229"/>
      <c r="O178" s="229"/>
      <c r="P178" s="229"/>
      <c r="Q178" s="229"/>
      <c r="R178" s="229"/>
      <c r="S178" s="229"/>
    </row>
    <row r="179" spans="1:19" x14ac:dyDescent="0.25">
      <c r="A179" s="248" t="s">
        <v>1418</v>
      </c>
      <c r="B179" s="236" t="s">
        <v>565</v>
      </c>
      <c r="C179" s="236" t="s">
        <v>566</v>
      </c>
      <c r="D179" s="229"/>
      <c r="E179" s="229"/>
      <c r="F179" s="229"/>
      <c r="G179" s="229"/>
      <c r="H179" s="229"/>
      <c r="I179" s="229"/>
      <c r="J179" s="229"/>
      <c r="K179" s="229"/>
      <c r="L179" s="229"/>
      <c r="M179" s="229"/>
      <c r="N179" s="229"/>
      <c r="O179" s="229"/>
      <c r="P179" s="229"/>
      <c r="Q179" s="229"/>
      <c r="R179" s="229"/>
      <c r="S179" s="229"/>
    </row>
    <row r="180" spans="1:19" x14ac:dyDescent="0.25">
      <c r="A180" s="241" t="s">
        <v>592</v>
      </c>
      <c r="B180" s="242">
        <v>0</v>
      </c>
      <c r="C180" s="242">
        <v>0</v>
      </c>
      <c r="D180" s="229"/>
      <c r="E180" s="229"/>
      <c r="F180" s="229"/>
      <c r="G180" s="229"/>
      <c r="H180" s="229"/>
      <c r="I180" s="229"/>
      <c r="J180" s="229"/>
      <c r="K180" s="229"/>
      <c r="L180" s="229"/>
      <c r="M180" s="229"/>
      <c r="N180" s="229"/>
      <c r="O180" s="229"/>
      <c r="P180" s="229"/>
      <c r="Q180" s="229"/>
      <c r="R180" s="229"/>
      <c r="S180" s="229"/>
    </row>
    <row r="181" spans="1:19" x14ac:dyDescent="0.25">
      <c r="A181" s="241" t="s">
        <v>593</v>
      </c>
      <c r="B181" s="242">
        <v>0</v>
      </c>
      <c r="C181" s="242">
        <v>0</v>
      </c>
      <c r="D181" s="229"/>
      <c r="E181" s="229"/>
      <c r="F181" s="229"/>
      <c r="G181" s="229"/>
      <c r="H181" s="229"/>
      <c r="I181" s="229"/>
      <c r="J181" s="229"/>
      <c r="K181" s="229"/>
      <c r="L181" s="229"/>
      <c r="M181" s="229"/>
      <c r="N181" s="229"/>
      <c r="O181" s="229"/>
      <c r="P181" s="229"/>
      <c r="Q181" s="229"/>
      <c r="R181" s="229"/>
      <c r="S181" s="229"/>
    </row>
    <row r="182" spans="1:19" x14ac:dyDescent="0.25">
      <c r="A182" s="241" t="s">
        <v>595</v>
      </c>
      <c r="B182" s="242">
        <v>0</v>
      </c>
      <c r="C182" s="242">
        <v>0</v>
      </c>
      <c r="D182" s="229"/>
      <c r="E182" s="229"/>
      <c r="F182" s="229"/>
      <c r="G182" s="229"/>
      <c r="H182" s="229"/>
      <c r="I182" s="229"/>
      <c r="J182" s="229"/>
      <c r="K182" s="229"/>
      <c r="L182" s="229"/>
      <c r="M182" s="229"/>
      <c r="N182" s="229"/>
      <c r="O182" s="229"/>
      <c r="P182" s="229"/>
      <c r="Q182" s="229"/>
      <c r="R182" s="229"/>
      <c r="S182" s="229"/>
    </row>
    <row r="183" spans="1:19" x14ac:dyDescent="0.25">
      <c r="A183" s="241" t="s">
        <v>596</v>
      </c>
      <c r="B183" s="242">
        <v>0</v>
      </c>
      <c r="C183" s="242">
        <v>0</v>
      </c>
      <c r="D183" s="229"/>
      <c r="E183" s="229"/>
      <c r="F183" s="229"/>
      <c r="G183" s="229"/>
      <c r="H183" s="229"/>
      <c r="I183" s="229"/>
      <c r="J183" s="229"/>
      <c r="K183" s="229"/>
      <c r="L183" s="229"/>
      <c r="M183" s="229"/>
      <c r="N183" s="229"/>
      <c r="O183" s="229"/>
      <c r="P183" s="229"/>
      <c r="Q183" s="229"/>
      <c r="R183" s="229"/>
      <c r="S183" s="229"/>
    </row>
    <row r="184" spans="1:19" x14ac:dyDescent="0.25">
      <c r="A184" s="241" t="s">
        <v>598</v>
      </c>
      <c r="B184" s="242">
        <v>0</v>
      </c>
      <c r="C184" s="242">
        <v>0</v>
      </c>
      <c r="D184" s="229"/>
      <c r="E184" s="229"/>
      <c r="F184" s="229"/>
      <c r="G184" s="229"/>
      <c r="H184" s="229"/>
      <c r="I184" s="229"/>
      <c r="J184" s="229"/>
      <c r="K184" s="229"/>
      <c r="L184" s="229"/>
      <c r="M184" s="229"/>
      <c r="N184" s="229"/>
      <c r="O184" s="229"/>
      <c r="P184" s="229"/>
      <c r="Q184" s="229"/>
      <c r="R184" s="229"/>
      <c r="S184" s="229"/>
    </row>
    <row r="185" spans="1:19" x14ac:dyDescent="0.25">
      <c r="A185" s="241" t="s">
        <v>599</v>
      </c>
      <c r="B185" s="242">
        <v>0</v>
      </c>
      <c r="C185" s="242">
        <v>0</v>
      </c>
      <c r="D185" s="229"/>
      <c r="E185" s="229"/>
      <c r="F185" s="229"/>
      <c r="G185" s="229"/>
      <c r="H185" s="229"/>
      <c r="I185" s="229"/>
      <c r="J185" s="229"/>
      <c r="K185" s="229"/>
      <c r="L185" s="229"/>
      <c r="M185" s="229"/>
      <c r="N185" s="229"/>
      <c r="O185" s="229"/>
      <c r="P185" s="229"/>
      <c r="Q185" s="229"/>
      <c r="R185" s="229"/>
      <c r="S185" s="229"/>
    </row>
    <row r="186" spans="1:19" x14ac:dyDescent="0.25">
      <c r="A186" s="241" t="s">
        <v>601</v>
      </c>
      <c r="B186" s="242">
        <v>0</v>
      </c>
      <c r="C186" s="242">
        <v>0</v>
      </c>
      <c r="D186" s="229"/>
      <c r="E186" s="229"/>
      <c r="F186" s="229"/>
      <c r="G186" s="229"/>
      <c r="H186" s="229"/>
      <c r="I186" s="229"/>
      <c r="J186" s="229"/>
      <c r="K186" s="229"/>
      <c r="L186" s="229"/>
      <c r="M186" s="229"/>
      <c r="N186" s="229"/>
      <c r="O186" s="229"/>
      <c r="P186" s="229"/>
      <c r="Q186" s="229"/>
      <c r="R186" s="229"/>
      <c r="S186" s="229"/>
    </row>
    <row r="187" spans="1:19" x14ac:dyDescent="0.25">
      <c r="A187" s="241" t="s">
        <v>602</v>
      </c>
      <c r="B187" s="242">
        <v>0</v>
      </c>
      <c r="C187" s="242">
        <v>0</v>
      </c>
      <c r="D187" s="229"/>
      <c r="E187" s="229"/>
      <c r="F187" s="229"/>
      <c r="G187" s="229"/>
      <c r="H187" s="229"/>
      <c r="I187" s="229"/>
      <c r="J187" s="229"/>
      <c r="K187" s="229"/>
      <c r="L187" s="229"/>
      <c r="M187" s="229"/>
      <c r="N187" s="229"/>
      <c r="O187" s="229"/>
      <c r="P187" s="229"/>
      <c r="Q187" s="229"/>
      <c r="R187" s="229"/>
      <c r="S187" s="229"/>
    </row>
    <row r="188" spans="1:19" x14ac:dyDescent="0.25">
      <c r="A188" s="241" t="s">
        <v>603</v>
      </c>
      <c r="B188" s="242">
        <v>0</v>
      </c>
      <c r="C188" s="242">
        <v>0</v>
      </c>
      <c r="D188" s="229"/>
      <c r="E188" s="229"/>
      <c r="F188" s="229"/>
      <c r="G188" s="229"/>
      <c r="H188" s="229"/>
      <c r="I188" s="229"/>
      <c r="J188" s="229"/>
      <c r="K188" s="229"/>
      <c r="L188" s="229"/>
      <c r="M188" s="229"/>
      <c r="N188" s="229"/>
      <c r="O188" s="229"/>
      <c r="P188" s="229"/>
      <c r="Q188" s="229"/>
      <c r="R188" s="229"/>
      <c r="S188" s="229"/>
    </row>
    <row r="189" spans="1:19" x14ac:dyDescent="0.25">
      <c r="A189" s="241" t="s">
        <v>604</v>
      </c>
      <c r="B189" s="242">
        <v>0</v>
      </c>
      <c r="C189" s="242">
        <v>0</v>
      </c>
      <c r="D189" s="229"/>
      <c r="E189" s="229"/>
      <c r="F189" s="229"/>
      <c r="G189" s="229"/>
      <c r="H189" s="229"/>
      <c r="I189" s="229"/>
      <c r="J189" s="229"/>
      <c r="K189" s="229"/>
      <c r="L189" s="229"/>
      <c r="M189" s="229"/>
      <c r="N189" s="229"/>
      <c r="O189" s="229"/>
      <c r="P189" s="229"/>
      <c r="Q189" s="229"/>
      <c r="R189" s="229"/>
      <c r="S189" s="229"/>
    </row>
    <row r="190" spans="1:19" x14ac:dyDescent="0.25">
      <c r="A190" s="241" t="s">
        <v>605</v>
      </c>
      <c r="B190" s="242">
        <v>0</v>
      </c>
      <c r="C190" s="242">
        <v>0</v>
      </c>
      <c r="D190" s="229"/>
      <c r="E190" s="229"/>
      <c r="F190" s="229"/>
      <c r="G190" s="229"/>
      <c r="H190" s="229"/>
      <c r="I190" s="229"/>
      <c r="J190" s="229"/>
      <c r="K190" s="229"/>
      <c r="L190" s="229"/>
      <c r="M190" s="229"/>
      <c r="N190" s="229"/>
      <c r="O190" s="229"/>
      <c r="P190" s="229"/>
      <c r="Q190" s="229"/>
      <c r="R190" s="229"/>
      <c r="S190" s="229"/>
    </row>
    <row r="191" spans="1:19" x14ac:dyDescent="0.25">
      <c r="A191" s="241" t="s">
        <v>606</v>
      </c>
      <c r="B191" s="242">
        <v>0</v>
      </c>
      <c r="C191" s="242">
        <v>0</v>
      </c>
      <c r="D191" s="229"/>
      <c r="E191" s="229"/>
      <c r="F191" s="229"/>
      <c r="G191" s="229"/>
      <c r="H191" s="229"/>
      <c r="I191" s="229"/>
      <c r="J191" s="229"/>
      <c r="K191" s="229"/>
      <c r="L191" s="229"/>
      <c r="M191" s="229"/>
      <c r="N191" s="229"/>
      <c r="O191" s="229"/>
      <c r="P191" s="229"/>
      <c r="Q191" s="229"/>
      <c r="R191" s="229"/>
      <c r="S191" s="229"/>
    </row>
    <row r="192" spans="1:19" x14ac:dyDescent="0.25">
      <c r="A192" s="241" t="s">
        <v>607</v>
      </c>
      <c r="B192" s="242">
        <v>0</v>
      </c>
      <c r="C192" s="242">
        <v>0</v>
      </c>
      <c r="D192" s="229"/>
      <c r="E192" s="229"/>
      <c r="F192" s="229"/>
      <c r="G192" s="229"/>
      <c r="H192" s="229"/>
      <c r="I192" s="229"/>
      <c r="J192" s="229"/>
      <c r="K192" s="229"/>
      <c r="L192" s="229"/>
      <c r="M192" s="229"/>
      <c r="N192" s="229"/>
      <c r="O192" s="229"/>
      <c r="P192" s="229"/>
      <c r="Q192" s="229"/>
      <c r="R192" s="229"/>
      <c r="S192" s="229"/>
    </row>
    <row r="193" spans="1:19" x14ac:dyDescent="0.25">
      <c r="A193" s="241" t="s">
        <v>609</v>
      </c>
      <c r="B193" s="242">
        <v>0</v>
      </c>
      <c r="C193" s="242">
        <v>0</v>
      </c>
      <c r="D193" s="229"/>
      <c r="E193" s="229"/>
      <c r="F193" s="229"/>
      <c r="G193" s="229"/>
      <c r="H193" s="229"/>
      <c r="I193" s="229"/>
      <c r="J193" s="229"/>
      <c r="K193" s="229"/>
      <c r="L193" s="229"/>
      <c r="M193" s="229"/>
      <c r="N193" s="229"/>
      <c r="O193" s="229"/>
      <c r="P193" s="229"/>
      <c r="Q193" s="229"/>
      <c r="R193" s="229"/>
      <c r="S193" s="229"/>
    </row>
    <row r="194" spans="1:19" x14ac:dyDescent="0.25">
      <c r="A194" s="229"/>
      <c r="B194" s="250"/>
      <c r="C194" s="250"/>
      <c r="D194" s="229"/>
      <c r="E194" s="229"/>
      <c r="F194" s="229"/>
      <c r="G194" s="229"/>
      <c r="H194" s="229"/>
      <c r="I194" s="229"/>
      <c r="J194" s="229"/>
      <c r="K194" s="229"/>
      <c r="L194" s="229"/>
      <c r="M194" s="229"/>
      <c r="N194" s="229"/>
      <c r="O194" s="229"/>
      <c r="P194" s="229"/>
      <c r="Q194" s="229"/>
      <c r="R194" s="229"/>
      <c r="S194" s="229"/>
    </row>
    <row r="195" spans="1:19" x14ac:dyDescent="0.25">
      <c r="A195" s="249" t="s">
        <v>1405</v>
      </c>
      <c r="B195" s="250"/>
      <c r="C195" s="250"/>
      <c r="D195" s="229"/>
      <c r="E195" s="229"/>
      <c r="F195" s="229"/>
      <c r="G195" s="229"/>
      <c r="H195" s="229"/>
      <c r="I195" s="229"/>
      <c r="J195" s="229"/>
      <c r="K195" s="229"/>
      <c r="L195" s="229"/>
      <c r="M195" s="229"/>
      <c r="N195" s="229"/>
      <c r="O195" s="229"/>
      <c r="P195" s="229"/>
      <c r="Q195" s="229"/>
      <c r="R195" s="229"/>
      <c r="S195" s="229"/>
    </row>
    <row r="196" spans="1:19" x14ac:dyDescent="0.25">
      <c r="A196" s="248" t="s">
        <v>1419</v>
      </c>
      <c r="B196" s="236" t="s">
        <v>565</v>
      </c>
      <c r="C196" s="236" t="s">
        <v>566</v>
      </c>
      <c r="D196" s="229"/>
      <c r="E196" s="229"/>
      <c r="F196" s="229"/>
      <c r="G196" s="229"/>
      <c r="H196" s="229"/>
      <c r="I196" s="229"/>
      <c r="J196" s="229"/>
      <c r="K196" s="229"/>
      <c r="L196" s="229"/>
      <c r="M196" s="229"/>
      <c r="N196" s="229"/>
      <c r="O196" s="229"/>
      <c r="P196" s="229"/>
      <c r="Q196" s="229"/>
      <c r="R196" s="229"/>
      <c r="S196" s="229"/>
    </row>
    <row r="197" spans="1:19" x14ac:dyDescent="0.25">
      <c r="A197" s="241" t="s">
        <v>592</v>
      </c>
      <c r="B197" s="242">
        <v>0</v>
      </c>
      <c r="C197" s="242">
        <v>0</v>
      </c>
      <c r="D197" s="229"/>
      <c r="E197" s="229"/>
      <c r="F197" s="229"/>
      <c r="G197" s="229"/>
      <c r="H197" s="229"/>
      <c r="I197" s="229"/>
      <c r="J197" s="229"/>
      <c r="K197" s="229"/>
      <c r="L197" s="229"/>
      <c r="M197" s="229"/>
      <c r="N197" s="229"/>
      <c r="O197" s="229"/>
      <c r="P197" s="229"/>
      <c r="Q197" s="229"/>
      <c r="R197" s="229"/>
      <c r="S197" s="229"/>
    </row>
    <row r="198" spans="1:19" x14ac:dyDescent="0.25">
      <c r="A198" s="241" t="s">
        <v>593</v>
      </c>
      <c r="B198" s="242">
        <v>0</v>
      </c>
      <c r="C198" s="242">
        <v>0</v>
      </c>
      <c r="D198" s="229"/>
      <c r="E198" s="229"/>
      <c r="F198" s="229"/>
      <c r="G198" s="229"/>
      <c r="H198" s="229"/>
      <c r="I198" s="229"/>
      <c r="J198" s="229"/>
      <c r="K198" s="229"/>
      <c r="L198" s="229"/>
      <c r="M198" s="229"/>
      <c r="N198" s="229"/>
      <c r="O198" s="229"/>
      <c r="P198" s="229"/>
      <c r="Q198" s="229"/>
      <c r="R198" s="229"/>
      <c r="S198" s="229"/>
    </row>
    <row r="199" spans="1:19" x14ac:dyDescent="0.25">
      <c r="A199" s="241" t="s">
        <v>595</v>
      </c>
      <c r="B199" s="242">
        <v>0</v>
      </c>
      <c r="C199" s="242">
        <v>0</v>
      </c>
      <c r="D199" s="229"/>
      <c r="E199" s="229"/>
      <c r="F199" s="229"/>
      <c r="G199" s="229"/>
      <c r="H199" s="229"/>
      <c r="I199" s="229"/>
      <c r="J199" s="229"/>
      <c r="K199" s="229"/>
      <c r="L199" s="229"/>
      <c r="M199" s="229"/>
      <c r="N199" s="229"/>
      <c r="O199" s="229"/>
      <c r="P199" s="229"/>
      <c r="Q199" s="229"/>
      <c r="R199" s="229"/>
      <c r="S199" s="229"/>
    </row>
    <row r="200" spans="1:19" x14ac:dyDescent="0.25">
      <c r="A200" s="241" t="s">
        <v>596</v>
      </c>
      <c r="B200" s="242">
        <v>0</v>
      </c>
      <c r="C200" s="242">
        <v>0</v>
      </c>
      <c r="D200" s="229"/>
      <c r="E200" s="229"/>
      <c r="F200" s="229"/>
      <c r="G200" s="229"/>
      <c r="H200" s="229"/>
      <c r="I200" s="229"/>
      <c r="J200" s="229"/>
      <c r="K200" s="229"/>
      <c r="L200" s="229"/>
      <c r="M200" s="229"/>
      <c r="N200" s="229"/>
      <c r="O200" s="229"/>
      <c r="P200" s="229"/>
      <c r="Q200" s="229"/>
      <c r="R200" s="229"/>
      <c r="S200" s="229"/>
    </row>
    <row r="201" spans="1:19" x14ac:dyDescent="0.25">
      <c r="A201" s="241" t="s">
        <v>598</v>
      </c>
      <c r="B201" s="242">
        <v>0</v>
      </c>
      <c r="C201" s="242">
        <v>0</v>
      </c>
      <c r="D201" s="229"/>
      <c r="E201" s="229"/>
      <c r="F201" s="229"/>
      <c r="G201" s="229"/>
      <c r="H201" s="229"/>
      <c r="I201" s="229"/>
      <c r="J201" s="229"/>
      <c r="K201" s="229"/>
      <c r="L201" s="229"/>
      <c r="M201" s="229"/>
      <c r="N201" s="229"/>
      <c r="O201" s="229"/>
      <c r="P201" s="229"/>
      <c r="Q201" s="229"/>
      <c r="R201" s="229"/>
      <c r="S201" s="229"/>
    </row>
    <row r="202" spans="1:19" x14ac:dyDescent="0.25">
      <c r="A202" s="241" t="s">
        <v>599</v>
      </c>
      <c r="B202" s="242">
        <v>0</v>
      </c>
      <c r="C202" s="242">
        <v>0</v>
      </c>
      <c r="D202" s="229"/>
      <c r="E202" s="229"/>
      <c r="F202" s="229"/>
      <c r="G202" s="229"/>
      <c r="H202" s="229"/>
      <c r="I202" s="229"/>
      <c r="J202" s="229"/>
      <c r="K202" s="229"/>
      <c r="L202" s="229"/>
      <c r="M202" s="229"/>
      <c r="N202" s="229"/>
      <c r="O202" s="229"/>
      <c r="P202" s="229"/>
      <c r="Q202" s="229"/>
      <c r="R202" s="229"/>
      <c r="S202" s="229"/>
    </row>
    <row r="203" spans="1:19" x14ac:dyDescent="0.25">
      <c r="A203" s="241" t="s">
        <v>601</v>
      </c>
      <c r="B203" s="242">
        <v>0</v>
      </c>
      <c r="C203" s="242">
        <v>0</v>
      </c>
      <c r="D203" s="229"/>
      <c r="E203" s="229"/>
      <c r="F203" s="229"/>
      <c r="G203" s="229"/>
      <c r="H203" s="229"/>
      <c r="I203" s="229"/>
      <c r="J203" s="229"/>
      <c r="K203" s="229"/>
      <c r="L203" s="229"/>
      <c r="M203" s="229"/>
      <c r="N203" s="229"/>
      <c r="O203" s="229"/>
      <c r="P203" s="229"/>
      <c r="Q203" s="229"/>
      <c r="R203" s="229"/>
      <c r="S203" s="229"/>
    </row>
    <row r="204" spans="1:19" x14ac:dyDescent="0.25">
      <c r="A204" s="241" t="s">
        <v>602</v>
      </c>
      <c r="B204" s="242">
        <v>0</v>
      </c>
      <c r="C204" s="242">
        <v>0</v>
      </c>
      <c r="D204" s="229"/>
      <c r="E204" s="229"/>
      <c r="F204" s="229"/>
      <c r="G204" s="229"/>
      <c r="H204" s="229"/>
      <c r="I204" s="229"/>
      <c r="J204" s="229"/>
      <c r="K204" s="229"/>
      <c r="L204" s="229"/>
      <c r="M204" s="229"/>
      <c r="N204" s="229"/>
      <c r="O204" s="229"/>
      <c r="P204" s="229"/>
      <c r="Q204" s="229"/>
      <c r="R204" s="229"/>
      <c r="S204" s="229"/>
    </row>
    <row r="205" spans="1:19" x14ac:dyDescent="0.25">
      <c r="A205" s="241" t="s">
        <v>603</v>
      </c>
      <c r="B205" s="242">
        <v>0</v>
      </c>
      <c r="C205" s="242">
        <v>0</v>
      </c>
      <c r="D205" s="229"/>
      <c r="E205" s="229"/>
      <c r="F205" s="229"/>
      <c r="G205" s="229"/>
      <c r="H205" s="229"/>
      <c r="I205" s="229"/>
      <c r="J205" s="229"/>
      <c r="K205" s="229"/>
      <c r="L205" s="229"/>
      <c r="M205" s="229"/>
      <c r="N205" s="229"/>
      <c r="O205" s="229"/>
      <c r="P205" s="229"/>
      <c r="Q205" s="229"/>
      <c r="R205" s="229"/>
      <c r="S205" s="229"/>
    </row>
    <row r="206" spans="1:19" x14ac:dyDescent="0.25">
      <c r="A206" s="241" t="s">
        <v>604</v>
      </c>
      <c r="B206" s="242">
        <v>0</v>
      </c>
      <c r="C206" s="242">
        <v>0</v>
      </c>
      <c r="D206" s="229"/>
      <c r="E206" s="229"/>
      <c r="F206" s="229"/>
      <c r="G206" s="229"/>
      <c r="H206" s="229"/>
      <c r="I206" s="229"/>
      <c r="J206" s="229"/>
      <c r="K206" s="229"/>
      <c r="L206" s="229"/>
      <c r="M206" s="229"/>
      <c r="N206" s="229"/>
      <c r="O206" s="229"/>
      <c r="P206" s="229"/>
      <c r="Q206" s="229"/>
      <c r="R206" s="229"/>
      <c r="S206" s="229"/>
    </row>
    <row r="207" spans="1:19" x14ac:dyDescent="0.25">
      <c r="A207" s="241" t="s">
        <v>605</v>
      </c>
      <c r="B207" s="242">
        <v>0</v>
      </c>
      <c r="C207" s="242">
        <v>0</v>
      </c>
      <c r="D207" s="229"/>
      <c r="E207" s="229"/>
      <c r="F207" s="229"/>
      <c r="G207" s="229"/>
      <c r="H207" s="229"/>
      <c r="I207" s="229"/>
      <c r="J207" s="229"/>
      <c r="K207" s="229"/>
      <c r="L207" s="229"/>
      <c r="M207" s="229"/>
      <c r="N207" s="229"/>
      <c r="O207" s="229"/>
      <c r="P207" s="229"/>
      <c r="Q207" s="229"/>
      <c r="R207" s="229"/>
      <c r="S207" s="229"/>
    </row>
    <row r="208" spans="1:19" x14ac:dyDescent="0.25">
      <c r="A208" s="241" t="s">
        <v>606</v>
      </c>
      <c r="B208" s="242">
        <v>0</v>
      </c>
      <c r="C208" s="242">
        <v>0</v>
      </c>
      <c r="D208" s="229"/>
      <c r="E208" s="229"/>
      <c r="F208" s="229"/>
      <c r="G208" s="229"/>
      <c r="H208" s="229"/>
      <c r="I208" s="229"/>
      <c r="J208" s="229"/>
      <c r="K208" s="229"/>
      <c r="L208" s="229"/>
      <c r="M208" s="229"/>
      <c r="N208" s="229"/>
      <c r="O208" s="229"/>
      <c r="P208" s="229"/>
      <c r="Q208" s="229"/>
      <c r="R208" s="229"/>
      <c r="S208" s="229"/>
    </row>
    <row r="209" spans="1:19" x14ac:dyDescent="0.25">
      <c r="A209" s="241" t="s">
        <v>607</v>
      </c>
      <c r="B209" s="242">
        <v>0</v>
      </c>
      <c r="C209" s="242">
        <v>0</v>
      </c>
      <c r="D209" s="229"/>
      <c r="E209" s="229"/>
      <c r="F209" s="229"/>
      <c r="G209" s="229"/>
      <c r="H209" s="229"/>
      <c r="I209" s="229"/>
      <c r="J209" s="229"/>
      <c r="K209" s="229"/>
      <c r="L209" s="229"/>
      <c r="M209" s="229"/>
      <c r="N209" s="229"/>
      <c r="O209" s="229"/>
      <c r="P209" s="229"/>
      <c r="Q209" s="229"/>
      <c r="R209" s="229"/>
      <c r="S209" s="229"/>
    </row>
    <row r="210" spans="1:19" x14ac:dyDescent="0.25">
      <c r="A210" s="241" t="s">
        <v>609</v>
      </c>
      <c r="B210" s="242">
        <v>0</v>
      </c>
      <c r="C210" s="242">
        <v>0</v>
      </c>
      <c r="D210" s="229"/>
      <c r="E210" s="229"/>
      <c r="F210" s="229"/>
      <c r="G210" s="229"/>
      <c r="H210" s="229"/>
      <c r="I210" s="229"/>
      <c r="J210" s="229"/>
      <c r="K210" s="229"/>
      <c r="L210" s="229"/>
      <c r="M210" s="229"/>
      <c r="N210" s="229"/>
      <c r="O210" s="229"/>
      <c r="P210" s="229"/>
      <c r="Q210" s="229"/>
      <c r="R210" s="229"/>
      <c r="S210" s="229"/>
    </row>
    <row r="211" spans="1:19" x14ac:dyDescent="0.25">
      <c r="A211" s="229"/>
      <c r="B211" s="229"/>
      <c r="C211" s="229"/>
      <c r="D211" s="229"/>
      <c r="E211" s="229"/>
      <c r="F211" s="229"/>
      <c r="G211" s="229"/>
      <c r="H211" s="229"/>
      <c r="I211" s="229"/>
      <c r="J211" s="229"/>
      <c r="K211" s="229"/>
      <c r="L211" s="229"/>
      <c r="M211" s="229"/>
      <c r="N211" s="229"/>
      <c r="O211" s="229"/>
      <c r="P211" s="229"/>
      <c r="Q211" s="229"/>
      <c r="R211" s="229"/>
      <c r="S211" s="229"/>
    </row>
    <row r="212" spans="1:19" x14ac:dyDescent="0.25">
      <c r="A212" s="229"/>
      <c r="B212" s="229"/>
      <c r="C212" s="229"/>
      <c r="D212" s="229"/>
      <c r="E212" s="229"/>
      <c r="F212" s="229"/>
      <c r="G212" s="229"/>
      <c r="H212" s="229"/>
      <c r="I212" s="229"/>
      <c r="J212" s="229"/>
      <c r="K212" s="229"/>
      <c r="L212" s="229"/>
      <c r="M212" s="229"/>
      <c r="N212" s="229"/>
      <c r="O212" s="229"/>
      <c r="P212" s="229"/>
      <c r="Q212" s="229"/>
      <c r="R212" s="229"/>
      <c r="S212" s="229"/>
    </row>
    <row r="213" spans="1:19" x14ac:dyDescent="0.25">
      <c r="A213" s="229"/>
      <c r="B213" s="229"/>
      <c r="C213" s="229"/>
      <c r="D213" s="229"/>
      <c r="E213" s="229"/>
      <c r="F213" s="229"/>
      <c r="G213" s="229"/>
      <c r="H213" s="229"/>
      <c r="I213" s="229"/>
      <c r="J213" s="229"/>
      <c r="K213" s="229"/>
      <c r="L213" s="229"/>
      <c r="M213" s="229"/>
      <c r="N213" s="229"/>
      <c r="O213" s="229"/>
      <c r="P213" s="229"/>
      <c r="Q213" s="229"/>
      <c r="R213" s="229"/>
      <c r="S213" s="229"/>
    </row>
    <row r="214" spans="1:19" x14ac:dyDescent="0.25">
      <c r="A214" s="229"/>
      <c r="B214" s="229"/>
      <c r="C214" s="229"/>
      <c r="D214" s="229"/>
      <c r="E214" s="229"/>
      <c r="F214" s="229"/>
      <c r="G214" s="229"/>
      <c r="H214" s="229"/>
      <c r="I214" s="229"/>
      <c r="J214" s="229"/>
      <c r="K214" s="229"/>
      <c r="L214" s="229"/>
      <c r="M214" s="229"/>
      <c r="N214" s="229"/>
      <c r="O214" s="229"/>
      <c r="P214" s="229"/>
      <c r="Q214" s="229"/>
      <c r="R214" s="229"/>
      <c r="S214" s="229"/>
    </row>
    <row r="215" spans="1:19" x14ac:dyDescent="0.25">
      <c r="A215" s="229"/>
      <c r="B215" s="229"/>
      <c r="C215" s="229"/>
      <c r="D215" s="229"/>
      <c r="E215" s="229"/>
      <c r="F215" s="229"/>
      <c r="G215" s="229"/>
      <c r="H215" s="229"/>
      <c r="I215" s="229"/>
      <c r="J215" s="229"/>
      <c r="K215" s="229"/>
      <c r="L215" s="229"/>
      <c r="M215" s="229"/>
      <c r="N215" s="229"/>
      <c r="O215" s="229"/>
      <c r="P215" s="229"/>
      <c r="Q215" s="229"/>
      <c r="R215" s="229"/>
      <c r="S215" s="229"/>
    </row>
    <row r="216" spans="1:19" x14ac:dyDescent="0.25">
      <c r="A216" s="229"/>
      <c r="B216" s="229"/>
      <c r="C216" s="229"/>
      <c r="D216" s="229"/>
      <c r="E216" s="229"/>
      <c r="F216" s="229"/>
      <c r="G216" s="229"/>
      <c r="H216" s="229"/>
      <c r="I216" s="229"/>
      <c r="J216" s="229"/>
      <c r="K216" s="229"/>
      <c r="L216" s="229"/>
      <c r="M216" s="229"/>
      <c r="N216" s="229"/>
      <c r="O216" s="229"/>
      <c r="P216" s="229"/>
      <c r="Q216" s="229"/>
      <c r="R216" s="229"/>
      <c r="S216" s="229"/>
    </row>
    <row r="217" spans="1:19" x14ac:dyDescent="0.25">
      <c r="A217" s="229"/>
      <c r="B217" s="229"/>
      <c r="C217" s="229"/>
      <c r="D217" s="229"/>
      <c r="E217" s="229"/>
      <c r="F217" s="229"/>
      <c r="G217" s="229"/>
      <c r="H217" s="229"/>
      <c r="I217" s="229"/>
      <c r="J217" s="229"/>
      <c r="K217" s="229"/>
      <c r="L217" s="229"/>
      <c r="M217" s="229"/>
      <c r="N217" s="229"/>
      <c r="O217" s="229"/>
      <c r="P217" s="229"/>
      <c r="Q217" s="229"/>
      <c r="R217" s="229"/>
      <c r="S217" s="229"/>
    </row>
    <row r="218" spans="1:19" x14ac:dyDescent="0.25">
      <c r="A218" s="229"/>
      <c r="B218" s="229"/>
      <c r="C218" s="229"/>
      <c r="D218" s="229"/>
      <c r="E218" s="229"/>
      <c r="F218" s="229"/>
      <c r="G218" s="229"/>
      <c r="H218" s="229"/>
      <c r="I218" s="229"/>
      <c r="J218" s="229"/>
      <c r="K218" s="229"/>
      <c r="L218" s="229"/>
      <c r="M218" s="229"/>
      <c r="N218" s="229"/>
      <c r="O218" s="229"/>
      <c r="P218" s="229"/>
      <c r="Q218" s="229"/>
      <c r="R218" s="229"/>
      <c r="S218" s="229"/>
    </row>
    <row r="219" spans="1:19" x14ac:dyDescent="0.25">
      <c r="A219" s="229"/>
      <c r="B219" s="229"/>
      <c r="C219" s="229"/>
      <c r="D219" s="229"/>
      <c r="E219" s="229"/>
      <c r="F219" s="229"/>
      <c r="G219" s="229"/>
      <c r="H219" s="229"/>
      <c r="I219" s="229"/>
      <c r="J219" s="229"/>
      <c r="K219" s="229"/>
      <c r="L219" s="229"/>
      <c r="M219" s="229"/>
      <c r="N219" s="229"/>
      <c r="O219" s="229"/>
      <c r="P219" s="229"/>
      <c r="Q219" s="229"/>
      <c r="R219" s="229"/>
      <c r="S219" s="229"/>
    </row>
    <row r="220" spans="1:19" x14ac:dyDescent="0.25">
      <c r="A220" s="229"/>
      <c r="B220" s="229"/>
      <c r="C220" s="229"/>
      <c r="D220" s="229"/>
      <c r="E220" s="229"/>
      <c r="F220" s="229"/>
      <c r="G220" s="229"/>
      <c r="H220" s="229"/>
      <c r="I220" s="229"/>
      <c r="J220" s="229"/>
      <c r="K220" s="229"/>
      <c r="L220" s="229"/>
      <c r="M220" s="229"/>
      <c r="N220" s="229"/>
      <c r="O220" s="229"/>
      <c r="P220" s="229"/>
      <c r="Q220" s="229"/>
      <c r="R220" s="229"/>
      <c r="S220" s="229"/>
    </row>
    <row r="221" spans="1:19" x14ac:dyDescent="0.25">
      <c r="A221" s="229"/>
      <c r="B221" s="229"/>
      <c r="C221" s="229"/>
      <c r="D221" s="229"/>
      <c r="E221" s="229"/>
      <c r="F221" s="229"/>
      <c r="G221" s="229"/>
      <c r="H221" s="229"/>
      <c r="I221" s="229"/>
      <c r="J221" s="229"/>
      <c r="K221" s="229"/>
      <c r="L221" s="229"/>
      <c r="M221" s="229"/>
      <c r="N221" s="229"/>
      <c r="O221" s="229"/>
      <c r="P221" s="229"/>
      <c r="Q221" s="229"/>
      <c r="R221" s="229"/>
      <c r="S221" s="229"/>
    </row>
    <row r="222" spans="1:19" x14ac:dyDescent="0.25">
      <c r="A222" s="229"/>
      <c r="B222" s="229"/>
      <c r="C222" s="229"/>
      <c r="D222" s="229"/>
      <c r="E222" s="229"/>
      <c r="F222" s="229"/>
      <c r="G222" s="229"/>
      <c r="H222" s="229"/>
      <c r="I222" s="229"/>
      <c r="J222" s="229"/>
      <c r="K222" s="229"/>
      <c r="L222" s="229"/>
      <c r="M222" s="229"/>
      <c r="N222" s="229"/>
      <c r="O222" s="229"/>
      <c r="P222" s="229"/>
      <c r="Q222" s="229"/>
      <c r="R222" s="229"/>
      <c r="S222" s="229"/>
    </row>
    <row r="223" spans="1:19" x14ac:dyDescent="0.25">
      <c r="A223" s="229"/>
      <c r="B223" s="229"/>
      <c r="C223" s="229"/>
      <c r="D223" s="229"/>
      <c r="E223" s="229"/>
      <c r="F223" s="229"/>
      <c r="G223" s="229"/>
      <c r="H223" s="229"/>
      <c r="I223" s="229"/>
      <c r="J223" s="229"/>
      <c r="K223" s="229"/>
      <c r="L223" s="229"/>
      <c r="M223" s="229"/>
      <c r="N223" s="229"/>
      <c r="O223" s="229"/>
      <c r="P223" s="229"/>
      <c r="Q223" s="229"/>
      <c r="R223" s="229"/>
      <c r="S223" s="229"/>
    </row>
    <row r="224" spans="1:19" x14ac:dyDescent="0.25">
      <c r="A224" s="229"/>
      <c r="B224" s="229"/>
      <c r="C224" s="229"/>
      <c r="D224" s="229"/>
      <c r="E224" s="229"/>
      <c r="F224" s="229"/>
      <c r="G224" s="229"/>
      <c r="H224" s="229"/>
      <c r="I224" s="229"/>
      <c r="J224" s="229"/>
      <c r="K224" s="229"/>
      <c r="L224" s="229"/>
      <c r="M224" s="229"/>
      <c r="N224" s="229"/>
      <c r="O224" s="229"/>
      <c r="P224" s="229"/>
      <c r="Q224" s="229"/>
      <c r="R224" s="229"/>
      <c r="S224" s="229"/>
    </row>
    <row r="225" spans="1:19" x14ac:dyDescent="0.25">
      <c r="A225" s="229"/>
      <c r="B225" s="229"/>
      <c r="C225" s="229"/>
      <c r="D225" s="229"/>
      <c r="E225" s="229"/>
      <c r="F225" s="229"/>
      <c r="G225" s="229"/>
      <c r="H225" s="229"/>
      <c r="I225" s="229"/>
      <c r="J225" s="229"/>
      <c r="K225" s="229"/>
      <c r="L225" s="229"/>
      <c r="M225" s="229"/>
      <c r="N225" s="229"/>
      <c r="O225" s="229"/>
      <c r="P225" s="229"/>
      <c r="Q225" s="229"/>
      <c r="R225" s="229"/>
      <c r="S225" s="229"/>
    </row>
    <row r="226" spans="1:19" x14ac:dyDescent="0.25">
      <c r="A226" s="229"/>
      <c r="B226" s="229"/>
      <c r="C226" s="229"/>
      <c r="D226" s="229"/>
      <c r="E226" s="229"/>
      <c r="F226" s="229"/>
      <c r="G226" s="229"/>
      <c r="H226" s="229"/>
      <c r="I226" s="229"/>
      <c r="J226" s="229"/>
      <c r="K226" s="229"/>
      <c r="L226" s="229"/>
      <c r="M226" s="229"/>
      <c r="N226" s="229"/>
      <c r="O226" s="229"/>
      <c r="P226" s="229"/>
      <c r="Q226" s="229"/>
      <c r="R226" s="229"/>
      <c r="S226" s="229"/>
    </row>
    <row r="227" spans="1:19" x14ac:dyDescent="0.25">
      <c r="A227" s="229"/>
      <c r="B227" s="229"/>
      <c r="C227" s="229"/>
      <c r="D227" s="229"/>
      <c r="E227" s="229"/>
      <c r="F227" s="229"/>
      <c r="G227" s="229"/>
      <c r="H227" s="229"/>
      <c r="I227" s="229"/>
      <c r="J227" s="229"/>
      <c r="K227" s="229"/>
      <c r="L227" s="229"/>
      <c r="M227" s="229"/>
      <c r="N227" s="229"/>
      <c r="O227" s="229"/>
      <c r="P227" s="229"/>
      <c r="Q227" s="229"/>
      <c r="R227" s="229"/>
      <c r="S227" s="229"/>
    </row>
    <row r="228" spans="1:19" x14ac:dyDescent="0.25">
      <c r="A228" s="229"/>
      <c r="B228" s="229"/>
      <c r="C228" s="229"/>
      <c r="D228" s="229"/>
      <c r="E228" s="229"/>
      <c r="F228" s="229"/>
      <c r="G228" s="229"/>
      <c r="H228" s="229"/>
      <c r="I228" s="229"/>
      <c r="J228" s="229"/>
      <c r="K228" s="229"/>
      <c r="L228" s="229"/>
      <c r="M228" s="229"/>
      <c r="N228" s="229"/>
      <c r="O228" s="229"/>
      <c r="P228" s="229"/>
      <c r="Q228" s="229"/>
      <c r="R228" s="229"/>
      <c r="S228" s="229"/>
    </row>
    <row r="229" spans="1:19" x14ac:dyDescent="0.25">
      <c r="A229" s="229"/>
      <c r="B229" s="229"/>
      <c r="C229" s="229"/>
      <c r="D229" s="229"/>
      <c r="E229" s="229"/>
      <c r="F229" s="229"/>
      <c r="G229" s="229"/>
      <c r="H229" s="229"/>
      <c r="I229" s="229"/>
      <c r="J229" s="229"/>
      <c r="K229" s="229"/>
      <c r="L229" s="229"/>
      <c r="M229" s="229"/>
      <c r="N229" s="229"/>
      <c r="O229" s="229"/>
      <c r="P229" s="229"/>
      <c r="Q229" s="229"/>
      <c r="R229" s="229"/>
      <c r="S229" s="229"/>
    </row>
    <row r="230" spans="1:19" x14ac:dyDescent="0.25">
      <c r="A230" s="229"/>
      <c r="B230" s="229"/>
      <c r="C230" s="229"/>
      <c r="D230" s="229"/>
      <c r="E230" s="229"/>
      <c r="F230" s="229"/>
      <c r="G230" s="229"/>
      <c r="H230" s="229"/>
      <c r="I230" s="229"/>
      <c r="J230" s="229"/>
      <c r="K230" s="229"/>
      <c r="L230" s="229"/>
      <c r="M230" s="229"/>
      <c r="N230" s="229"/>
      <c r="O230" s="229"/>
      <c r="P230" s="229"/>
      <c r="Q230" s="229"/>
      <c r="R230" s="229"/>
      <c r="S230" s="229"/>
    </row>
    <row r="231" spans="1:19" x14ac:dyDescent="0.25">
      <c r="A231" s="229"/>
      <c r="B231" s="229"/>
      <c r="C231" s="229"/>
      <c r="D231" s="229"/>
      <c r="E231" s="229"/>
      <c r="F231" s="229"/>
      <c r="G231" s="229"/>
      <c r="H231" s="229"/>
      <c r="I231" s="229"/>
      <c r="J231" s="229"/>
      <c r="K231" s="229"/>
      <c r="L231" s="229"/>
      <c r="M231" s="229"/>
      <c r="N231" s="229"/>
      <c r="O231" s="229"/>
      <c r="P231" s="229"/>
      <c r="Q231" s="229"/>
      <c r="R231" s="229"/>
      <c r="S231" s="229"/>
    </row>
    <row r="232" spans="1:19" x14ac:dyDescent="0.25">
      <c r="A232" s="229"/>
      <c r="B232" s="229"/>
      <c r="C232" s="229"/>
      <c r="D232" s="229"/>
      <c r="E232" s="229"/>
      <c r="F232" s="229"/>
      <c r="G232" s="229"/>
      <c r="H232" s="229"/>
      <c r="I232" s="229"/>
      <c r="J232" s="229"/>
      <c r="K232" s="229"/>
      <c r="L232" s="229"/>
      <c r="M232" s="229"/>
      <c r="N232" s="229"/>
      <c r="O232" s="229"/>
      <c r="P232" s="229"/>
      <c r="Q232" s="229"/>
      <c r="R232" s="229"/>
      <c r="S232" s="229"/>
    </row>
    <row r="233" spans="1:19" x14ac:dyDescent="0.25">
      <c r="A233" s="229"/>
      <c r="B233" s="229"/>
      <c r="C233" s="229"/>
      <c r="D233" s="229"/>
      <c r="E233" s="229"/>
      <c r="F233" s="229"/>
      <c r="G233" s="229"/>
      <c r="H233" s="229"/>
      <c r="I233" s="229"/>
      <c r="J233" s="229"/>
      <c r="K233" s="229"/>
      <c r="L233" s="229"/>
      <c r="M233" s="229"/>
      <c r="N233" s="229"/>
      <c r="O233" s="229"/>
      <c r="P233" s="229"/>
      <c r="Q233" s="229"/>
      <c r="R233" s="229"/>
      <c r="S233" s="229"/>
    </row>
    <row r="234" spans="1:19" x14ac:dyDescent="0.25">
      <c r="A234" s="229"/>
      <c r="B234" s="229"/>
      <c r="C234" s="229"/>
      <c r="D234" s="229"/>
      <c r="E234" s="229"/>
      <c r="F234" s="229"/>
      <c r="G234" s="229"/>
      <c r="H234" s="229"/>
      <c r="I234" s="229"/>
      <c r="J234" s="229"/>
      <c r="K234" s="229"/>
      <c r="L234" s="229"/>
      <c r="M234" s="229"/>
      <c r="N234" s="229"/>
      <c r="O234" s="229"/>
      <c r="P234" s="229"/>
      <c r="Q234" s="229"/>
      <c r="R234" s="229"/>
      <c r="S234" s="229"/>
    </row>
    <row r="235" spans="1:19" x14ac:dyDescent="0.25">
      <c r="A235" s="229"/>
      <c r="B235" s="229"/>
      <c r="C235" s="229"/>
      <c r="D235" s="229"/>
      <c r="E235" s="229"/>
      <c r="F235" s="229"/>
      <c r="G235" s="229"/>
      <c r="H235" s="229"/>
      <c r="I235" s="229"/>
      <c r="J235" s="229"/>
      <c r="K235" s="229"/>
      <c r="L235" s="229"/>
      <c r="M235" s="229"/>
      <c r="N235" s="229"/>
      <c r="O235" s="229"/>
      <c r="P235" s="229"/>
      <c r="Q235" s="229"/>
      <c r="R235" s="229"/>
      <c r="S235" s="229"/>
    </row>
    <row r="236" spans="1:19" x14ac:dyDescent="0.25">
      <c r="A236" s="229"/>
      <c r="B236" s="229"/>
      <c r="C236" s="229"/>
      <c r="D236" s="229"/>
      <c r="E236" s="229"/>
      <c r="F236" s="229"/>
      <c r="G236" s="229"/>
      <c r="H236" s="229"/>
      <c r="I236" s="229"/>
      <c r="J236" s="229"/>
      <c r="K236" s="229"/>
      <c r="L236" s="229"/>
      <c r="M236" s="229"/>
      <c r="N236" s="229"/>
      <c r="O236" s="229"/>
      <c r="P236" s="229"/>
      <c r="Q236" s="229"/>
      <c r="R236" s="229"/>
      <c r="S236" s="229"/>
    </row>
    <row r="237" spans="1:19" x14ac:dyDescent="0.25">
      <c r="A237" s="229"/>
      <c r="B237" s="229"/>
      <c r="C237" s="229"/>
      <c r="D237" s="229"/>
      <c r="E237" s="229"/>
      <c r="F237" s="229"/>
      <c r="G237" s="229"/>
      <c r="H237" s="229"/>
      <c r="I237" s="229"/>
      <c r="J237" s="229"/>
      <c r="K237" s="229"/>
      <c r="L237" s="229"/>
      <c r="M237" s="229"/>
      <c r="N237" s="229"/>
      <c r="O237" s="229"/>
      <c r="P237" s="229"/>
      <c r="Q237" s="229"/>
      <c r="R237" s="229"/>
      <c r="S237" s="229"/>
    </row>
    <row r="238" spans="1:19" x14ac:dyDescent="0.25">
      <c r="A238" s="229"/>
      <c r="B238" s="229"/>
      <c r="C238" s="229"/>
      <c r="D238" s="229"/>
      <c r="E238" s="229"/>
      <c r="F238" s="229"/>
      <c r="G238" s="229"/>
      <c r="H238" s="229"/>
      <c r="I238" s="229"/>
      <c r="J238" s="229"/>
      <c r="K238" s="229"/>
      <c r="L238" s="229"/>
      <c r="M238" s="229"/>
      <c r="N238" s="229"/>
      <c r="O238" s="229"/>
      <c r="P238" s="229"/>
      <c r="Q238" s="229"/>
      <c r="R238" s="229"/>
      <c r="S238" s="229"/>
    </row>
    <row r="239" spans="1:19" x14ac:dyDescent="0.25">
      <c r="A239" s="229"/>
      <c r="B239" s="229"/>
      <c r="C239" s="229"/>
      <c r="D239" s="229"/>
      <c r="E239" s="229"/>
      <c r="F239" s="229"/>
      <c r="G239" s="229"/>
      <c r="H239" s="229"/>
      <c r="I239" s="229"/>
      <c r="J239" s="229"/>
      <c r="K239" s="229"/>
      <c r="L239" s="229"/>
      <c r="M239" s="229"/>
      <c r="N239" s="229"/>
      <c r="O239" s="229"/>
      <c r="P239" s="229"/>
      <c r="Q239" s="229"/>
      <c r="R239" s="229"/>
      <c r="S239" s="229"/>
    </row>
    <row r="240" spans="1:19" x14ac:dyDescent="0.25">
      <c r="A240" s="229"/>
      <c r="B240" s="229"/>
      <c r="C240" s="229"/>
      <c r="D240" s="229"/>
      <c r="E240" s="229"/>
      <c r="F240" s="229"/>
      <c r="G240" s="229"/>
      <c r="H240" s="229"/>
      <c r="I240" s="229"/>
      <c r="J240" s="229"/>
      <c r="K240" s="229"/>
      <c r="L240" s="229"/>
      <c r="M240" s="229"/>
      <c r="N240" s="229"/>
      <c r="O240" s="229"/>
      <c r="P240" s="229"/>
      <c r="Q240" s="229"/>
      <c r="R240" s="229"/>
      <c r="S240" s="229"/>
    </row>
    <row r="241" spans="1:19" x14ac:dyDescent="0.25">
      <c r="A241" s="251"/>
      <c r="B241" s="251"/>
      <c r="C241" s="252"/>
      <c r="D241" s="252"/>
      <c r="E241" s="252"/>
      <c r="F241" s="252"/>
      <c r="G241" s="252"/>
      <c r="H241" s="252"/>
      <c r="I241" s="252"/>
      <c r="J241" s="252"/>
      <c r="K241" s="252"/>
      <c r="L241" s="252"/>
      <c r="M241" s="252"/>
      <c r="N241" s="252"/>
      <c r="O241" s="252"/>
      <c r="P241" s="252"/>
      <c r="Q241" s="252"/>
      <c r="R241" s="252"/>
      <c r="S241" s="252"/>
    </row>
    <row r="242" spans="1:19" x14ac:dyDescent="0.25">
      <c r="A242" s="251"/>
      <c r="B242" s="251"/>
      <c r="C242" s="252"/>
      <c r="D242" s="252"/>
      <c r="E242" s="252"/>
      <c r="F242" s="252"/>
      <c r="G242" s="252"/>
      <c r="H242" s="252"/>
      <c r="I242" s="252"/>
      <c r="J242" s="252"/>
      <c r="K242" s="252"/>
      <c r="L242" s="252"/>
      <c r="M242" s="252"/>
      <c r="N242" s="252"/>
      <c r="O242" s="252"/>
      <c r="P242" s="252"/>
      <c r="Q242" s="252"/>
      <c r="R242" s="252"/>
      <c r="S242" s="252"/>
    </row>
    <row r="243" spans="1:19" x14ac:dyDescent="0.25">
      <c r="A243" s="251"/>
      <c r="B243" s="251"/>
      <c r="C243" s="252"/>
      <c r="D243" s="252"/>
      <c r="E243" s="252"/>
      <c r="F243" s="252"/>
      <c r="G243" s="252"/>
      <c r="H243" s="252"/>
      <c r="I243" s="252"/>
      <c r="J243" s="252"/>
      <c r="K243" s="252"/>
      <c r="L243" s="252"/>
      <c r="M243" s="252"/>
      <c r="N243" s="252"/>
      <c r="O243" s="252"/>
      <c r="P243" s="252"/>
      <c r="Q243" s="252"/>
      <c r="R243" s="252"/>
      <c r="S243" s="252"/>
    </row>
    <row r="244" spans="1:19" x14ac:dyDescent="0.25">
      <c r="A244" s="251"/>
      <c r="B244" s="251"/>
      <c r="C244" s="252"/>
      <c r="D244" s="252"/>
      <c r="E244" s="252"/>
      <c r="F244" s="252"/>
      <c r="G244" s="252"/>
      <c r="H244" s="252"/>
      <c r="I244" s="252"/>
      <c r="J244" s="252"/>
      <c r="K244" s="252"/>
      <c r="L244" s="252"/>
      <c r="M244" s="252"/>
      <c r="N244" s="252"/>
      <c r="O244" s="252"/>
      <c r="P244" s="252"/>
      <c r="Q244" s="252"/>
      <c r="R244" s="252"/>
      <c r="S244" s="252"/>
    </row>
    <row r="245" spans="1:19" x14ac:dyDescent="0.25">
      <c r="A245" s="251"/>
      <c r="B245" s="251"/>
      <c r="C245" s="252"/>
      <c r="D245" s="252"/>
      <c r="E245" s="252"/>
      <c r="F245" s="252"/>
      <c r="G245" s="252"/>
      <c r="H245" s="252"/>
      <c r="I245" s="252"/>
      <c r="J245" s="252"/>
      <c r="K245" s="252"/>
      <c r="L245" s="252"/>
      <c r="M245" s="252"/>
      <c r="N245" s="252"/>
      <c r="O245" s="252"/>
      <c r="P245" s="252"/>
      <c r="Q245" s="252"/>
      <c r="R245" s="252"/>
      <c r="S245" s="252"/>
    </row>
    <row r="246" spans="1:19" x14ac:dyDescent="0.25">
      <c r="A246" s="251"/>
      <c r="B246" s="251"/>
      <c r="C246" s="252"/>
      <c r="D246" s="252"/>
      <c r="E246" s="252"/>
      <c r="F246" s="252"/>
      <c r="G246" s="252"/>
      <c r="H246" s="252"/>
      <c r="I246" s="252"/>
      <c r="J246" s="252"/>
      <c r="K246" s="252"/>
      <c r="L246" s="252"/>
      <c r="M246" s="252"/>
      <c r="N246" s="252"/>
      <c r="O246" s="252"/>
      <c r="P246" s="252"/>
      <c r="Q246" s="252"/>
      <c r="R246" s="252"/>
      <c r="S246" s="252"/>
    </row>
    <row r="247" spans="1:19" x14ac:dyDescent="0.25">
      <c r="A247" s="251"/>
      <c r="B247" s="251"/>
      <c r="C247" s="252"/>
      <c r="D247" s="252"/>
      <c r="E247" s="252"/>
      <c r="F247" s="252"/>
      <c r="G247" s="252"/>
      <c r="H247" s="252"/>
      <c r="I247" s="252"/>
      <c r="J247" s="252"/>
      <c r="K247" s="252"/>
      <c r="L247" s="252"/>
      <c r="M247" s="252"/>
      <c r="N247" s="252"/>
      <c r="O247" s="252"/>
      <c r="P247" s="252"/>
      <c r="Q247" s="252"/>
      <c r="R247" s="252"/>
      <c r="S247" s="252"/>
    </row>
    <row r="248" spans="1:19" x14ac:dyDescent="0.25">
      <c r="A248" s="251"/>
      <c r="B248" s="251"/>
      <c r="C248" s="252"/>
      <c r="D248" s="252"/>
      <c r="E248" s="252"/>
      <c r="F248" s="252"/>
      <c r="G248" s="252"/>
      <c r="H248" s="252"/>
      <c r="I248" s="252"/>
      <c r="J248" s="252"/>
      <c r="K248" s="252"/>
      <c r="L248" s="252"/>
      <c r="M248" s="252"/>
      <c r="N248" s="252"/>
      <c r="O248" s="252"/>
      <c r="P248" s="252"/>
      <c r="Q248" s="252"/>
      <c r="R248" s="252"/>
      <c r="S248" s="252"/>
    </row>
    <row r="249" spans="1:19" x14ac:dyDescent="0.25">
      <c r="A249" s="251"/>
      <c r="B249" s="251"/>
      <c r="C249" s="252"/>
      <c r="D249" s="252"/>
      <c r="E249" s="252"/>
      <c r="F249" s="252"/>
      <c r="G249" s="252"/>
      <c r="H249" s="252"/>
      <c r="I249" s="252"/>
      <c r="J249" s="252"/>
      <c r="K249" s="252"/>
      <c r="L249" s="252"/>
      <c r="M249" s="252"/>
      <c r="N249" s="252"/>
      <c r="O249" s="252"/>
      <c r="P249" s="252"/>
      <c r="Q249" s="252"/>
      <c r="R249" s="252"/>
      <c r="S249" s="252"/>
    </row>
    <row r="250" spans="1:19" x14ac:dyDescent="0.25">
      <c r="A250" s="251"/>
      <c r="B250" s="251"/>
      <c r="C250" s="252"/>
      <c r="D250" s="252"/>
      <c r="E250" s="252"/>
      <c r="F250" s="252"/>
      <c r="G250" s="252"/>
      <c r="H250" s="252"/>
      <c r="I250" s="252"/>
      <c r="J250" s="252"/>
      <c r="K250" s="252"/>
      <c r="L250" s="252"/>
      <c r="M250" s="252"/>
      <c r="N250" s="252"/>
      <c r="O250" s="252"/>
      <c r="P250" s="252"/>
      <c r="Q250" s="252"/>
      <c r="R250" s="252"/>
      <c r="S250" s="252"/>
    </row>
    <row r="251" spans="1:19" x14ac:dyDescent="0.25">
      <c r="A251" s="251"/>
      <c r="B251" s="251"/>
      <c r="C251" s="252"/>
      <c r="D251" s="252"/>
      <c r="E251" s="252"/>
      <c r="F251" s="252"/>
      <c r="G251" s="252"/>
      <c r="H251" s="252"/>
      <c r="I251" s="252"/>
      <c r="J251" s="252"/>
      <c r="K251" s="252"/>
      <c r="L251" s="252"/>
      <c r="M251" s="252"/>
      <c r="N251" s="252"/>
      <c r="O251" s="252"/>
      <c r="P251" s="252"/>
      <c r="Q251" s="252"/>
      <c r="R251" s="252"/>
      <c r="S251" s="252"/>
    </row>
    <row r="252" spans="1:19" x14ac:dyDescent="0.25">
      <c r="A252" s="251"/>
      <c r="B252" s="251"/>
      <c r="C252" s="252"/>
      <c r="D252" s="252"/>
      <c r="E252" s="252"/>
      <c r="F252" s="252"/>
      <c r="G252" s="252"/>
      <c r="H252" s="252"/>
      <c r="I252" s="252"/>
      <c r="J252" s="252"/>
      <c r="K252" s="252"/>
      <c r="L252" s="252"/>
      <c r="M252" s="252"/>
      <c r="N252" s="252"/>
      <c r="O252" s="252"/>
      <c r="P252" s="252"/>
      <c r="Q252" s="252"/>
      <c r="R252" s="252"/>
      <c r="S252" s="252"/>
    </row>
    <row r="253" spans="1:19" x14ac:dyDescent="0.25">
      <c r="A253" s="251"/>
      <c r="B253" s="251"/>
      <c r="C253" s="252"/>
      <c r="D253" s="252"/>
      <c r="E253" s="252"/>
      <c r="F253" s="252"/>
      <c r="G253" s="252"/>
      <c r="H253" s="252"/>
      <c r="I253" s="252"/>
      <c r="J253" s="252"/>
      <c r="K253" s="252"/>
      <c r="L253" s="252"/>
      <c r="M253" s="252"/>
      <c r="N253" s="252"/>
      <c r="O253" s="252"/>
      <c r="P253" s="252"/>
      <c r="Q253" s="252"/>
      <c r="R253" s="252"/>
      <c r="S253" s="252"/>
    </row>
    <row r="254" spans="1:19" x14ac:dyDescent="0.25">
      <c r="A254" s="251"/>
      <c r="B254" s="251"/>
      <c r="C254" s="252"/>
      <c r="D254" s="252"/>
      <c r="E254" s="252"/>
      <c r="F254" s="252"/>
      <c r="G254" s="252"/>
      <c r="H254" s="252"/>
      <c r="I254" s="252"/>
      <c r="J254" s="252"/>
      <c r="K254" s="252"/>
      <c r="L254" s="252"/>
      <c r="M254" s="252"/>
      <c r="N254" s="252"/>
      <c r="O254" s="252"/>
      <c r="P254" s="252"/>
      <c r="Q254" s="252"/>
      <c r="R254" s="252"/>
      <c r="S254" s="252"/>
    </row>
    <row r="255" spans="1:19" x14ac:dyDescent="0.25">
      <c r="A255" s="251"/>
      <c r="B255" s="251"/>
      <c r="C255" s="252"/>
      <c r="D255" s="252"/>
      <c r="E255" s="252"/>
      <c r="F255" s="252"/>
      <c r="G255" s="252"/>
      <c r="H255" s="252"/>
      <c r="I255" s="252"/>
      <c r="J255" s="252"/>
      <c r="K255" s="252"/>
      <c r="L255" s="252"/>
      <c r="M255" s="252"/>
      <c r="N255" s="252"/>
      <c r="O255" s="252"/>
      <c r="P255" s="252"/>
      <c r="Q255" s="252"/>
      <c r="R255" s="252"/>
      <c r="S255" s="252"/>
    </row>
    <row r="256" spans="1:19" x14ac:dyDescent="0.25">
      <c r="A256" s="251"/>
      <c r="B256" s="251"/>
      <c r="C256" s="252"/>
      <c r="D256" s="252"/>
      <c r="E256" s="252"/>
      <c r="F256" s="252"/>
      <c r="G256" s="252"/>
      <c r="H256" s="252"/>
      <c r="I256" s="252"/>
      <c r="J256" s="252"/>
      <c r="K256" s="252"/>
      <c r="L256" s="252"/>
      <c r="M256" s="252"/>
      <c r="N256" s="252"/>
      <c r="O256" s="252"/>
      <c r="P256" s="252"/>
      <c r="Q256" s="252"/>
      <c r="R256" s="252"/>
      <c r="S256" s="252"/>
    </row>
    <row r="257" spans="1:19" x14ac:dyDescent="0.25">
      <c r="A257" s="251"/>
      <c r="B257" s="251"/>
      <c r="C257" s="252"/>
      <c r="D257" s="252"/>
      <c r="E257" s="252"/>
      <c r="F257" s="252"/>
      <c r="G257" s="252"/>
      <c r="H257" s="252"/>
      <c r="I257" s="252"/>
      <c r="J257" s="252"/>
      <c r="K257" s="252"/>
      <c r="L257" s="252"/>
      <c r="M257" s="252"/>
      <c r="N257" s="252"/>
      <c r="O257" s="252"/>
      <c r="P257" s="252"/>
      <c r="Q257" s="252"/>
      <c r="R257" s="252"/>
      <c r="S257" s="252"/>
    </row>
    <row r="258" spans="1:19" x14ac:dyDescent="0.25">
      <c r="A258" s="251"/>
      <c r="B258" s="251"/>
      <c r="C258" s="252"/>
      <c r="D258" s="252"/>
      <c r="E258" s="252"/>
      <c r="F258" s="252"/>
      <c r="G258" s="252"/>
      <c r="H258" s="252"/>
      <c r="I258" s="252"/>
      <c r="J258" s="252"/>
      <c r="K258" s="252"/>
      <c r="L258" s="252"/>
      <c r="M258" s="252"/>
      <c r="N258" s="252"/>
      <c r="O258" s="252"/>
      <c r="P258" s="252"/>
      <c r="Q258" s="252"/>
      <c r="R258" s="252"/>
      <c r="S258" s="252"/>
    </row>
    <row r="259" spans="1:19" x14ac:dyDescent="0.25">
      <c r="A259" s="251"/>
      <c r="B259" s="251"/>
      <c r="C259" s="252"/>
      <c r="D259" s="252"/>
      <c r="E259" s="252"/>
      <c r="F259" s="252"/>
      <c r="G259" s="252"/>
      <c r="H259" s="252"/>
      <c r="I259" s="252"/>
      <c r="J259" s="252"/>
      <c r="K259" s="252"/>
      <c r="L259" s="252"/>
      <c r="M259" s="252"/>
      <c r="N259" s="252"/>
      <c r="O259" s="252"/>
      <c r="P259" s="252"/>
      <c r="Q259" s="252"/>
      <c r="R259" s="252"/>
      <c r="S259" s="252"/>
    </row>
    <row r="260" spans="1:19" x14ac:dyDescent="0.25">
      <c r="A260" s="251"/>
      <c r="B260" s="251"/>
      <c r="C260" s="252"/>
      <c r="D260" s="252"/>
      <c r="E260" s="252"/>
      <c r="F260" s="252"/>
      <c r="G260" s="252"/>
      <c r="H260" s="252"/>
      <c r="I260" s="252"/>
      <c r="J260" s="252"/>
      <c r="K260" s="252"/>
      <c r="L260" s="252"/>
      <c r="M260" s="252"/>
      <c r="N260" s="252"/>
      <c r="O260" s="252"/>
      <c r="P260" s="252"/>
      <c r="Q260" s="252"/>
      <c r="R260" s="252"/>
      <c r="S260" s="252"/>
    </row>
    <row r="261" spans="1:19" x14ac:dyDescent="0.25">
      <c r="A261" s="251"/>
      <c r="B261" s="251"/>
      <c r="C261" s="252"/>
      <c r="D261" s="252"/>
      <c r="E261" s="252"/>
      <c r="F261" s="252"/>
      <c r="G261" s="252"/>
      <c r="H261" s="252"/>
      <c r="I261" s="252"/>
      <c r="J261" s="252"/>
      <c r="K261" s="252"/>
      <c r="L261" s="252"/>
      <c r="M261" s="252"/>
      <c r="N261" s="252"/>
      <c r="O261" s="252"/>
      <c r="P261" s="252"/>
      <c r="Q261" s="252"/>
      <c r="R261" s="252"/>
      <c r="S261" s="252"/>
    </row>
    <row r="262" spans="1:19" x14ac:dyDescent="0.25">
      <c r="A262" s="251"/>
      <c r="B262" s="251"/>
      <c r="C262" s="252"/>
      <c r="D262" s="252"/>
      <c r="E262" s="252"/>
      <c r="F262" s="252"/>
      <c r="G262" s="252"/>
      <c r="H262" s="252"/>
      <c r="I262" s="252"/>
      <c r="J262" s="252"/>
      <c r="K262" s="252"/>
      <c r="L262" s="252"/>
      <c r="M262" s="252"/>
      <c r="N262" s="252"/>
      <c r="O262" s="252"/>
      <c r="P262" s="252"/>
      <c r="Q262" s="252"/>
      <c r="R262" s="252"/>
      <c r="S262" s="252"/>
    </row>
    <row r="263" spans="1:19" x14ac:dyDescent="0.25">
      <c r="A263" s="251"/>
      <c r="B263" s="251"/>
      <c r="C263" s="252"/>
      <c r="D263" s="252"/>
      <c r="E263" s="252"/>
      <c r="F263" s="252"/>
      <c r="G263" s="252"/>
      <c r="H263" s="252"/>
      <c r="I263" s="252"/>
      <c r="J263" s="252"/>
      <c r="K263" s="252"/>
      <c r="L263" s="252"/>
      <c r="M263" s="252"/>
      <c r="N263" s="252"/>
      <c r="O263" s="252"/>
      <c r="P263" s="252"/>
      <c r="Q263" s="252"/>
      <c r="R263" s="252"/>
      <c r="S263" s="252"/>
    </row>
    <row r="264" spans="1:19" x14ac:dyDescent="0.25">
      <c r="A264" s="251"/>
      <c r="B264" s="251"/>
      <c r="C264" s="252"/>
      <c r="D264" s="252"/>
      <c r="E264" s="252"/>
      <c r="F264" s="252"/>
      <c r="G264" s="252"/>
      <c r="H264" s="252"/>
      <c r="I264" s="252"/>
      <c r="J264" s="252"/>
      <c r="K264" s="252"/>
      <c r="L264" s="252"/>
      <c r="M264" s="252"/>
      <c r="N264" s="252"/>
      <c r="O264" s="252"/>
      <c r="P264" s="252"/>
      <c r="Q264" s="252"/>
      <c r="R264" s="252"/>
      <c r="S264" s="252"/>
    </row>
    <row r="265" spans="1:19" x14ac:dyDescent="0.25">
      <c r="A265" s="251"/>
      <c r="B265" s="251"/>
      <c r="C265" s="252"/>
      <c r="D265" s="252"/>
      <c r="E265" s="252"/>
      <c r="F265" s="252"/>
      <c r="G265" s="252"/>
      <c r="H265" s="252"/>
      <c r="I265" s="252"/>
      <c r="J265" s="252"/>
      <c r="K265" s="252"/>
      <c r="L265" s="252"/>
      <c r="M265" s="252"/>
      <c r="N265" s="252"/>
      <c r="O265" s="252"/>
      <c r="P265" s="252"/>
      <c r="Q265" s="252"/>
      <c r="R265" s="252"/>
      <c r="S265" s="252"/>
    </row>
    <row r="266" spans="1:19" x14ac:dyDescent="0.25">
      <c r="A266" s="251"/>
      <c r="B266" s="251"/>
      <c r="C266" s="252"/>
      <c r="D266" s="252"/>
      <c r="E266" s="252"/>
      <c r="F266" s="252"/>
      <c r="G266" s="252"/>
      <c r="H266" s="252"/>
      <c r="I266" s="252"/>
      <c r="J266" s="252"/>
      <c r="K266" s="252"/>
      <c r="L266" s="252"/>
      <c r="M266" s="252"/>
      <c r="N266" s="252"/>
      <c r="O266" s="252"/>
      <c r="P266" s="252"/>
      <c r="Q266" s="252"/>
      <c r="R266" s="252"/>
      <c r="S266" s="252"/>
    </row>
    <row r="267" spans="1:19" x14ac:dyDescent="0.25">
      <c r="A267" s="251"/>
      <c r="B267" s="251"/>
      <c r="C267" s="252"/>
      <c r="D267" s="252"/>
      <c r="E267" s="252"/>
      <c r="F267" s="252"/>
      <c r="G267" s="252"/>
      <c r="H267" s="252"/>
      <c r="I267" s="252"/>
      <c r="J267" s="252"/>
      <c r="K267" s="252"/>
      <c r="L267" s="252"/>
      <c r="M267" s="252"/>
      <c r="N267" s="252"/>
      <c r="O267" s="252"/>
      <c r="P267" s="252"/>
      <c r="Q267" s="252"/>
      <c r="R267" s="252"/>
      <c r="S267" s="252"/>
    </row>
    <row r="268" spans="1:19" x14ac:dyDescent="0.25">
      <c r="A268" s="251"/>
      <c r="B268" s="251"/>
      <c r="C268" s="252"/>
      <c r="D268" s="252"/>
      <c r="E268" s="252"/>
      <c r="F268" s="252"/>
      <c r="G268" s="252"/>
      <c r="H268" s="252"/>
      <c r="I268" s="252"/>
      <c r="J268" s="252"/>
      <c r="K268" s="252"/>
      <c r="L268" s="252"/>
      <c r="M268" s="252"/>
      <c r="N268" s="252"/>
      <c r="O268" s="252"/>
      <c r="P268" s="252"/>
      <c r="Q268" s="252"/>
      <c r="R268" s="252"/>
      <c r="S268" s="252"/>
    </row>
    <row r="269" spans="1:19" x14ac:dyDescent="0.25">
      <c r="A269" s="251"/>
      <c r="B269" s="251"/>
      <c r="C269" s="252"/>
      <c r="D269" s="252"/>
      <c r="E269" s="252"/>
      <c r="F269" s="252"/>
      <c r="G269" s="252"/>
      <c r="H269" s="252"/>
      <c r="I269" s="252"/>
      <c r="J269" s="252"/>
      <c r="K269" s="252"/>
      <c r="L269" s="252"/>
      <c r="M269" s="252"/>
      <c r="N269" s="252"/>
      <c r="O269" s="252"/>
      <c r="P269" s="252"/>
      <c r="Q269" s="252"/>
      <c r="R269" s="252"/>
      <c r="S269" s="252"/>
    </row>
    <row r="270" spans="1:19" x14ac:dyDescent="0.25">
      <c r="A270" s="251"/>
      <c r="B270" s="251"/>
      <c r="C270" s="252"/>
      <c r="D270" s="252"/>
      <c r="E270" s="252"/>
      <c r="F270" s="252"/>
      <c r="G270" s="252"/>
      <c r="H270" s="252"/>
      <c r="I270" s="252"/>
      <c r="J270" s="252"/>
      <c r="K270" s="252"/>
      <c r="L270" s="252"/>
      <c r="M270" s="252"/>
      <c r="N270" s="252"/>
      <c r="O270" s="252"/>
      <c r="P270" s="252"/>
      <c r="Q270" s="252"/>
      <c r="R270" s="252"/>
      <c r="S270" s="252"/>
    </row>
    <row r="271" spans="1:19" x14ac:dyDescent="0.25">
      <c r="A271" s="251"/>
      <c r="B271" s="251"/>
      <c r="C271" s="252"/>
      <c r="D271" s="252"/>
      <c r="E271" s="252"/>
      <c r="F271" s="252"/>
      <c r="G271" s="252"/>
      <c r="H271" s="252"/>
      <c r="I271" s="252"/>
      <c r="J271" s="252"/>
      <c r="K271" s="252"/>
      <c r="L271" s="252"/>
      <c r="M271" s="252"/>
      <c r="N271" s="252"/>
      <c r="O271" s="252"/>
      <c r="P271" s="252"/>
      <c r="Q271" s="252"/>
      <c r="R271" s="252"/>
      <c r="S271" s="252"/>
    </row>
    <row r="272" spans="1:19" x14ac:dyDescent="0.25">
      <c r="A272" s="251"/>
      <c r="B272" s="251"/>
      <c r="C272" s="252"/>
      <c r="D272" s="252"/>
      <c r="E272" s="252"/>
      <c r="F272" s="252"/>
      <c r="G272" s="252"/>
      <c r="H272" s="252"/>
      <c r="I272" s="252"/>
      <c r="J272" s="252"/>
      <c r="K272" s="252"/>
      <c r="L272" s="252"/>
      <c r="M272" s="252"/>
      <c r="N272" s="252"/>
      <c r="O272" s="252"/>
      <c r="P272" s="252"/>
      <c r="Q272" s="252"/>
      <c r="R272" s="252"/>
      <c r="S272" s="252"/>
    </row>
    <row r="273" spans="1:19" x14ac:dyDescent="0.25">
      <c r="A273" s="251"/>
      <c r="B273" s="251"/>
      <c r="C273" s="252"/>
      <c r="D273" s="252"/>
      <c r="E273" s="252"/>
      <c r="F273" s="252"/>
      <c r="G273" s="252"/>
      <c r="H273" s="252"/>
      <c r="I273" s="252"/>
      <c r="J273" s="252"/>
      <c r="K273" s="252"/>
      <c r="L273" s="252"/>
      <c r="M273" s="252"/>
      <c r="N273" s="252"/>
      <c r="O273" s="252"/>
      <c r="P273" s="252"/>
      <c r="Q273" s="252"/>
      <c r="R273" s="252"/>
      <c r="S273" s="252"/>
    </row>
    <row r="274" spans="1:19" x14ac:dyDescent="0.25">
      <c r="A274" s="251"/>
      <c r="B274" s="251"/>
      <c r="C274" s="252"/>
      <c r="D274" s="252"/>
      <c r="E274" s="252"/>
      <c r="F274" s="252"/>
      <c r="G274" s="252"/>
      <c r="H274" s="252"/>
      <c r="I274" s="252"/>
      <c r="J274" s="252"/>
      <c r="K274" s="252"/>
      <c r="L274" s="252"/>
      <c r="M274" s="252"/>
      <c r="N274" s="252"/>
      <c r="O274" s="252"/>
      <c r="P274" s="252"/>
      <c r="Q274" s="252"/>
      <c r="R274" s="252"/>
      <c r="S274" s="252"/>
    </row>
    <row r="275" spans="1:19" x14ac:dyDescent="0.25">
      <c r="A275" s="251"/>
      <c r="B275" s="251"/>
      <c r="C275" s="252"/>
      <c r="D275" s="252"/>
      <c r="E275" s="252"/>
      <c r="F275" s="252"/>
      <c r="G275" s="252"/>
      <c r="H275" s="252"/>
      <c r="I275" s="252"/>
      <c r="J275" s="252"/>
      <c r="K275" s="252"/>
      <c r="L275" s="252"/>
      <c r="M275" s="252"/>
      <c r="N275" s="252"/>
      <c r="O275" s="252"/>
      <c r="P275" s="252"/>
      <c r="Q275" s="252"/>
      <c r="R275" s="252"/>
      <c r="S275" s="252"/>
    </row>
    <row r="276" spans="1:19" x14ac:dyDescent="0.25">
      <c r="A276" s="251"/>
      <c r="B276" s="251"/>
      <c r="C276" s="252"/>
      <c r="D276" s="252"/>
      <c r="E276" s="252"/>
      <c r="F276" s="252"/>
      <c r="G276" s="252"/>
      <c r="H276" s="252"/>
      <c r="I276" s="252"/>
      <c r="J276" s="252"/>
      <c r="K276" s="252"/>
      <c r="L276" s="252"/>
      <c r="M276" s="252"/>
      <c r="N276" s="252"/>
      <c r="O276" s="252"/>
      <c r="P276" s="252"/>
      <c r="Q276" s="252"/>
      <c r="R276" s="252"/>
      <c r="S276" s="252"/>
    </row>
    <row r="277" spans="1:19" x14ac:dyDescent="0.25">
      <c r="A277" s="251"/>
      <c r="B277" s="251"/>
      <c r="C277" s="252"/>
      <c r="D277" s="252"/>
      <c r="E277" s="252"/>
      <c r="F277" s="252"/>
      <c r="G277" s="252"/>
      <c r="H277" s="252"/>
      <c r="I277" s="252"/>
      <c r="J277" s="252"/>
      <c r="K277" s="252"/>
      <c r="L277" s="252"/>
      <c r="M277" s="252"/>
      <c r="N277" s="252"/>
      <c r="O277" s="252"/>
      <c r="P277" s="252"/>
      <c r="Q277" s="252"/>
      <c r="R277" s="252"/>
      <c r="S277" s="252"/>
    </row>
    <row r="278" spans="1:19" x14ac:dyDescent="0.25">
      <c r="A278" s="251"/>
      <c r="B278" s="251"/>
      <c r="C278" s="252"/>
      <c r="D278" s="252"/>
      <c r="E278" s="252"/>
      <c r="F278" s="252"/>
      <c r="G278" s="252"/>
      <c r="H278" s="252"/>
      <c r="I278" s="252"/>
      <c r="J278" s="252"/>
      <c r="K278" s="252"/>
      <c r="L278" s="252"/>
      <c r="M278" s="252"/>
      <c r="N278" s="252"/>
      <c r="O278" s="252"/>
      <c r="P278" s="252"/>
      <c r="Q278" s="252"/>
      <c r="R278" s="252"/>
      <c r="S278" s="252"/>
    </row>
    <row r="279" spans="1:19" x14ac:dyDescent="0.25">
      <c r="A279" s="251"/>
      <c r="B279" s="251"/>
      <c r="C279" s="252"/>
      <c r="D279" s="252"/>
      <c r="E279" s="252"/>
      <c r="F279" s="252"/>
      <c r="G279" s="252"/>
      <c r="H279" s="252"/>
      <c r="I279" s="252"/>
      <c r="J279" s="252"/>
      <c r="K279" s="252"/>
      <c r="L279" s="252"/>
      <c r="M279" s="252"/>
      <c r="N279" s="252"/>
      <c r="O279" s="252"/>
      <c r="P279" s="252"/>
      <c r="Q279" s="252"/>
      <c r="R279" s="252"/>
      <c r="S279" s="252"/>
    </row>
    <row r="280" spans="1:19" x14ac:dyDescent="0.25">
      <c r="A280" s="251"/>
      <c r="B280" s="251"/>
      <c r="C280" s="252"/>
      <c r="D280" s="252"/>
      <c r="E280" s="252"/>
      <c r="F280" s="252"/>
      <c r="G280" s="252"/>
      <c r="H280" s="252"/>
      <c r="I280" s="252"/>
      <c r="J280" s="252"/>
      <c r="K280" s="252"/>
      <c r="L280" s="252"/>
      <c r="M280" s="252"/>
      <c r="N280" s="252"/>
      <c r="O280" s="252"/>
      <c r="P280" s="252"/>
      <c r="Q280" s="252"/>
      <c r="R280" s="252"/>
      <c r="S280" s="252"/>
    </row>
    <row r="281" spans="1:19" x14ac:dyDescent="0.25">
      <c r="A281" s="251"/>
      <c r="B281" s="251"/>
      <c r="C281" s="252"/>
      <c r="D281" s="252"/>
      <c r="E281" s="252"/>
      <c r="F281" s="252"/>
      <c r="G281" s="252"/>
      <c r="H281" s="252"/>
      <c r="I281" s="252"/>
      <c r="J281" s="252"/>
      <c r="K281" s="252"/>
      <c r="L281" s="252"/>
      <c r="M281" s="252"/>
      <c r="N281" s="252"/>
      <c r="O281" s="252"/>
      <c r="P281" s="252"/>
      <c r="Q281" s="252"/>
      <c r="R281" s="252"/>
      <c r="S281" s="252"/>
    </row>
    <row r="282" spans="1:19" x14ac:dyDescent="0.25">
      <c r="A282" s="251"/>
      <c r="B282" s="251"/>
      <c r="C282" s="252"/>
      <c r="D282" s="252"/>
      <c r="E282" s="252"/>
      <c r="F282" s="252"/>
      <c r="G282" s="252"/>
      <c r="H282" s="252"/>
      <c r="I282" s="252"/>
      <c r="J282" s="252"/>
      <c r="K282" s="252"/>
      <c r="L282" s="252"/>
      <c r="M282" s="252"/>
      <c r="N282" s="252"/>
      <c r="O282" s="252"/>
      <c r="P282" s="252"/>
      <c r="Q282" s="252"/>
      <c r="R282" s="252"/>
      <c r="S282" s="252"/>
    </row>
    <row r="283" spans="1:19" x14ac:dyDescent="0.25">
      <c r="A283" s="251"/>
      <c r="B283" s="251"/>
      <c r="C283" s="252"/>
      <c r="D283" s="252"/>
      <c r="E283" s="252"/>
      <c r="F283" s="252"/>
      <c r="G283" s="252"/>
      <c r="H283" s="252"/>
      <c r="I283" s="252"/>
      <c r="J283" s="252"/>
      <c r="K283" s="252"/>
      <c r="L283" s="252"/>
      <c r="M283" s="252"/>
      <c r="N283" s="252"/>
      <c r="O283" s="252"/>
      <c r="P283" s="252"/>
      <c r="Q283" s="252"/>
      <c r="R283" s="252"/>
      <c r="S283" s="252"/>
    </row>
    <row r="284" spans="1:19" x14ac:dyDescent="0.25">
      <c r="A284" s="251"/>
      <c r="B284" s="251"/>
      <c r="C284" s="252"/>
      <c r="D284" s="252"/>
      <c r="E284" s="252"/>
      <c r="F284" s="252"/>
      <c r="G284" s="252"/>
      <c r="H284" s="252"/>
      <c r="I284" s="252"/>
      <c r="J284" s="252"/>
      <c r="K284" s="252"/>
      <c r="L284" s="252"/>
      <c r="M284" s="252"/>
      <c r="N284" s="252"/>
      <c r="O284" s="252"/>
      <c r="P284" s="252"/>
      <c r="Q284" s="252"/>
      <c r="R284" s="252"/>
      <c r="S284" s="252"/>
    </row>
    <row r="285" spans="1:19" x14ac:dyDescent="0.25">
      <c r="A285" s="251"/>
      <c r="B285" s="251"/>
      <c r="C285" s="252"/>
      <c r="D285" s="252"/>
      <c r="E285" s="252"/>
      <c r="F285" s="252"/>
      <c r="G285" s="252"/>
      <c r="H285" s="252"/>
      <c r="I285" s="252"/>
      <c r="J285" s="252"/>
      <c r="K285" s="252"/>
      <c r="L285" s="252"/>
      <c r="M285" s="252"/>
      <c r="N285" s="252"/>
      <c r="O285" s="252"/>
      <c r="P285" s="252"/>
      <c r="Q285" s="252"/>
      <c r="R285" s="252"/>
      <c r="S285" s="252"/>
    </row>
    <row r="286" spans="1:19" x14ac:dyDescent="0.25">
      <c r="A286" s="251"/>
      <c r="B286" s="251"/>
      <c r="C286" s="252"/>
      <c r="D286" s="252"/>
      <c r="E286" s="252"/>
      <c r="F286" s="252"/>
      <c r="G286" s="252"/>
      <c r="H286" s="252"/>
      <c r="I286" s="252"/>
      <c r="J286" s="252"/>
      <c r="K286" s="252"/>
      <c r="L286" s="252"/>
      <c r="M286" s="252"/>
      <c r="N286" s="252"/>
      <c r="O286" s="252"/>
      <c r="P286" s="252"/>
      <c r="Q286" s="252"/>
      <c r="R286" s="252"/>
      <c r="S286" s="252"/>
    </row>
    <row r="287" spans="1:19" x14ac:dyDescent="0.25">
      <c r="A287" s="251"/>
      <c r="B287" s="251"/>
      <c r="C287" s="252"/>
      <c r="D287" s="252"/>
      <c r="E287" s="252"/>
      <c r="F287" s="252"/>
      <c r="G287" s="252"/>
      <c r="H287" s="252"/>
      <c r="I287" s="252"/>
      <c r="J287" s="252"/>
      <c r="K287" s="252"/>
      <c r="L287" s="252"/>
      <c r="M287" s="252"/>
      <c r="N287" s="252"/>
      <c r="O287" s="252"/>
      <c r="P287" s="252"/>
      <c r="Q287" s="252"/>
      <c r="R287" s="252"/>
      <c r="S287" s="252"/>
    </row>
    <row r="288" spans="1:19" x14ac:dyDescent="0.25">
      <c r="A288" s="251"/>
      <c r="B288" s="251"/>
      <c r="C288" s="252"/>
      <c r="D288" s="252"/>
      <c r="E288" s="252"/>
      <c r="F288" s="252"/>
      <c r="G288" s="252"/>
      <c r="H288" s="252"/>
      <c r="I288" s="252"/>
      <c r="J288" s="252"/>
      <c r="K288" s="252"/>
      <c r="L288" s="252"/>
      <c r="M288" s="252"/>
      <c r="N288" s="252"/>
      <c r="O288" s="252"/>
      <c r="P288" s="252"/>
      <c r="Q288" s="252"/>
      <c r="R288" s="252"/>
      <c r="S288" s="252"/>
    </row>
    <row r="289" spans="1:19" x14ac:dyDescent="0.25">
      <c r="A289" s="251"/>
      <c r="B289" s="251"/>
      <c r="C289" s="252"/>
      <c r="D289" s="252"/>
      <c r="E289" s="252"/>
      <c r="F289" s="252"/>
      <c r="G289" s="252"/>
      <c r="H289" s="252"/>
      <c r="I289" s="252"/>
      <c r="J289" s="252"/>
      <c r="K289" s="252"/>
      <c r="L289" s="252"/>
      <c r="M289" s="252"/>
      <c r="N289" s="252"/>
      <c r="O289" s="252"/>
      <c r="P289" s="252"/>
      <c r="Q289" s="252"/>
      <c r="R289" s="252"/>
      <c r="S289" s="252"/>
    </row>
    <row r="290" spans="1:19" x14ac:dyDescent="0.25">
      <c r="A290" s="251"/>
      <c r="B290" s="251"/>
      <c r="C290" s="252"/>
      <c r="D290" s="252"/>
      <c r="E290" s="252"/>
      <c r="F290" s="252"/>
      <c r="G290" s="252"/>
      <c r="H290" s="252"/>
      <c r="I290" s="252"/>
      <c r="J290" s="252"/>
      <c r="K290" s="252"/>
      <c r="L290" s="252"/>
      <c r="M290" s="252"/>
      <c r="N290" s="252"/>
      <c r="O290" s="252"/>
      <c r="P290" s="252"/>
      <c r="Q290" s="252"/>
      <c r="R290" s="252"/>
      <c r="S290" s="252"/>
    </row>
    <row r="291" spans="1:19" x14ac:dyDescent="0.25">
      <c r="A291" s="251"/>
      <c r="B291" s="251"/>
      <c r="C291" s="252"/>
      <c r="D291" s="252"/>
      <c r="E291" s="252"/>
      <c r="F291" s="252"/>
      <c r="G291" s="252"/>
      <c r="H291" s="252"/>
      <c r="I291" s="252"/>
      <c r="J291" s="252"/>
      <c r="K291" s="252"/>
      <c r="L291" s="252"/>
      <c r="M291" s="252"/>
      <c r="N291" s="252"/>
      <c r="O291" s="252"/>
      <c r="P291" s="252"/>
      <c r="Q291" s="252"/>
      <c r="R291" s="252"/>
      <c r="S291" s="252"/>
    </row>
    <row r="292" spans="1:19" x14ac:dyDescent="0.25">
      <c r="A292" s="251"/>
      <c r="B292" s="251"/>
      <c r="C292" s="252"/>
      <c r="D292" s="252"/>
      <c r="E292" s="252"/>
      <c r="F292" s="252"/>
      <c r="G292" s="252"/>
      <c r="H292" s="252"/>
      <c r="I292" s="252"/>
      <c r="J292" s="252"/>
      <c r="K292" s="252"/>
      <c r="L292" s="252"/>
      <c r="M292" s="252"/>
      <c r="N292" s="252"/>
      <c r="O292" s="252"/>
      <c r="P292" s="252"/>
      <c r="Q292" s="252"/>
      <c r="R292" s="252"/>
      <c r="S292" s="252"/>
    </row>
    <row r="293" spans="1:19" x14ac:dyDescent="0.25">
      <c r="A293" s="251"/>
      <c r="B293" s="251"/>
      <c r="C293" s="252"/>
      <c r="D293" s="252"/>
      <c r="E293" s="252"/>
      <c r="F293" s="252"/>
      <c r="G293" s="252"/>
      <c r="H293" s="252"/>
      <c r="I293" s="252"/>
      <c r="J293" s="252"/>
      <c r="K293" s="252"/>
      <c r="L293" s="252"/>
      <c r="M293" s="252"/>
      <c r="N293" s="252"/>
      <c r="O293" s="252"/>
      <c r="P293" s="252"/>
      <c r="Q293" s="252"/>
      <c r="R293" s="252"/>
      <c r="S293" s="252"/>
    </row>
    <row r="294" spans="1:19" x14ac:dyDescent="0.25">
      <c r="A294" s="251"/>
      <c r="B294" s="251"/>
      <c r="C294" s="252"/>
      <c r="D294" s="252"/>
      <c r="E294" s="252"/>
      <c r="F294" s="252"/>
      <c r="G294" s="252"/>
      <c r="H294" s="252"/>
      <c r="I294" s="252"/>
      <c r="J294" s="252"/>
      <c r="K294" s="252"/>
      <c r="L294" s="252"/>
      <c r="M294" s="252"/>
      <c r="N294" s="252"/>
      <c r="O294" s="252"/>
      <c r="P294" s="252"/>
      <c r="Q294" s="252"/>
      <c r="R294" s="252"/>
      <c r="S294" s="252"/>
    </row>
    <row r="295" spans="1:19" x14ac:dyDescent="0.25">
      <c r="A295" s="251"/>
      <c r="B295" s="251"/>
      <c r="C295" s="252"/>
      <c r="D295" s="252"/>
      <c r="E295" s="252"/>
      <c r="F295" s="252"/>
      <c r="G295" s="252"/>
      <c r="H295" s="252"/>
      <c r="I295" s="252"/>
      <c r="J295" s="252"/>
      <c r="K295" s="252"/>
      <c r="L295" s="252"/>
      <c r="M295" s="252"/>
      <c r="N295" s="252"/>
      <c r="O295" s="252"/>
      <c r="P295" s="252"/>
      <c r="Q295" s="252"/>
      <c r="R295" s="252"/>
      <c r="S295" s="252"/>
    </row>
    <row r="296" spans="1:19" x14ac:dyDescent="0.25">
      <c r="A296" s="251"/>
      <c r="B296" s="251"/>
      <c r="C296" s="252"/>
      <c r="D296" s="252"/>
      <c r="E296" s="252"/>
      <c r="F296" s="252"/>
      <c r="G296" s="252"/>
      <c r="H296" s="252"/>
      <c r="I296" s="252"/>
      <c r="J296" s="252"/>
      <c r="K296" s="252"/>
      <c r="L296" s="252"/>
      <c r="M296" s="252"/>
      <c r="N296" s="252"/>
      <c r="O296" s="252"/>
      <c r="P296" s="252"/>
      <c r="Q296" s="252"/>
      <c r="R296" s="252"/>
      <c r="S296" s="252"/>
    </row>
    <row r="297" spans="1:19" x14ac:dyDescent="0.25">
      <c r="A297" s="251"/>
      <c r="B297" s="251"/>
      <c r="C297" s="252"/>
      <c r="D297" s="252"/>
      <c r="E297" s="252"/>
      <c r="F297" s="252"/>
      <c r="G297" s="252"/>
      <c r="H297" s="252"/>
      <c r="I297" s="252"/>
      <c r="J297" s="252"/>
      <c r="K297" s="252"/>
      <c r="L297" s="252"/>
      <c r="M297" s="252"/>
      <c r="N297" s="252"/>
      <c r="O297" s="252"/>
      <c r="P297" s="252"/>
      <c r="Q297" s="252"/>
      <c r="R297" s="252"/>
      <c r="S297" s="252"/>
    </row>
    <row r="298" spans="1:19" x14ac:dyDescent="0.25">
      <c r="A298" s="251"/>
      <c r="B298" s="251"/>
      <c r="C298" s="252"/>
      <c r="D298" s="252"/>
      <c r="E298" s="252"/>
      <c r="F298" s="252"/>
      <c r="G298" s="252"/>
      <c r="H298" s="252"/>
      <c r="I298" s="252"/>
      <c r="J298" s="252"/>
      <c r="K298" s="252"/>
      <c r="L298" s="252"/>
      <c r="M298" s="252"/>
      <c r="N298" s="252"/>
      <c r="O298" s="252"/>
      <c r="P298" s="252"/>
      <c r="Q298" s="252"/>
      <c r="R298" s="252"/>
      <c r="S298" s="252"/>
    </row>
    <row r="299" spans="1:19" x14ac:dyDescent="0.25">
      <c r="A299" s="251"/>
      <c r="B299" s="251"/>
      <c r="C299" s="252"/>
      <c r="D299" s="252"/>
      <c r="E299" s="252"/>
      <c r="F299" s="252"/>
      <c r="G299" s="252"/>
      <c r="H299" s="252"/>
      <c r="I299" s="252"/>
      <c r="J299" s="252"/>
      <c r="K299" s="252"/>
      <c r="L299" s="252"/>
      <c r="M299" s="252"/>
      <c r="N299" s="252"/>
      <c r="O299" s="252"/>
      <c r="P299" s="252"/>
      <c r="Q299" s="252"/>
      <c r="R299" s="252"/>
      <c r="S299" s="252"/>
    </row>
    <row r="300" spans="1:19" x14ac:dyDescent="0.25">
      <c r="A300" s="251"/>
      <c r="B300" s="251"/>
      <c r="C300" s="252"/>
      <c r="D300" s="252"/>
      <c r="E300" s="252"/>
      <c r="F300" s="252"/>
      <c r="G300" s="252"/>
      <c r="H300" s="252"/>
      <c r="I300" s="252"/>
      <c r="J300" s="252"/>
      <c r="K300" s="252"/>
      <c r="L300" s="252"/>
      <c r="M300" s="252"/>
      <c r="N300" s="252"/>
      <c r="O300" s="252"/>
      <c r="P300" s="252"/>
      <c r="Q300" s="252"/>
      <c r="R300" s="252"/>
      <c r="S300" s="252"/>
    </row>
    <row r="301" spans="1:19" x14ac:dyDescent="0.25">
      <c r="A301" s="251"/>
      <c r="B301" s="251"/>
      <c r="C301" s="252"/>
      <c r="D301" s="252"/>
      <c r="E301" s="252"/>
      <c r="F301" s="252"/>
      <c r="G301" s="252"/>
      <c r="H301" s="252"/>
      <c r="I301" s="252"/>
      <c r="J301" s="252"/>
      <c r="K301" s="252"/>
      <c r="L301" s="252"/>
      <c r="M301" s="252"/>
      <c r="N301" s="252"/>
      <c r="O301" s="252"/>
      <c r="P301" s="252"/>
      <c r="Q301" s="252"/>
      <c r="R301" s="252"/>
      <c r="S301" s="252"/>
    </row>
    <row r="302" spans="1:19" x14ac:dyDescent="0.25">
      <c r="A302" s="251"/>
      <c r="B302" s="251"/>
      <c r="C302" s="252"/>
      <c r="D302" s="252"/>
      <c r="E302" s="252"/>
      <c r="F302" s="252"/>
      <c r="G302" s="252"/>
      <c r="H302" s="252"/>
      <c r="I302" s="252"/>
      <c r="J302" s="252"/>
      <c r="K302" s="252"/>
      <c r="L302" s="252"/>
      <c r="M302" s="252"/>
      <c r="N302" s="252"/>
      <c r="O302" s="252"/>
      <c r="P302" s="252"/>
      <c r="Q302" s="252"/>
      <c r="R302" s="252"/>
      <c r="S302" s="252"/>
    </row>
    <row r="303" spans="1:19" x14ac:dyDescent="0.25">
      <c r="A303" s="251"/>
      <c r="B303" s="251"/>
      <c r="C303" s="252"/>
      <c r="D303" s="252"/>
      <c r="E303" s="252"/>
      <c r="F303" s="252"/>
      <c r="G303" s="252"/>
      <c r="H303" s="252"/>
      <c r="I303" s="252"/>
      <c r="J303" s="252"/>
      <c r="K303" s="252"/>
      <c r="L303" s="252"/>
      <c r="M303" s="252"/>
      <c r="N303" s="252"/>
      <c r="O303" s="252"/>
      <c r="P303" s="252"/>
      <c r="Q303" s="252"/>
      <c r="R303" s="252"/>
      <c r="S303" s="252"/>
    </row>
    <row r="304" spans="1:19" x14ac:dyDescent="0.25">
      <c r="A304" s="251"/>
      <c r="B304" s="251"/>
      <c r="C304" s="252"/>
      <c r="D304" s="252"/>
      <c r="E304" s="252"/>
      <c r="F304" s="252"/>
      <c r="G304" s="252"/>
      <c r="H304" s="252"/>
      <c r="I304" s="252"/>
      <c r="J304" s="252"/>
      <c r="K304" s="252"/>
      <c r="L304" s="252"/>
      <c r="M304" s="252"/>
      <c r="N304" s="252"/>
      <c r="O304" s="252"/>
      <c r="P304" s="252"/>
      <c r="Q304" s="252"/>
      <c r="R304" s="252"/>
      <c r="S304" s="252"/>
    </row>
    <row r="305" spans="1:19" x14ac:dyDescent="0.25">
      <c r="A305" s="251"/>
      <c r="B305" s="251"/>
      <c r="C305" s="252"/>
      <c r="D305" s="252"/>
      <c r="E305" s="252"/>
      <c r="F305" s="252"/>
      <c r="G305" s="252"/>
      <c r="H305" s="252"/>
      <c r="I305" s="252"/>
      <c r="J305" s="252"/>
      <c r="K305" s="252"/>
      <c r="L305" s="252"/>
      <c r="M305" s="252"/>
      <c r="N305" s="252"/>
      <c r="O305" s="252"/>
      <c r="P305" s="252"/>
      <c r="Q305" s="252"/>
      <c r="R305" s="252"/>
      <c r="S305" s="252"/>
    </row>
    <row r="306" spans="1:19" x14ac:dyDescent="0.25">
      <c r="A306" s="251"/>
      <c r="B306" s="251"/>
      <c r="C306" s="252"/>
      <c r="D306" s="252"/>
      <c r="E306" s="252"/>
      <c r="F306" s="252"/>
      <c r="G306" s="252"/>
      <c r="H306" s="252"/>
      <c r="I306" s="252"/>
      <c r="J306" s="252"/>
      <c r="K306" s="252"/>
      <c r="L306" s="252"/>
      <c r="M306" s="252"/>
      <c r="N306" s="252"/>
      <c r="O306" s="252"/>
      <c r="P306" s="252"/>
      <c r="Q306" s="252"/>
      <c r="R306" s="252"/>
      <c r="S306" s="252"/>
    </row>
    <row r="307" spans="1:19" x14ac:dyDescent="0.25">
      <c r="A307" s="251"/>
      <c r="B307" s="251"/>
      <c r="C307" s="252"/>
      <c r="D307" s="252"/>
      <c r="E307" s="252"/>
      <c r="F307" s="252"/>
      <c r="G307" s="252"/>
      <c r="H307" s="252"/>
      <c r="I307" s="252"/>
      <c r="J307" s="252"/>
      <c r="K307" s="252"/>
      <c r="L307" s="252"/>
      <c r="M307" s="252"/>
      <c r="N307" s="252"/>
      <c r="O307" s="252"/>
      <c r="P307" s="252"/>
      <c r="Q307" s="252"/>
      <c r="R307" s="252"/>
      <c r="S307" s="252"/>
    </row>
    <row r="308" spans="1:19" x14ac:dyDescent="0.25">
      <c r="A308" s="251"/>
      <c r="B308" s="251"/>
      <c r="C308" s="252"/>
      <c r="D308" s="252"/>
      <c r="E308" s="252"/>
      <c r="F308" s="252"/>
      <c r="G308" s="252"/>
      <c r="H308" s="252"/>
      <c r="I308" s="252"/>
      <c r="J308" s="252"/>
      <c r="K308" s="252"/>
      <c r="L308" s="252"/>
      <c r="M308" s="252"/>
      <c r="N308" s="252"/>
      <c r="O308" s="252"/>
      <c r="P308" s="252"/>
      <c r="Q308" s="252"/>
      <c r="R308" s="252"/>
      <c r="S308" s="252"/>
    </row>
    <row r="309" spans="1:19" x14ac:dyDescent="0.25">
      <c r="A309" s="251"/>
      <c r="B309" s="251"/>
      <c r="C309" s="252"/>
      <c r="D309" s="252"/>
      <c r="E309" s="252"/>
      <c r="F309" s="252"/>
      <c r="G309" s="252"/>
      <c r="H309" s="252"/>
      <c r="I309" s="252"/>
      <c r="J309" s="252"/>
      <c r="K309" s="252"/>
      <c r="L309" s="252"/>
      <c r="M309" s="252"/>
      <c r="N309" s="252"/>
      <c r="O309" s="252"/>
      <c r="P309" s="252"/>
      <c r="Q309" s="252"/>
      <c r="R309" s="252"/>
      <c r="S309" s="252"/>
    </row>
    <row r="310" spans="1:19" x14ac:dyDescent="0.25">
      <c r="A310" s="251"/>
      <c r="B310" s="251"/>
      <c r="C310" s="252"/>
      <c r="D310" s="252"/>
      <c r="E310" s="252"/>
      <c r="F310" s="252"/>
      <c r="G310" s="252"/>
      <c r="H310" s="252"/>
      <c r="I310" s="252"/>
      <c r="J310" s="252"/>
      <c r="K310" s="252"/>
      <c r="L310" s="252"/>
      <c r="M310" s="252"/>
      <c r="N310" s="252"/>
      <c r="O310" s="252"/>
      <c r="P310" s="252"/>
      <c r="Q310" s="252"/>
      <c r="R310" s="252"/>
      <c r="S310" s="252"/>
    </row>
    <row r="311" spans="1:19" x14ac:dyDescent="0.25">
      <c r="A311" s="251"/>
      <c r="B311" s="251"/>
      <c r="C311" s="252"/>
      <c r="D311" s="252"/>
      <c r="E311" s="252"/>
      <c r="F311" s="252"/>
      <c r="G311" s="252"/>
      <c r="H311" s="252"/>
      <c r="I311" s="252"/>
      <c r="J311" s="252"/>
      <c r="K311" s="252"/>
      <c r="L311" s="252"/>
      <c r="M311" s="252"/>
      <c r="N311" s="252"/>
      <c r="O311" s="252"/>
      <c r="P311" s="252"/>
      <c r="Q311" s="252"/>
      <c r="R311" s="252"/>
      <c r="S311" s="252"/>
    </row>
    <row r="312" spans="1:19" x14ac:dyDescent="0.25">
      <c r="A312" s="251"/>
      <c r="B312" s="251"/>
      <c r="C312" s="252"/>
      <c r="D312" s="252"/>
      <c r="E312" s="252"/>
      <c r="F312" s="252"/>
      <c r="G312" s="252"/>
      <c r="H312" s="252"/>
      <c r="I312" s="252"/>
      <c r="J312" s="252"/>
      <c r="K312" s="252"/>
      <c r="L312" s="252"/>
      <c r="M312" s="252"/>
      <c r="N312" s="252"/>
      <c r="O312" s="252"/>
      <c r="P312" s="252"/>
      <c r="Q312" s="252"/>
      <c r="R312" s="252"/>
      <c r="S312" s="252"/>
    </row>
    <row r="313" spans="1:19" x14ac:dyDescent="0.25">
      <c r="A313" s="251"/>
      <c r="B313" s="251"/>
      <c r="C313" s="252"/>
      <c r="D313" s="252"/>
      <c r="E313" s="252"/>
      <c r="F313" s="252"/>
      <c r="G313" s="252"/>
      <c r="H313" s="252"/>
      <c r="I313" s="252"/>
      <c r="J313" s="252"/>
      <c r="K313" s="252"/>
      <c r="L313" s="252"/>
      <c r="M313" s="252"/>
      <c r="N313" s="252"/>
      <c r="O313" s="252"/>
      <c r="P313" s="252"/>
      <c r="Q313" s="252"/>
      <c r="R313" s="252"/>
      <c r="S313" s="252"/>
    </row>
    <row r="314" spans="1:19" x14ac:dyDescent="0.25">
      <c r="A314" s="251"/>
      <c r="B314" s="251"/>
      <c r="C314" s="252"/>
      <c r="D314" s="252"/>
      <c r="E314" s="252"/>
      <c r="F314" s="252"/>
      <c r="G314" s="252"/>
      <c r="H314" s="252"/>
      <c r="I314" s="252"/>
      <c r="J314" s="252"/>
      <c r="K314" s="252"/>
      <c r="L314" s="252"/>
      <c r="M314" s="252"/>
      <c r="N314" s="252"/>
      <c r="O314" s="252"/>
      <c r="P314" s="252"/>
      <c r="Q314" s="252"/>
      <c r="R314" s="252"/>
      <c r="S314" s="252"/>
    </row>
    <row r="315" spans="1:19" x14ac:dyDescent="0.25">
      <c r="A315" s="251"/>
      <c r="B315" s="251"/>
      <c r="C315" s="252"/>
      <c r="D315" s="252"/>
      <c r="E315" s="252"/>
      <c r="F315" s="252"/>
      <c r="G315" s="252"/>
      <c r="H315" s="252"/>
      <c r="I315" s="252"/>
      <c r="J315" s="252"/>
      <c r="K315" s="252"/>
      <c r="L315" s="252"/>
      <c r="M315" s="252"/>
      <c r="N315" s="252"/>
      <c r="O315" s="252"/>
      <c r="P315" s="252"/>
      <c r="Q315" s="252"/>
      <c r="R315" s="252"/>
      <c r="S315" s="252"/>
    </row>
    <row r="316" spans="1:19" x14ac:dyDescent="0.25">
      <c r="A316" s="251"/>
      <c r="B316" s="251"/>
      <c r="C316" s="252"/>
      <c r="D316" s="252"/>
      <c r="E316" s="252"/>
      <c r="F316" s="252"/>
      <c r="G316" s="252"/>
      <c r="H316" s="252"/>
      <c r="I316" s="252"/>
      <c r="J316" s="252"/>
      <c r="K316" s="252"/>
      <c r="L316" s="252"/>
      <c r="M316" s="252"/>
      <c r="N316" s="252"/>
      <c r="O316" s="252"/>
      <c r="P316" s="252"/>
      <c r="Q316" s="252"/>
      <c r="R316" s="252"/>
      <c r="S316" s="252"/>
    </row>
    <row r="317" spans="1:19" x14ac:dyDescent="0.25">
      <c r="A317" s="251"/>
      <c r="B317" s="251"/>
      <c r="C317" s="252"/>
      <c r="D317" s="252"/>
      <c r="E317" s="252"/>
      <c r="F317" s="252"/>
      <c r="G317" s="252"/>
      <c r="H317" s="252"/>
      <c r="I317" s="252"/>
      <c r="J317" s="252"/>
      <c r="K317" s="252"/>
      <c r="L317" s="252"/>
      <c r="M317" s="252"/>
      <c r="N317" s="252"/>
      <c r="O317" s="252"/>
      <c r="P317" s="252"/>
      <c r="Q317" s="252"/>
      <c r="R317" s="252"/>
      <c r="S317" s="252"/>
    </row>
    <row r="318" spans="1:19" x14ac:dyDescent="0.25">
      <c r="A318" s="251"/>
      <c r="B318" s="251"/>
      <c r="C318" s="252"/>
      <c r="D318" s="252"/>
      <c r="E318" s="252"/>
      <c r="F318" s="252"/>
      <c r="G318" s="252"/>
      <c r="H318" s="252"/>
      <c r="I318" s="252"/>
      <c r="J318" s="252"/>
      <c r="K318" s="252"/>
      <c r="L318" s="252"/>
      <c r="M318" s="252"/>
      <c r="N318" s="252"/>
      <c r="O318" s="252"/>
      <c r="P318" s="252"/>
      <c r="Q318" s="252"/>
      <c r="R318" s="252"/>
      <c r="S318" s="252"/>
    </row>
    <row r="319" spans="1:19" x14ac:dyDescent="0.25">
      <c r="A319" s="251"/>
      <c r="B319" s="251"/>
      <c r="C319" s="252"/>
      <c r="D319" s="252"/>
      <c r="E319" s="252"/>
      <c r="F319" s="252"/>
      <c r="G319" s="252"/>
      <c r="H319" s="252"/>
      <c r="I319" s="252"/>
      <c r="J319" s="252"/>
      <c r="K319" s="252"/>
      <c r="L319" s="252"/>
      <c r="M319" s="252"/>
      <c r="N319" s="252"/>
      <c r="O319" s="252"/>
      <c r="P319" s="252"/>
      <c r="Q319" s="252"/>
      <c r="R319" s="252"/>
      <c r="S319" s="252"/>
    </row>
    <row r="320" spans="1:19" x14ac:dyDescent="0.25">
      <c r="A320" s="251"/>
      <c r="B320" s="251"/>
      <c r="C320" s="252"/>
      <c r="D320" s="252"/>
      <c r="E320" s="252"/>
      <c r="F320" s="252"/>
      <c r="G320" s="252"/>
      <c r="H320" s="252"/>
      <c r="I320" s="252"/>
      <c r="J320" s="252"/>
      <c r="K320" s="252"/>
      <c r="L320" s="252"/>
      <c r="M320" s="252"/>
      <c r="N320" s="252"/>
      <c r="O320" s="252"/>
      <c r="P320" s="252"/>
      <c r="Q320" s="252"/>
      <c r="R320" s="252"/>
      <c r="S320" s="252"/>
    </row>
    <row r="321" spans="1:19" x14ac:dyDescent="0.25">
      <c r="A321" s="251"/>
      <c r="B321" s="251"/>
      <c r="C321" s="252"/>
      <c r="D321" s="252"/>
      <c r="E321" s="252"/>
      <c r="F321" s="252"/>
      <c r="G321" s="252"/>
      <c r="H321" s="252"/>
      <c r="I321" s="252"/>
      <c r="J321" s="252"/>
      <c r="K321" s="252"/>
      <c r="L321" s="252"/>
      <c r="M321" s="252"/>
      <c r="N321" s="252"/>
      <c r="O321" s="252"/>
      <c r="P321" s="252"/>
      <c r="Q321" s="252"/>
      <c r="R321" s="252"/>
      <c r="S321" s="252"/>
    </row>
    <row r="322" spans="1:19" x14ac:dyDescent="0.25">
      <c r="A322" s="251"/>
      <c r="B322" s="251"/>
      <c r="C322" s="252"/>
      <c r="D322" s="252"/>
      <c r="E322" s="252"/>
      <c r="F322" s="252"/>
      <c r="G322" s="252"/>
      <c r="H322" s="252"/>
      <c r="I322" s="252"/>
      <c r="J322" s="252"/>
      <c r="K322" s="252"/>
      <c r="L322" s="252"/>
      <c r="M322" s="252"/>
      <c r="N322" s="252"/>
      <c r="O322" s="252"/>
      <c r="P322" s="252"/>
      <c r="Q322" s="252"/>
      <c r="R322" s="252"/>
      <c r="S322" s="252"/>
    </row>
    <row r="323" spans="1:19" x14ac:dyDescent="0.25">
      <c r="A323" s="251"/>
      <c r="B323" s="251"/>
      <c r="C323" s="252"/>
      <c r="D323" s="252"/>
      <c r="E323" s="252"/>
      <c r="F323" s="252"/>
      <c r="G323" s="252"/>
      <c r="H323" s="252"/>
      <c r="I323" s="252"/>
      <c r="J323" s="252"/>
      <c r="K323" s="252"/>
      <c r="L323" s="252"/>
      <c r="M323" s="252"/>
      <c r="N323" s="252"/>
      <c r="O323" s="252"/>
      <c r="P323" s="252"/>
      <c r="Q323" s="252"/>
      <c r="R323" s="252"/>
      <c r="S323" s="252"/>
    </row>
    <row r="324" spans="1:19" x14ac:dyDescent="0.25">
      <c r="A324" s="251"/>
      <c r="B324" s="251"/>
      <c r="C324" s="252"/>
      <c r="D324" s="252"/>
      <c r="E324" s="252"/>
      <c r="F324" s="252"/>
      <c r="G324" s="252"/>
      <c r="H324" s="252"/>
      <c r="I324" s="252"/>
      <c r="J324" s="252"/>
      <c r="K324" s="252"/>
      <c r="L324" s="252"/>
      <c r="M324" s="252"/>
      <c r="N324" s="252"/>
      <c r="O324" s="252"/>
      <c r="P324" s="252"/>
      <c r="Q324" s="252"/>
      <c r="R324" s="252"/>
      <c r="S324" s="252"/>
    </row>
    <row r="325" spans="1:19" x14ac:dyDescent="0.25">
      <c r="A325" s="251"/>
      <c r="B325" s="251"/>
      <c r="C325" s="252"/>
      <c r="D325" s="252"/>
      <c r="E325" s="252"/>
      <c r="F325" s="252"/>
      <c r="G325" s="252"/>
      <c r="H325" s="252"/>
      <c r="I325" s="252"/>
      <c r="J325" s="252"/>
      <c r="K325" s="252"/>
      <c r="L325" s="252"/>
      <c r="M325" s="252"/>
      <c r="N325" s="252"/>
      <c r="O325" s="252"/>
      <c r="P325" s="252"/>
      <c r="Q325" s="252"/>
      <c r="R325" s="252"/>
      <c r="S325" s="252"/>
    </row>
    <row r="326" spans="1:19" x14ac:dyDescent="0.25">
      <c r="A326" s="251"/>
      <c r="B326" s="251"/>
      <c r="C326" s="252"/>
      <c r="D326" s="252"/>
      <c r="E326" s="252"/>
      <c r="F326" s="252"/>
      <c r="G326" s="252"/>
      <c r="H326" s="252"/>
      <c r="I326" s="252"/>
      <c r="J326" s="252"/>
      <c r="K326" s="252"/>
      <c r="L326" s="252"/>
      <c r="M326" s="252"/>
      <c r="N326" s="252"/>
      <c r="O326" s="252"/>
      <c r="P326" s="252"/>
      <c r="Q326" s="252"/>
      <c r="R326" s="252"/>
      <c r="S326" s="252"/>
    </row>
    <row r="327" spans="1:19" x14ac:dyDescent="0.25">
      <c r="A327" s="251"/>
      <c r="B327" s="251"/>
      <c r="C327" s="252"/>
      <c r="D327" s="252"/>
      <c r="E327" s="252"/>
      <c r="F327" s="252"/>
      <c r="G327" s="252"/>
      <c r="H327" s="252"/>
      <c r="I327" s="252"/>
      <c r="J327" s="252"/>
      <c r="K327" s="252"/>
      <c r="L327" s="252"/>
      <c r="M327" s="252"/>
      <c r="N327" s="252"/>
      <c r="O327" s="252"/>
      <c r="P327" s="252"/>
      <c r="Q327" s="252"/>
      <c r="R327" s="252"/>
      <c r="S327" s="252"/>
    </row>
    <row r="328" spans="1:19" x14ac:dyDescent="0.25">
      <c r="A328" s="251"/>
      <c r="B328" s="251"/>
      <c r="C328" s="252"/>
      <c r="D328" s="252"/>
      <c r="E328" s="252"/>
      <c r="F328" s="252"/>
      <c r="G328" s="252"/>
      <c r="H328" s="252"/>
      <c r="I328" s="252"/>
      <c r="J328" s="252"/>
      <c r="K328" s="252"/>
      <c r="L328" s="252"/>
      <c r="M328" s="252"/>
      <c r="N328" s="252"/>
      <c r="O328" s="252"/>
      <c r="P328" s="252"/>
      <c r="Q328" s="252"/>
      <c r="R328" s="252"/>
      <c r="S328" s="252"/>
    </row>
    <row r="329" spans="1:19" x14ac:dyDescent="0.25">
      <c r="A329" s="251"/>
      <c r="B329" s="251"/>
      <c r="C329" s="252"/>
      <c r="D329" s="252"/>
      <c r="E329" s="252"/>
      <c r="F329" s="252"/>
      <c r="G329" s="252"/>
      <c r="H329" s="252"/>
      <c r="I329" s="252"/>
      <c r="J329" s="252"/>
      <c r="K329" s="252"/>
      <c r="L329" s="252"/>
      <c r="M329" s="252"/>
      <c r="N329" s="252"/>
      <c r="O329" s="252"/>
      <c r="P329" s="252"/>
      <c r="Q329" s="252"/>
      <c r="R329" s="252"/>
      <c r="S329" s="252"/>
    </row>
    <row r="330" spans="1:19" x14ac:dyDescent="0.25">
      <c r="A330" s="251"/>
      <c r="B330" s="251"/>
      <c r="C330" s="252"/>
      <c r="D330" s="252"/>
      <c r="E330" s="252"/>
      <c r="F330" s="252"/>
      <c r="G330" s="252"/>
      <c r="H330" s="252"/>
      <c r="I330" s="252"/>
      <c r="J330" s="252"/>
      <c r="K330" s="252"/>
      <c r="L330" s="252"/>
      <c r="M330" s="252"/>
      <c r="N330" s="252"/>
      <c r="O330" s="252"/>
      <c r="P330" s="252"/>
      <c r="Q330" s="252"/>
      <c r="R330" s="252"/>
      <c r="S330" s="252"/>
    </row>
    <row r="331" spans="1:19" x14ac:dyDescent="0.25">
      <c r="A331" s="251"/>
      <c r="B331" s="251"/>
      <c r="C331" s="252"/>
      <c r="D331" s="252"/>
      <c r="E331" s="252"/>
      <c r="F331" s="252"/>
      <c r="G331" s="252"/>
      <c r="H331" s="252"/>
      <c r="I331" s="252"/>
      <c r="J331" s="252"/>
      <c r="K331" s="252"/>
      <c r="L331" s="252"/>
      <c r="M331" s="252"/>
      <c r="N331" s="252"/>
      <c r="O331" s="252"/>
      <c r="P331" s="252"/>
      <c r="Q331" s="252"/>
      <c r="R331" s="252"/>
      <c r="S331" s="252"/>
    </row>
    <row r="332" spans="1:19" x14ac:dyDescent="0.25">
      <c r="A332" s="251"/>
      <c r="B332" s="251"/>
      <c r="C332" s="252"/>
      <c r="D332" s="252"/>
      <c r="E332" s="252"/>
      <c r="F332" s="252"/>
      <c r="G332" s="252"/>
      <c r="H332" s="252"/>
      <c r="I332" s="252"/>
      <c r="J332" s="252"/>
      <c r="K332" s="252"/>
      <c r="L332" s="252"/>
      <c r="M332" s="252"/>
      <c r="N332" s="252"/>
      <c r="O332" s="252"/>
      <c r="P332" s="252"/>
      <c r="Q332" s="252"/>
      <c r="R332" s="252"/>
      <c r="S332" s="252"/>
    </row>
    <row r="333" spans="1:19" x14ac:dyDescent="0.25">
      <c r="A333" s="251"/>
      <c r="B333" s="251"/>
      <c r="C333" s="252"/>
      <c r="D333" s="252"/>
      <c r="E333" s="252"/>
      <c r="F333" s="252"/>
      <c r="G333" s="252"/>
      <c r="H333" s="252"/>
      <c r="I333" s="252"/>
      <c r="J333" s="252"/>
      <c r="K333" s="252"/>
      <c r="L333" s="252"/>
      <c r="M333" s="252"/>
      <c r="N333" s="252"/>
      <c r="O333" s="252"/>
      <c r="P333" s="252"/>
      <c r="Q333" s="252"/>
      <c r="R333" s="252"/>
      <c r="S333" s="252"/>
    </row>
    <row r="334" spans="1:19" x14ac:dyDescent="0.25">
      <c r="A334" s="251"/>
      <c r="B334" s="251"/>
      <c r="C334" s="252"/>
      <c r="D334" s="252"/>
      <c r="E334" s="252"/>
      <c r="F334" s="252"/>
      <c r="G334" s="252"/>
      <c r="H334" s="252"/>
      <c r="I334" s="252"/>
      <c r="J334" s="252"/>
      <c r="K334" s="252"/>
      <c r="L334" s="252"/>
      <c r="M334" s="252"/>
      <c r="N334" s="252"/>
      <c r="O334" s="252"/>
      <c r="P334" s="252"/>
      <c r="Q334" s="252"/>
      <c r="R334" s="252"/>
      <c r="S334" s="252"/>
    </row>
    <row r="335" spans="1:19" x14ac:dyDescent="0.25">
      <c r="A335" s="251"/>
      <c r="B335" s="251"/>
      <c r="C335" s="252"/>
      <c r="D335" s="252"/>
      <c r="E335" s="252"/>
      <c r="F335" s="252"/>
      <c r="G335" s="252"/>
      <c r="H335" s="252"/>
      <c r="I335" s="252"/>
      <c r="J335" s="252"/>
      <c r="K335" s="252"/>
      <c r="L335" s="252"/>
      <c r="M335" s="252"/>
      <c r="N335" s="252"/>
      <c r="O335" s="252"/>
      <c r="P335" s="252"/>
      <c r="Q335" s="252"/>
      <c r="R335" s="252"/>
      <c r="S335" s="252"/>
    </row>
    <row r="336" spans="1:19" x14ac:dyDescent="0.25">
      <c r="A336" s="251"/>
      <c r="B336" s="251"/>
      <c r="C336" s="252"/>
      <c r="D336" s="252"/>
      <c r="E336" s="252"/>
      <c r="F336" s="252"/>
      <c r="G336" s="252"/>
      <c r="H336" s="252"/>
      <c r="I336" s="252"/>
      <c r="J336" s="252"/>
      <c r="K336" s="252"/>
      <c r="L336" s="252"/>
      <c r="M336" s="252"/>
      <c r="N336" s="252"/>
      <c r="O336" s="252"/>
      <c r="P336" s="252"/>
      <c r="Q336" s="252"/>
      <c r="R336" s="252"/>
      <c r="S336" s="252"/>
    </row>
    <row r="337" spans="1:19" x14ac:dyDescent="0.25">
      <c r="A337" s="251"/>
      <c r="B337" s="251"/>
      <c r="C337" s="252"/>
      <c r="D337" s="252"/>
      <c r="E337" s="252"/>
      <c r="F337" s="252"/>
      <c r="G337" s="252"/>
      <c r="H337" s="252"/>
      <c r="I337" s="252"/>
      <c r="J337" s="252"/>
      <c r="K337" s="252"/>
      <c r="L337" s="252"/>
      <c r="M337" s="252"/>
      <c r="N337" s="252"/>
      <c r="O337" s="252"/>
      <c r="P337" s="252"/>
      <c r="Q337" s="252"/>
      <c r="R337" s="252"/>
      <c r="S337" s="252"/>
    </row>
    <row r="338" spans="1:19" x14ac:dyDescent="0.25">
      <c r="A338" s="251"/>
      <c r="B338" s="251"/>
      <c r="C338" s="252"/>
      <c r="D338" s="252"/>
      <c r="E338" s="252"/>
      <c r="F338" s="252"/>
      <c r="G338" s="252"/>
      <c r="H338" s="252"/>
      <c r="I338" s="252"/>
      <c r="J338" s="252"/>
      <c r="K338" s="252"/>
      <c r="L338" s="252"/>
      <c r="M338" s="252"/>
      <c r="N338" s="252"/>
      <c r="O338" s="252"/>
      <c r="P338" s="252"/>
      <c r="Q338" s="252"/>
      <c r="R338" s="252"/>
      <c r="S338" s="252"/>
    </row>
    <row r="339" spans="1:19" x14ac:dyDescent="0.25">
      <c r="A339" s="251"/>
      <c r="B339" s="251"/>
      <c r="C339" s="252"/>
      <c r="D339" s="252"/>
      <c r="E339" s="252"/>
      <c r="F339" s="252"/>
      <c r="G339" s="252"/>
      <c r="H339" s="252"/>
      <c r="I339" s="252"/>
      <c r="J339" s="252"/>
      <c r="K339" s="252"/>
      <c r="L339" s="252"/>
      <c r="M339" s="252"/>
      <c r="N339" s="252"/>
      <c r="O339" s="252"/>
      <c r="P339" s="252"/>
      <c r="Q339" s="252"/>
      <c r="R339" s="252"/>
      <c r="S339" s="252"/>
    </row>
    <row r="340" spans="1:19" x14ac:dyDescent="0.25">
      <c r="A340" s="251"/>
      <c r="B340" s="251"/>
      <c r="C340" s="252"/>
      <c r="D340" s="252"/>
      <c r="E340" s="252"/>
      <c r="F340" s="252"/>
      <c r="G340" s="252"/>
      <c r="H340" s="252"/>
      <c r="I340" s="252"/>
      <c r="J340" s="252"/>
      <c r="K340" s="252"/>
      <c r="L340" s="252"/>
      <c r="M340" s="252"/>
      <c r="N340" s="252"/>
      <c r="O340" s="252"/>
      <c r="P340" s="252"/>
      <c r="Q340" s="252"/>
      <c r="R340" s="252"/>
      <c r="S340" s="252"/>
    </row>
    <row r="341" spans="1:19" x14ac:dyDescent="0.25">
      <c r="A341" s="251"/>
      <c r="B341" s="251"/>
      <c r="C341" s="252"/>
      <c r="D341" s="252"/>
      <c r="E341" s="252"/>
      <c r="F341" s="252"/>
      <c r="G341" s="252"/>
      <c r="H341" s="252"/>
      <c r="I341" s="252"/>
      <c r="J341" s="252"/>
      <c r="K341" s="252"/>
      <c r="L341" s="252"/>
      <c r="M341" s="252"/>
      <c r="N341" s="252"/>
      <c r="O341" s="252"/>
      <c r="P341" s="252"/>
      <c r="Q341" s="252"/>
      <c r="R341" s="252"/>
      <c r="S341" s="252"/>
    </row>
    <row r="342" spans="1:19" x14ac:dyDescent="0.25">
      <c r="A342" s="251"/>
      <c r="B342" s="251"/>
      <c r="C342" s="252"/>
      <c r="D342" s="252"/>
      <c r="E342" s="252"/>
      <c r="F342" s="252"/>
      <c r="G342" s="252"/>
      <c r="H342" s="252"/>
      <c r="I342" s="252"/>
      <c r="J342" s="252"/>
      <c r="K342" s="252"/>
      <c r="L342" s="252"/>
      <c r="M342" s="252"/>
      <c r="N342" s="252"/>
      <c r="O342" s="252"/>
      <c r="P342" s="252"/>
      <c r="Q342" s="252"/>
      <c r="R342" s="252"/>
      <c r="S342" s="252"/>
    </row>
    <row r="343" spans="1:19" x14ac:dyDescent="0.25">
      <c r="A343" s="251"/>
      <c r="B343" s="251"/>
      <c r="C343" s="252"/>
      <c r="D343" s="252"/>
      <c r="E343" s="252"/>
      <c r="F343" s="252"/>
      <c r="G343" s="252"/>
      <c r="H343" s="252"/>
      <c r="I343" s="252"/>
      <c r="J343" s="252"/>
      <c r="K343" s="252"/>
      <c r="L343" s="252"/>
      <c r="M343" s="252"/>
      <c r="N343" s="252"/>
      <c r="O343" s="252"/>
      <c r="P343" s="252"/>
      <c r="Q343" s="252"/>
      <c r="R343" s="252"/>
      <c r="S343" s="252"/>
    </row>
    <row r="344" spans="1:19" x14ac:dyDescent="0.25">
      <c r="A344" s="251"/>
      <c r="B344" s="251"/>
      <c r="C344" s="252"/>
      <c r="D344" s="252"/>
      <c r="E344" s="252"/>
      <c r="F344" s="252"/>
      <c r="G344" s="252"/>
      <c r="H344" s="252"/>
      <c r="I344" s="252"/>
      <c r="J344" s="252"/>
      <c r="K344" s="252"/>
      <c r="L344" s="252"/>
      <c r="M344" s="252"/>
      <c r="N344" s="252"/>
      <c r="O344" s="252"/>
      <c r="P344" s="252"/>
      <c r="Q344" s="252"/>
      <c r="R344" s="252"/>
      <c r="S344" s="252"/>
    </row>
    <row r="345" spans="1:19" x14ac:dyDescent="0.25">
      <c r="A345" s="251"/>
      <c r="B345" s="251"/>
      <c r="C345" s="252"/>
      <c r="D345" s="252"/>
      <c r="E345" s="252"/>
      <c r="F345" s="252"/>
      <c r="G345" s="252"/>
      <c r="H345" s="252"/>
      <c r="I345" s="252"/>
      <c r="J345" s="252"/>
      <c r="K345" s="252"/>
      <c r="L345" s="252"/>
      <c r="M345" s="252"/>
      <c r="N345" s="252"/>
      <c r="O345" s="252"/>
      <c r="P345" s="252"/>
      <c r="Q345" s="252"/>
      <c r="R345" s="252"/>
      <c r="S345" s="252"/>
    </row>
    <row r="346" spans="1:19" x14ac:dyDescent="0.25">
      <c r="A346" s="251"/>
      <c r="B346" s="251"/>
      <c r="C346" s="252"/>
      <c r="D346" s="252"/>
      <c r="E346" s="252"/>
      <c r="F346" s="252"/>
      <c r="G346" s="252"/>
      <c r="H346" s="252"/>
      <c r="I346" s="252"/>
      <c r="J346" s="252"/>
      <c r="K346" s="252"/>
      <c r="L346" s="252"/>
      <c r="M346" s="252"/>
      <c r="N346" s="252"/>
      <c r="O346" s="252"/>
      <c r="P346" s="252"/>
      <c r="Q346" s="252"/>
      <c r="R346" s="252"/>
      <c r="S346" s="252"/>
    </row>
    <row r="347" spans="1:19" x14ac:dyDescent="0.25">
      <c r="A347" s="251"/>
      <c r="B347" s="251"/>
      <c r="C347" s="252"/>
      <c r="D347" s="252"/>
      <c r="E347" s="252"/>
      <c r="F347" s="252"/>
      <c r="G347" s="252"/>
      <c r="H347" s="252"/>
      <c r="I347" s="252"/>
      <c r="J347" s="252"/>
      <c r="K347" s="252"/>
      <c r="L347" s="252"/>
      <c r="M347" s="252"/>
      <c r="N347" s="252"/>
      <c r="O347" s="252"/>
      <c r="P347" s="252"/>
      <c r="Q347" s="252"/>
      <c r="R347" s="252"/>
      <c r="S347" s="252"/>
    </row>
    <row r="348" spans="1:19" x14ac:dyDescent="0.25">
      <c r="A348" s="251"/>
      <c r="B348" s="251"/>
      <c r="C348" s="252"/>
      <c r="D348" s="252"/>
      <c r="E348" s="252"/>
      <c r="F348" s="252"/>
      <c r="G348" s="252"/>
      <c r="H348" s="252"/>
      <c r="I348" s="252"/>
      <c r="J348" s="252"/>
      <c r="K348" s="252"/>
      <c r="L348" s="252"/>
      <c r="M348" s="252"/>
      <c r="N348" s="252"/>
      <c r="O348" s="252"/>
      <c r="P348" s="252"/>
      <c r="Q348" s="252"/>
      <c r="R348" s="252"/>
      <c r="S348" s="252"/>
    </row>
    <row r="349" spans="1:19" x14ac:dyDescent="0.25">
      <c r="A349" s="251"/>
      <c r="B349" s="251"/>
      <c r="C349" s="252"/>
      <c r="D349" s="252"/>
      <c r="E349" s="252"/>
      <c r="F349" s="252"/>
      <c r="G349" s="252"/>
      <c r="H349" s="252"/>
      <c r="I349" s="252"/>
      <c r="J349" s="252"/>
      <c r="K349" s="252"/>
      <c r="L349" s="252"/>
      <c r="M349" s="252"/>
      <c r="N349" s="252"/>
      <c r="O349" s="252"/>
      <c r="P349" s="252"/>
      <c r="Q349" s="252"/>
      <c r="R349" s="252"/>
      <c r="S349" s="252"/>
    </row>
    <row r="350" spans="1:19" x14ac:dyDescent="0.25">
      <c r="A350" s="251"/>
      <c r="B350" s="251"/>
      <c r="C350" s="252"/>
      <c r="D350" s="252"/>
      <c r="E350" s="252"/>
      <c r="F350" s="252"/>
      <c r="G350" s="252"/>
      <c r="H350" s="252"/>
      <c r="I350" s="252"/>
      <c r="J350" s="252"/>
      <c r="K350" s="252"/>
      <c r="L350" s="252"/>
      <c r="M350" s="252"/>
      <c r="N350" s="252"/>
      <c r="O350" s="252"/>
      <c r="P350" s="252"/>
      <c r="Q350" s="252"/>
      <c r="R350" s="252"/>
      <c r="S350" s="252"/>
    </row>
    <row r="351" spans="1:19" x14ac:dyDescent="0.25">
      <c r="A351" s="251"/>
      <c r="B351" s="251"/>
      <c r="C351" s="252"/>
      <c r="D351" s="252"/>
      <c r="E351" s="252"/>
      <c r="F351" s="252"/>
      <c r="G351" s="252"/>
      <c r="H351" s="252"/>
      <c r="I351" s="252"/>
      <c r="J351" s="252"/>
      <c r="K351" s="252"/>
      <c r="L351" s="252"/>
      <c r="M351" s="252"/>
      <c r="N351" s="252"/>
      <c r="O351" s="252"/>
      <c r="P351" s="252"/>
      <c r="Q351" s="252"/>
      <c r="R351" s="252"/>
      <c r="S351" s="252"/>
    </row>
    <row r="352" spans="1:19" x14ac:dyDescent="0.25">
      <c r="A352" s="251"/>
      <c r="B352" s="251"/>
      <c r="C352" s="252"/>
      <c r="D352" s="252"/>
      <c r="E352" s="252"/>
      <c r="F352" s="252"/>
      <c r="G352" s="252"/>
      <c r="H352" s="252"/>
      <c r="I352" s="252"/>
      <c r="J352" s="252"/>
      <c r="K352" s="252"/>
      <c r="L352" s="252"/>
      <c r="M352" s="252"/>
      <c r="N352" s="252"/>
      <c r="O352" s="252"/>
      <c r="P352" s="252"/>
      <c r="Q352" s="252"/>
      <c r="R352" s="252"/>
      <c r="S352" s="252"/>
    </row>
    <row r="353" spans="1:19" x14ac:dyDescent="0.25">
      <c r="A353" s="251"/>
      <c r="B353" s="251"/>
      <c r="C353" s="252"/>
      <c r="D353" s="252"/>
      <c r="E353" s="252"/>
      <c r="F353" s="252"/>
      <c r="G353" s="252"/>
      <c r="H353" s="252"/>
      <c r="I353" s="252"/>
      <c r="J353" s="252"/>
      <c r="K353" s="252"/>
      <c r="L353" s="252"/>
      <c r="M353" s="252"/>
      <c r="N353" s="252"/>
      <c r="O353" s="252"/>
      <c r="P353" s="252"/>
      <c r="Q353" s="252"/>
      <c r="R353" s="252"/>
      <c r="S353" s="252"/>
    </row>
    <row r="354" spans="1:19" x14ac:dyDescent="0.25">
      <c r="A354" s="251"/>
      <c r="B354" s="251"/>
      <c r="C354" s="252"/>
      <c r="D354" s="252"/>
      <c r="E354" s="252"/>
      <c r="F354" s="252"/>
      <c r="G354" s="252"/>
      <c r="H354" s="252"/>
      <c r="I354" s="252"/>
      <c r="J354" s="252"/>
      <c r="K354" s="252"/>
      <c r="L354" s="252"/>
      <c r="M354" s="252"/>
      <c r="N354" s="252"/>
      <c r="O354" s="252"/>
      <c r="P354" s="252"/>
      <c r="Q354" s="252"/>
      <c r="R354" s="252"/>
      <c r="S354" s="252"/>
    </row>
    <row r="355" spans="1:19" x14ac:dyDescent="0.25">
      <c r="A355" s="251"/>
      <c r="B355" s="251"/>
      <c r="C355" s="252"/>
      <c r="D355" s="252"/>
      <c r="E355" s="252"/>
      <c r="F355" s="252"/>
      <c r="G355" s="252"/>
      <c r="H355" s="252"/>
      <c r="I355" s="252"/>
      <c r="J355" s="252"/>
      <c r="K355" s="252"/>
      <c r="L355" s="252"/>
      <c r="M355" s="252"/>
      <c r="N355" s="252"/>
      <c r="O355" s="252"/>
      <c r="P355" s="252"/>
      <c r="Q355" s="252"/>
      <c r="R355" s="252"/>
      <c r="S355" s="252"/>
    </row>
    <row r="356" spans="1:19" x14ac:dyDescent="0.25">
      <c r="A356" s="251"/>
      <c r="B356" s="251"/>
      <c r="C356" s="252"/>
      <c r="D356" s="252"/>
      <c r="E356" s="252"/>
      <c r="F356" s="252"/>
      <c r="G356" s="252"/>
      <c r="H356" s="252"/>
      <c r="I356" s="252"/>
      <c r="J356" s="252"/>
      <c r="K356" s="252"/>
      <c r="L356" s="252"/>
      <c r="M356" s="252"/>
      <c r="N356" s="252"/>
      <c r="O356" s="252"/>
      <c r="P356" s="252"/>
      <c r="Q356" s="252"/>
      <c r="R356" s="252"/>
      <c r="S356" s="252"/>
    </row>
    <row r="357" spans="1:19" x14ac:dyDescent="0.25">
      <c r="A357" s="251"/>
      <c r="B357" s="251"/>
      <c r="C357" s="252"/>
      <c r="D357" s="252"/>
      <c r="E357" s="252"/>
      <c r="F357" s="252"/>
      <c r="G357" s="252"/>
      <c r="H357" s="252"/>
      <c r="I357" s="252"/>
      <c r="J357" s="252"/>
      <c r="K357" s="252"/>
      <c r="L357" s="252"/>
      <c r="M357" s="252"/>
      <c r="N357" s="252"/>
      <c r="O357" s="252"/>
      <c r="P357" s="252"/>
      <c r="Q357" s="252"/>
      <c r="R357" s="252"/>
      <c r="S357" s="252"/>
    </row>
    <row r="358" spans="1:19" x14ac:dyDescent="0.25">
      <c r="A358" s="251"/>
      <c r="B358" s="251"/>
      <c r="C358" s="252"/>
      <c r="D358" s="252"/>
      <c r="E358" s="252"/>
      <c r="F358" s="252"/>
      <c r="G358" s="252"/>
      <c r="H358" s="252"/>
      <c r="I358" s="252"/>
      <c r="J358" s="252"/>
      <c r="K358" s="252"/>
      <c r="L358" s="252"/>
      <c r="M358" s="252"/>
      <c r="N358" s="252"/>
      <c r="O358" s="252"/>
      <c r="P358" s="252"/>
      <c r="Q358" s="252"/>
      <c r="R358" s="252"/>
      <c r="S358" s="252"/>
    </row>
    <row r="359" spans="1:19" x14ac:dyDescent="0.25">
      <c r="A359" s="251"/>
      <c r="B359" s="251"/>
      <c r="C359" s="252"/>
      <c r="D359" s="252"/>
      <c r="E359" s="252"/>
      <c r="F359" s="252"/>
      <c r="G359" s="252"/>
      <c r="H359" s="252"/>
      <c r="I359" s="252"/>
      <c r="J359" s="252"/>
      <c r="K359" s="252"/>
      <c r="L359" s="252"/>
      <c r="M359" s="252"/>
      <c r="N359" s="252"/>
      <c r="O359" s="252"/>
      <c r="P359" s="252"/>
      <c r="Q359" s="252"/>
      <c r="R359" s="252"/>
      <c r="S359" s="252"/>
    </row>
    <row r="360" spans="1:19" x14ac:dyDescent="0.25">
      <c r="A360" s="251"/>
      <c r="B360" s="251"/>
      <c r="C360" s="252"/>
      <c r="D360" s="252"/>
      <c r="E360" s="252"/>
      <c r="F360" s="252"/>
      <c r="G360" s="252"/>
      <c r="H360" s="252"/>
      <c r="I360" s="252"/>
      <c r="J360" s="252"/>
      <c r="K360" s="252"/>
      <c r="L360" s="252"/>
      <c r="M360" s="252"/>
      <c r="N360" s="252"/>
      <c r="O360" s="252"/>
      <c r="P360" s="252"/>
      <c r="Q360" s="252"/>
      <c r="R360" s="252"/>
      <c r="S360" s="252"/>
    </row>
    <row r="361" spans="1:19" x14ac:dyDescent="0.25">
      <c r="A361" s="251"/>
      <c r="B361" s="251"/>
      <c r="C361" s="252"/>
      <c r="D361" s="252"/>
      <c r="E361" s="252"/>
      <c r="F361" s="252"/>
      <c r="G361" s="252"/>
      <c r="H361" s="252"/>
      <c r="I361" s="252"/>
      <c r="J361" s="252"/>
      <c r="K361" s="252"/>
      <c r="L361" s="252"/>
      <c r="M361" s="252"/>
      <c r="N361" s="252"/>
      <c r="O361" s="252"/>
      <c r="P361" s="252"/>
      <c r="Q361" s="252"/>
      <c r="R361" s="252"/>
      <c r="S361" s="252"/>
    </row>
    <row r="362" spans="1:19" x14ac:dyDescent="0.25">
      <c r="A362" s="251"/>
      <c r="B362" s="251"/>
      <c r="C362" s="252"/>
      <c r="D362" s="252"/>
      <c r="E362" s="252"/>
      <c r="F362" s="252"/>
      <c r="G362" s="252"/>
      <c r="H362" s="252"/>
      <c r="I362" s="252"/>
      <c r="J362" s="252"/>
      <c r="K362" s="252"/>
      <c r="L362" s="252"/>
      <c r="M362" s="252"/>
      <c r="N362" s="252"/>
      <c r="O362" s="252"/>
      <c r="P362" s="252"/>
      <c r="Q362" s="252"/>
      <c r="R362" s="252"/>
      <c r="S362" s="252"/>
    </row>
    <row r="363" spans="1:19" x14ac:dyDescent="0.25">
      <c r="A363" s="251"/>
      <c r="B363" s="251"/>
      <c r="C363" s="252"/>
      <c r="D363" s="252"/>
      <c r="E363" s="252"/>
      <c r="F363" s="252"/>
      <c r="G363" s="252"/>
      <c r="H363" s="252"/>
      <c r="I363" s="252"/>
      <c r="J363" s="252"/>
      <c r="K363" s="252"/>
      <c r="L363" s="252"/>
      <c r="M363" s="252"/>
      <c r="N363" s="252"/>
      <c r="O363" s="252"/>
      <c r="P363" s="252"/>
      <c r="Q363" s="252"/>
      <c r="R363" s="252"/>
      <c r="S363" s="252"/>
    </row>
    <row r="364" spans="1:19" x14ac:dyDescent="0.25">
      <c r="A364" s="251"/>
      <c r="B364" s="251"/>
      <c r="C364" s="252"/>
      <c r="D364" s="252"/>
      <c r="E364" s="252"/>
      <c r="F364" s="252"/>
      <c r="G364" s="252"/>
      <c r="H364" s="252"/>
      <c r="I364" s="252"/>
      <c r="J364" s="252"/>
      <c r="K364" s="252"/>
      <c r="L364" s="252"/>
      <c r="M364" s="252"/>
      <c r="N364" s="252"/>
      <c r="O364" s="252"/>
      <c r="P364" s="252"/>
      <c r="Q364" s="252"/>
      <c r="R364" s="252"/>
      <c r="S364" s="252"/>
    </row>
    <row r="365" spans="1:19" x14ac:dyDescent="0.25">
      <c r="A365" s="251"/>
      <c r="B365" s="251"/>
      <c r="C365" s="252"/>
      <c r="D365" s="252"/>
      <c r="E365" s="252"/>
      <c r="F365" s="252"/>
      <c r="G365" s="252"/>
      <c r="H365" s="252"/>
      <c r="I365" s="252"/>
      <c r="J365" s="252"/>
      <c r="K365" s="252"/>
      <c r="L365" s="252"/>
      <c r="M365" s="252"/>
      <c r="N365" s="252"/>
      <c r="O365" s="252"/>
      <c r="P365" s="252"/>
      <c r="Q365" s="252"/>
      <c r="R365" s="252"/>
      <c r="S365" s="252"/>
    </row>
    <row r="366" spans="1:19" x14ac:dyDescent="0.25">
      <c r="A366" s="251"/>
      <c r="B366" s="251"/>
      <c r="C366" s="252"/>
      <c r="D366" s="252"/>
      <c r="E366" s="252"/>
      <c r="F366" s="252"/>
      <c r="G366" s="252"/>
      <c r="H366" s="252"/>
      <c r="I366" s="252"/>
      <c r="J366" s="252"/>
      <c r="K366" s="252"/>
      <c r="L366" s="252"/>
      <c r="M366" s="252"/>
      <c r="N366" s="252"/>
      <c r="O366" s="252"/>
      <c r="P366" s="252"/>
      <c r="Q366" s="252"/>
      <c r="R366" s="252"/>
      <c r="S366" s="252"/>
    </row>
    <row r="367" spans="1:19" x14ac:dyDescent="0.25">
      <c r="A367" s="251"/>
      <c r="B367" s="251"/>
      <c r="C367" s="252"/>
      <c r="D367" s="252"/>
      <c r="E367" s="252"/>
      <c r="F367" s="252"/>
      <c r="G367" s="252"/>
      <c r="H367" s="252"/>
      <c r="I367" s="252"/>
      <c r="J367" s="252"/>
      <c r="K367" s="252"/>
      <c r="L367" s="252"/>
      <c r="M367" s="252"/>
      <c r="N367" s="252"/>
      <c r="O367" s="252"/>
      <c r="P367" s="252"/>
      <c r="Q367" s="252"/>
      <c r="R367" s="252"/>
      <c r="S367" s="252"/>
    </row>
    <row r="368" spans="1:19" x14ac:dyDescent="0.25">
      <c r="A368" s="251"/>
      <c r="B368" s="251"/>
      <c r="C368" s="252"/>
      <c r="D368" s="252"/>
      <c r="E368" s="252"/>
      <c r="F368" s="252"/>
      <c r="G368" s="252"/>
      <c r="H368" s="252"/>
      <c r="I368" s="252"/>
      <c r="J368" s="252"/>
      <c r="K368" s="252"/>
      <c r="L368" s="252"/>
      <c r="M368" s="252"/>
      <c r="N368" s="252"/>
      <c r="O368" s="252"/>
      <c r="P368" s="252"/>
      <c r="Q368" s="252"/>
      <c r="R368" s="252"/>
      <c r="S368" s="252"/>
    </row>
    <row r="369" spans="1:19" x14ac:dyDescent="0.25">
      <c r="A369" s="251"/>
      <c r="B369" s="251"/>
      <c r="C369" s="252"/>
      <c r="D369" s="252"/>
      <c r="E369" s="252"/>
      <c r="F369" s="252"/>
      <c r="G369" s="252"/>
      <c r="H369" s="252"/>
      <c r="I369" s="252"/>
      <c r="J369" s="252"/>
      <c r="K369" s="252"/>
      <c r="L369" s="252"/>
      <c r="M369" s="252"/>
      <c r="N369" s="252"/>
      <c r="O369" s="252"/>
      <c r="P369" s="252"/>
      <c r="Q369" s="252"/>
      <c r="R369" s="252"/>
      <c r="S369" s="252"/>
    </row>
    <row r="370" spans="1:19" x14ac:dyDescent="0.25">
      <c r="A370" s="251"/>
      <c r="B370" s="251"/>
      <c r="C370" s="252"/>
      <c r="D370" s="252"/>
      <c r="E370" s="252"/>
      <c r="F370" s="252"/>
      <c r="G370" s="252"/>
      <c r="H370" s="252"/>
      <c r="I370" s="252"/>
      <c r="J370" s="252"/>
      <c r="K370" s="252"/>
      <c r="L370" s="252"/>
      <c r="M370" s="252"/>
      <c r="N370" s="252"/>
      <c r="O370" s="252"/>
      <c r="P370" s="252"/>
      <c r="Q370" s="252"/>
      <c r="R370" s="252"/>
      <c r="S370" s="252"/>
    </row>
    <row r="371" spans="1:19" x14ac:dyDescent="0.25">
      <c r="A371" s="251"/>
      <c r="B371" s="251"/>
      <c r="C371" s="252"/>
      <c r="D371" s="252"/>
      <c r="E371" s="252"/>
      <c r="F371" s="252"/>
      <c r="G371" s="252"/>
      <c r="H371" s="252"/>
      <c r="I371" s="252"/>
      <c r="J371" s="252"/>
      <c r="K371" s="252"/>
      <c r="L371" s="252"/>
      <c r="M371" s="252"/>
      <c r="N371" s="252"/>
      <c r="O371" s="252"/>
      <c r="P371" s="252"/>
      <c r="Q371" s="252"/>
      <c r="R371" s="252"/>
      <c r="S371" s="252"/>
    </row>
    <row r="372" spans="1:19" x14ac:dyDescent="0.25">
      <c r="A372" s="251"/>
      <c r="B372" s="251"/>
      <c r="C372" s="252"/>
      <c r="D372" s="252"/>
      <c r="E372" s="252"/>
      <c r="F372" s="252"/>
      <c r="G372" s="252"/>
      <c r="H372" s="252"/>
      <c r="I372" s="252"/>
      <c r="J372" s="252"/>
      <c r="K372" s="252"/>
      <c r="L372" s="252"/>
      <c r="M372" s="252"/>
      <c r="N372" s="252"/>
      <c r="O372" s="252"/>
      <c r="P372" s="252"/>
      <c r="Q372" s="252"/>
      <c r="R372" s="252"/>
      <c r="S372" s="252"/>
    </row>
    <row r="373" spans="1:19" x14ac:dyDescent="0.25">
      <c r="A373" s="251"/>
      <c r="B373" s="251"/>
      <c r="C373" s="252"/>
      <c r="D373" s="252"/>
      <c r="E373" s="252"/>
      <c r="F373" s="252"/>
      <c r="G373" s="252"/>
      <c r="H373" s="252"/>
      <c r="I373" s="252"/>
      <c r="J373" s="252"/>
      <c r="K373" s="252"/>
      <c r="L373" s="252"/>
      <c r="M373" s="252"/>
      <c r="N373" s="252"/>
      <c r="O373" s="252"/>
      <c r="P373" s="252"/>
      <c r="Q373" s="252"/>
      <c r="R373" s="252"/>
      <c r="S373" s="252"/>
    </row>
    <row r="374" spans="1:19" x14ac:dyDescent="0.25">
      <c r="A374" s="251"/>
      <c r="B374" s="251"/>
      <c r="C374" s="252"/>
      <c r="D374" s="252"/>
      <c r="E374" s="252"/>
      <c r="F374" s="252"/>
      <c r="G374" s="252"/>
      <c r="H374" s="252"/>
      <c r="I374" s="252"/>
      <c r="J374" s="252"/>
      <c r="K374" s="252"/>
      <c r="L374" s="252"/>
      <c r="M374" s="252"/>
      <c r="N374" s="252"/>
      <c r="O374" s="252"/>
      <c r="P374" s="252"/>
      <c r="Q374" s="252"/>
      <c r="R374" s="252"/>
      <c r="S374" s="252"/>
    </row>
    <row r="375" spans="1:19" x14ac:dyDescent="0.25">
      <c r="A375" s="251"/>
      <c r="B375" s="251"/>
      <c r="C375" s="252"/>
      <c r="D375" s="252"/>
      <c r="E375" s="252"/>
      <c r="F375" s="252"/>
      <c r="G375" s="252"/>
      <c r="H375" s="252"/>
      <c r="I375" s="252"/>
      <c r="J375" s="252"/>
      <c r="K375" s="252"/>
      <c r="L375" s="252"/>
      <c r="M375" s="252"/>
      <c r="N375" s="252"/>
      <c r="O375" s="252"/>
      <c r="P375" s="252"/>
      <c r="Q375" s="252"/>
      <c r="R375" s="252"/>
      <c r="S375" s="252"/>
    </row>
    <row r="376" spans="1:19" x14ac:dyDescent="0.25">
      <c r="A376" s="251"/>
      <c r="B376" s="251"/>
      <c r="C376" s="252"/>
      <c r="D376" s="252"/>
      <c r="E376" s="252"/>
      <c r="F376" s="252"/>
      <c r="G376" s="252"/>
      <c r="H376" s="252"/>
      <c r="I376" s="252"/>
      <c r="J376" s="252"/>
      <c r="K376" s="252"/>
      <c r="L376" s="252"/>
      <c r="M376" s="252"/>
      <c r="N376" s="252"/>
      <c r="O376" s="252"/>
      <c r="P376" s="252"/>
      <c r="Q376" s="252"/>
      <c r="R376" s="252"/>
      <c r="S376" s="252"/>
    </row>
    <row r="377" spans="1:19" x14ac:dyDescent="0.25">
      <c r="A377" s="251"/>
      <c r="B377" s="251"/>
      <c r="C377" s="252"/>
      <c r="D377" s="252"/>
      <c r="E377" s="252"/>
      <c r="F377" s="252"/>
      <c r="G377" s="252"/>
      <c r="H377" s="252"/>
      <c r="I377" s="252"/>
      <c r="J377" s="252"/>
      <c r="K377" s="252"/>
      <c r="L377" s="252"/>
      <c r="M377" s="252"/>
      <c r="N377" s="252"/>
      <c r="O377" s="252"/>
      <c r="P377" s="252"/>
      <c r="Q377" s="252"/>
      <c r="R377" s="252"/>
      <c r="S377" s="252"/>
    </row>
    <row r="378" spans="1:19" x14ac:dyDescent="0.25">
      <c r="A378" s="251"/>
      <c r="B378" s="251"/>
      <c r="C378" s="252"/>
      <c r="D378" s="252"/>
      <c r="E378" s="252"/>
      <c r="F378" s="252"/>
      <c r="G378" s="252"/>
      <c r="H378" s="252"/>
      <c r="I378" s="252"/>
      <c r="J378" s="252"/>
      <c r="K378" s="252"/>
      <c r="L378" s="252"/>
      <c r="M378" s="252"/>
      <c r="N378" s="252"/>
      <c r="O378" s="252"/>
      <c r="P378" s="252"/>
      <c r="Q378" s="252"/>
      <c r="R378" s="252"/>
      <c r="S378" s="252"/>
    </row>
    <row r="379" spans="1:19" x14ac:dyDescent="0.25">
      <c r="A379" s="251"/>
      <c r="B379" s="251"/>
      <c r="C379" s="252"/>
      <c r="D379" s="252"/>
      <c r="E379" s="252"/>
      <c r="F379" s="252"/>
      <c r="G379" s="252"/>
      <c r="H379" s="252"/>
      <c r="I379" s="252"/>
      <c r="J379" s="252"/>
      <c r="K379" s="252"/>
      <c r="L379" s="252"/>
      <c r="M379" s="252"/>
      <c r="N379" s="252"/>
      <c r="O379" s="252"/>
      <c r="P379" s="252"/>
      <c r="Q379" s="252"/>
      <c r="R379" s="252"/>
      <c r="S379" s="252"/>
    </row>
    <row r="380" spans="1:19" x14ac:dyDescent="0.25">
      <c r="A380" s="251"/>
      <c r="B380" s="251"/>
      <c r="C380" s="252"/>
      <c r="D380" s="252"/>
      <c r="E380" s="252"/>
      <c r="F380" s="252"/>
      <c r="G380" s="252"/>
      <c r="H380" s="252"/>
      <c r="I380" s="252"/>
      <c r="J380" s="252"/>
      <c r="K380" s="252"/>
      <c r="L380" s="252"/>
      <c r="M380" s="252"/>
      <c r="N380" s="252"/>
      <c r="O380" s="252"/>
      <c r="P380" s="252"/>
      <c r="Q380" s="252"/>
      <c r="R380" s="252"/>
      <c r="S380" s="252"/>
    </row>
    <row r="381" spans="1:19" x14ac:dyDescent="0.25">
      <c r="A381" s="251"/>
      <c r="B381" s="251"/>
      <c r="C381" s="252"/>
      <c r="D381" s="252"/>
      <c r="E381" s="252"/>
      <c r="F381" s="252"/>
      <c r="G381" s="252"/>
      <c r="H381" s="252"/>
      <c r="I381" s="252"/>
      <c r="J381" s="252"/>
      <c r="K381" s="252"/>
      <c r="L381" s="252"/>
      <c r="M381" s="252"/>
      <c r="N381" s="252"/>
      <c r="O381" s="252"/>
      <c r="P381" s="252"/>
      <c r="Q381" s="252"/>
      <c r="R381" s="252"/>
      <c r="S381" s="252"/>
    </row>
    <row r="382" spans="1:19" x14ac:dyDescent="0.25">
      <c r="A382" s="251"/>
      <c r="B382" s="251"/>
      <c r="C382" s="252"/>
      <c r="D382" s="252"/>
      <c r="E382" s="252"/>
      <c r="F382" s="252"/>
      <c r="G382" s="252"/>
      <c r="H382" s="252"/>
      <c r="I382" s="252"/>
      <c r="J382" s="252"/>
      <c r="K382" s="252"/>
      <c r="L382" s="252"/>
      <c r="M382" s="252"/>
      <c r="N382" s="252"/>
      <c r="O382" s="252"/>
      <c r="P382" s="252"/>
      <c r="Q382" s="252"/>
      <c r="R382" s="252"/>
      <c r="S382" s="252"/>
    </row>
    <row r="383" spans="1:19" x14ac:dyDescent="0.25">
      <c r="A383" s="251"/>
      <c r="B383" s="251"/>
      <c r="C383" s="252"/>
      <c r="D383" s="252"/>
      <c r="E383" s="252"/>
      <c r="F383" s="252"/>
      <c r="G383" s="252"/>
      <c r="H383" s="252"/>
      <c r="I383" s="252"/>
      <c r="J383" s="252"/>
      <c r="K383" s="252"/>
      <c r="L383" s="252"/>
      <c r="M383" s="252"/>
      <c r="N383" s="252"/>
      <c r="O383" s="252"/>
      <c r="P383" s="252"/>
      <c r="Q383" s="252"/>
      <c r="R383" s="252"/>
      <c r="S383" s="252"/>
    </row>
    <row r="384" spans="1:19" x14ac:dyDescent="0.25">
      <c r="A384" s="251"/>
      <c r="B384" s="251"/>
      <c r="C384" s="252"/>
      <c r="D384" s="252"/>
      <c r="E384" s="252"/>
      <c r="F384" s="252"/>
      <c r="G384" s="252"/>
      <c r="H384" s="252"/>
      <c r="I384" s="252"/>
      <c r="J384" s="252"/>
      <c r="K384" s="252"/>
      <c r="L384" s="252"/>
      <c r="M384" s="252"/>
      <c r="N384" s="252"/>
      <c r="O384" s="252"/>
      <c r="P384" s="252"/>
      <c r="Q384" s="252"/>
      <c r="R384" s="252"/>
      <c r="S384" s="252"/>
    </row>
    <row r="385" spans="1:19" x14ac:dyDescent="0.25">
      <c r="A385" s="251"/>
      <c r="B385" s="251"/>
      <c r="C385" s="252"/>
      <c r="D385" s="252"/>
      <c r="E385" s="252"/>
      <c r="F385" s="252"/>
      <c r="G385" s="252"/>
      <c r="H385" s="252"/>
      <c r="I385" s="252"/>
      <c r="J385" s="252"/>
      <c r="K385" s="252"/>
      <c r="L385" s="252"/>
      <c r="M385" s="252"/>
      <c r="N385" s="252"/>
      <c r="O385" s="252"/>
      <c r="P385" s="252"/>
      <c r="Q385" s="252"/>
      <c r="R385" s="252"/>
      <c r="S385" s="252"/>
    </row>
    <row r="386" spans="1:19" x14ac:dyDescent="0.25">
      <c r="A386" s="251"/>
      <c r="B386" s="251"/>
      <c r="C386" s="252"/>
      <c r="D386" s="252"/>
      <c r="E386" s="252"/>
      <c r="F386" s="252"/>
      <c r="G386" s="252"/>
      <c r="H386" s="252"/>
      <c r="I386" s="252"/>
      <c r="J386" s="252"/>
      <c r="K386" s="252"/>
      <c r="L386" s="252"/>
      <c r="M386" s="252"/>
      <c r="N386" s="252"/>
      <c r="O386" s="252"/>
      <c r="P386" s="252"/>
      <c r="Q386" s="252"/>
      <c r="R386" s="252"/>
      <c r="S386" s="252"/>
    </row>
    <row r="387" spans="1:19" x14ac:dyDescent="0.25">
      <c r="A387" s="251"/>
      <c r="B387" s="251"/>
      <c r="C387" s="252"/>
      <c r="D387" s="252"/>
      <c r="E387" s="252"/>
      <c r="F387" s="252"/>
      <c r="G387" s="252"/>
      <c r="H387" s="252"/>
      <c r="I387" s="252"/>
      <c r="J387" s="252"/>
      <c r="K387" s="252"/>
      <c r="L387" s="252"/>
      <c r="M387" s="252"/>
      <c r="N387" s="252"/>
      <c r="O387" s="252"/>
      <c r="P387" s="252"/>
      <c r="Q387" s="252"/>
      <c r="R387" s="252"/>
      <c r="S387" s="252"/>
    </row>
    <row r="388" spans="1:19" x14ac:dyDescent="0.25">
      <c r="A388" s="251"/>
      <c r="B388" s="251"/>
      <c r="C388" s="252"/>
      <c r="D388" s="252"/>
      <c r="E388" s="252"/>
      <c r="F388" s="252"/>
      <c r="G388" s="252"/>
      <c r="H388" s="252"/>
      <c r="I388" s="252"/>
      <c r="J388" s="252"/>
      <c r="K388" s="252"/>
      <c r="L388" s="252"/>
      <c r="M388" s="252"/>
      <c r="N388" s="252"/>
      <c r="O388" s="252"/>
      <c r="P388" s="252"/>
      <c r="Q388" s="252"/>
      <c r="R388" s="252"/>
      <c r="S388" s="252"/>
    </row>
    <row r="389" spans="1:19" x14ac:dyDescent="0.25">
      <c r="A389" s="251"/>
      <c r="B389" s="251"/>
      <c r="C389" s="252"/>
      <c r="D389" s="252"/>
      <c r="E389" s="252"/>
      <c r="F389" s="252"/>
      <c r="G389" s="252"/>
      <c r="H389" s="252"/>
      <c r="I389" s="252"/>
      <c r="J389" s="252"/>
      <c r="K389" s="252"/>
      <c r="L389" s="252"/>
      <c r="M389" s="252"/>
      <c r="N389" s="252"/>
      <c r="O389" s="252"/>
      <c r="P389" s="252"/>
      <c r="Q389" s="252"/>
      <c r="R389" s="252"/>
      <c r="S389" s="252"/>
    </row>
    <row r="390" spans="1:19" x14ac:dyDescent="0.25">
      <c r="A390" s="251"/>
      <c r="B390" s="251"/>
      <c r="C390" s="252"/>
      <c r="D390" s="252"/>
      <c r="E390" s="252"/>
      <c r="F390" s="252"/>
      <c r="G390" s="252"/>
      <c r="H390" s="252"/>
      <c r="I390" s="252"/>
      <c r="J390" s="252"/>
      <c r="K390" s="252"/>
      <c r="L390" s="252"/>
      <c r="M390" s="252"/>
      <c r="N390" s="252"/>
      <c r="O390" s="252"/>
      <c r="P390" s="252"/>
      <c r="Q390" s="252"/>
      <c r="R390" s="252"/>
      <c r="S390" s="252"/>
    </row>
    <row r="391" spans="1:19" x14ac:dyDescent="0.25">
      <c r="A391" s="251"/>
      <c r="B391" s="251"/>
      <c r="C391" s="252"/>
      <c r="D391" s="252"/>
      <c r="E391" s="252"/>
      <c r="F391" s="252"/>
      <c r="G391" s="252"/>
      <c r="H391" s="252"/>
      <c r="I391" s="252"/>
      <c r="J391" s="252"/>
      <c r="K391" s="252"/>
      <c r="L391" s="252"/>
      <c r="M391" s="252"/>
      <c r="N391" s="252"/>
      <c r="O391" s="252"/>
      <c r="P391" s="252"/>
      <c r="Q391" s="252"/>
      <c r="R391" s="252"/>
      <c r="S391" s="252"/>
    </row>
    <row r="392" spans="1:19" x14ac:dyDescent="0.25">
      <c r="A392" s="251"/>
      <c r="B392" s="251"/>
      <c r="C392" s="252"/>
      <c r="D392" s="252"/>
      <c r="E392" s="252"/>
      <c r="F392" s="252"/>
      <c r="G392" s="252"/>
      <c r="H392" s="252"/>
      <c r="I392" s="252"/>
      <c r="J392" s="252"/>
      <c r="K392" s="252"/>
      <c r="L392" s="252"/>
      <c r="M392" s="252"/>
      <c r="N392" s="252"/>
      <c r="O392" s="252"/>
      <c r="P392" s="252"/>
      <c r="Q392" s="252"/>
      <c r="R392" s="252"/>
      <c r="S392" s="252"/>
    </row>
    <row r="393" spans="1:19" x14ac:dyDescent="0.25">
      <c r="A393" s="251"/>
      <c r="B393" s="251"/>
      <c r="C393" s="252"/>
      <c r="D393" s="252"/>
      <c r="E393" s="252"/>
      <c r="F393" s="252"/>
      <c r="G393" s="252"/>
      <c r="H393" s="252"/>
      <c r="I393" s="252"/>
      <c r="J393" s="252"/>
      <c r="K393" s="252"/>
      <c r="L393" s="252"/>
      <c r="M393" s="252"/>
      <c r="N393" s="252"/>
      <c r="O393" s="252"/>
      <c r="P393" s="252"/>
      <c r="Q393" s="252"/>
      <c r="R393" s="252"/>
      <c r="S393" s="252"/>
    </row>
    <row r="394" spans="1:19" x14ac:dyDescent="0.25">
      <c r="A394" s="251"/>
      <c r="B394" s="251"/>
      <c r="C394" s="252"/>
      <c r="D394" s="252"/>
      <c r="E394" s="252"/>
      <c r="F394" s="252"/>
      <c r="G394" s="252"/>
      <c r="H394" s="252"/>
      <c r="I394" s="252"/>
      <c r="J394" s="252"/>
      <c r="K394" s="252"/>
      <c r="L394" s="252"/>
      <c r="M394" s="252"/>
      <c r="N394" s="252"/>
      <c r="O394" s="252"/>
      <c r="P394" s="252"/>
      <c r="Q394" s="252"/>
      <c r="R394" s="252"/>
      <c r="S394" s="252"/>
    </row>
    <row r="395" spans="1:19" x14ac:dyDescent="0.25">
      <c r="A395" s="251"/>
      <c r="B395" s="251"/>
      <c r="C395" s="252"/>
      <c r="D395" s="252"/>
      <c r="E395" s="252"/>
      <c r="F395" s="252"/>
      <c r="G395" s="252"/>
      <c r="H395" s="252"/>
      <c r="I395" s="252"/>
      <c r="J395" s="252"/>
      <c r="K395" s="252"/>
      <c r="L395" s="252"/>
      <c r="M395" s="252"/>
      <c r="N395" s="252"/>
      <c r="O395" s="252"/>
      <c r="P395" s="252"/>
      <c r="Q395" s="252"/>
      <c r="R395" s="252"/>
      <c r="S395" s="252"/>
    </row>
    <row r="396" spans="1:19" x14ac:dyDescent="0.25">
      <c r="A396" s="251"/>
      <c r="B396" s="251"/>
      <c r="C396" s="252"/>
      <c r="D396" s="252"/>
      <c r="E396" s="252"/>
      <c r="F396" s="252"/>
      <c r="G396" s="252"/>
      <c r="H396" s="252"/>
      <c r="I396" s="252"/>
      <c r="J396" s="252"/>
      <c r="K396" s="252"/>
      <c r="L396" s="252"/>
      <c r="M396" s="252"/>
      <c r="N396" s="252"/>
      <c r="O396" s="252"/>
      <c r="P396" s="252"/>
      <c r="Q396" s="252"/>
      <c r="R396" s="252"/>
      <c r="S396" s="252"/>
    </row>
    <row r="397" spans="1:19" x14ac:dyDescent="0.25">
      <c r="A397" s="251"/>
      <c r="B397" s="251"/>
      <c r="C397" s="252"/>
      <c r="D397" s="252"/>
      <c r="E397" s="252"/>
      <c r="F397" s="252"/>
      <c r="G397" s="252"/>
      <c r="H397" s="252"/>
      <c r="I397" s="252"/>
      <c r="J397" s="252"/>
      <c r="K397" s="252"/>
      <c r="L397" s="252"/>
      <c r="M397" s="252"/>
      <c r="N397" s="252"/>
      <c r="O397" s="252"/>
      <c r="P397" s="252"/>
      <c r="Q397" s="252"/>
      <c r="R397" s="252"/>
      <c r="S397" s="252"/>
    </row>
    <row r="398" spans="1:19" x14ac:dyDescent="0.25">
      <c r="A398" s="251"/>
      <c r="B398" s="251"/>
      <c r="C398" s="252"/>
      <c r="D398" s="252"/>
      <c r="E398" s="252"/>
      <c r="F398" s="252"/>
      <c r="G398" s="252"/>
      <c r="H398" s="252"/>
      <c r="I398" s="252"/>
      <c r="J398" s="252"/>
      <c r="K398" s="252"/>
      <c r="L398" s="252"/>
      <c r="M398" s="252"/>
      <c r="N398" s="252"/>
      <c r="O398" s="252"/>
      <c r="P398" s="252"/>
      <c r="Q398" s="252"/>
      <c r="R398" s="252"/>
      <c r="S398" s="252"/>
    </row>
    <row r="399" spans="1:19" x14ac:dyDescent="0.25">
      <c r="A399" s="251"/>
      <c r="B399" s="251"/>
      <c r="C399" s="252"/>
      <c r="D399" s="252"/>
      <c r="E399" s="252"/>
      <c r="F399" s="252"/>
      <c r="G399" s="252"/>
      <c r="H399" s="252"/>
      <c r="I399" s="252"/>
      <c r="J399" s="252"/>
      <c r="K399" s="252"/>
      <c r="L399" s="252"/>
      <c r="M399" s="252"/>
      <c r="N399" s="252"/>
      <c r="O399" s="252"/>
      <c r="P399" s="252"/>
      <c r="Q399" s="252"/>
      <c r="R399" s="252"/>
      <c r="S399" s="252"/>
    </row>
    <row r="400" spans="1:19" x14ac:dyDescent="0.25">
      <c r="A400" s="251"/>
      <c r="B400" s="251"/>
      <c r="C400" s="252"/>
      <c r="D400" s="252"/>
      <c r="E400" s="252"/>
      <c r="F400" s="252"/>
      <c r="G400" s="252"/>
      <c r="H400" s="252"/>
      <c r="I400" s="252"/>
      <c r="J400" s="252"/>
      <c r="K400" s="252"/>
      <c r="L400" s="252"/>
      <c r="M400" s="252"/>
      <c r="N400" s="252"/>
      <c r="O400" s="252"/>
      <c r="P400" s="252"/>
      <c r="Q400" s="252"/>
      <c r="R400" s="252"/>
      <c r="S400" s="252"/>
    </row>
    <row r="401" spans="1:19" x14ac:dyDescent="0.25">
      <c r="A401" s="251"/>
      <c r="B401" s="251"/>
      <c r="C401" s="252"/>
      <c r="D401" s="252"/>
      <c r="E401" s="252"/>
      <c r="F401" s="252"/>
      <c r="G401" s="252"/>
      <c r="H401" s="252"/>
      <c r="I401" s="252"/>
      <c r="J401" s="252"/>
      <c r="K401" s="252"/>
      <c r="L401" s="252"/>
      <c r="M401" s="252"/>
      <c r="N401" s="252"/>
      <c r="O401" s="252"/>
      <c r="P401" s="252"/>
      <c r="Q401" s="252"/>
      <c r="R401" s="252"/>
      <c r="S401" s="252"/>
    </row>
    <row r="402" spans="1:19" x14ac:dyDescent="0.25">
      <c r="A402" s="251"/>
      <c r="B402" s="251"/>
      <c r="C402" s="252"/>
      <c r="D402" s="252"/>
      <c r="E402" s="252"/>
      <c r="F402" s="252"/>
      <c r="G402" s="252"/>
      <c r="H402" s="252"/>
      <c r="I402" s="252"/>
      <c r="J402" s="252"/>
      <c r="K402" s="252"/>
      <c r="L402" s="252"/>
      <c r="M402" s="252"/>
      <c r="N402" s="252"/>
      <c r="O402" s="252"/>
      <c r="P402" s="252"/>
      <c r="Q402" s="252"/>
      <c r="R402" s="252"/>
      <c r="S402" s="252"/>
    </row>
    <row r="403" spans="1:19" x14ac:dyDescent="0.25">
      <c r="A403" s="251"/>
      <c r="B403" s="251"/>
      <c r="C403" s="252"/>
      <c r="D403" s="252"/>
      <c r="E403" s="252"/>
      <c r="F403" s="252"/>
      <c r="G403" s="252"/>
      <c r="H403" s="252"/>
      <c r="I403" s="252"/>
      <c r="J403" s="252"/>
      <c r="K403" s="252"/>
      <c r="L403" s="252"/>
      <c r="M403" s="252"/>
      <c r="N403" s="252"/>
      <c r="O403" s="252"/>
      <c r="P403" s="252"/>
      <c r="Q403" s="252"/>
      <c r="R403" s="252"/>
      <c r="S403" s="252"/>
    </row>
    <row r="404" spans="1:19" x14ac:dyDescent="0.25">
      <c r="A404" s="251"/>
      <c r="B404" s="251"/>
      <c r="C404" s="252"/>
      <c r="D404" s="252"/>
      <c r="E404" s="252"/>
      <c r="F404" s="252"/>
      <c r="G404" s="252"/>
      <c r="H404" s="252"/>
      <c r="I404" s="252"/>
      <c r="J404" s="252"/>
      <c r="K404" s="252"/>
      <c r="L404" s="252"/>
      <c r="M404" s="252"/>
      <c r="N404" s="252"/>
      <c r="O404" s="252"/>
      <c r="P404" s="252"/>
      <c r="Q404" s="252"/>
      <c r="R404" s="252"/>
      <c r="S404" s="252"/>
    </row>
    <row r="405" spans="1:19" x14ac:dyDescent="0.25">
      <c r="A405" s="251"/>
      <c r="B405" s="251"/>
      <c r="C405" s="252"/>
      <c r="D405" s="252"/>
      <c r="E405" s="252"/>
      <c r="F405" s="252"/>
      <c r="G405" s="252"/>
      <c r="H405" s="252"/>
      <c r="I405" s="252"/>
      <c r="J405" s="252"/>
      <c r="K405" s="252"/>
      <c r="L405" s="252"/>
      <c r="M405" s="252"/>
      <c r="N405" s="252"/>
      <c r="O405" s="252"/>
      <c r="P405" s="252"/>
      <c r="Q405" s="252"/>
      <c r="R405" s="252"/>
      <c r="S405" s="252"/>
    </row>
    <row r="406" spans="1:19" x14ac:dyDescent="0.25">
      <c r="A406" s="251"/>
      <c r="B406" s="251"/>
      <c r="C406" s="252"/>
      <c r="D406" s="252"/>
      <c r="E406" s="252"/>
      <c r="F406" s="252"/>
      <c r="G406" s="252"/>
      <c r="H406" s="252"/>
      <c r="I406" s="252"/>
      <c r="J406" s="252"/>
      <c r="K406" s="252"/>
      <c r="L406" s="252"/>
      <c r="M406" s="252"/>
      <c r="N406" s="252"/>
      <c r="O406" s="252"/>
      <c r="P406" s="252"/>
      <c r="Q406" s="252"/>
      <c r="R406" s="252"/>
      <c r="S406" s="252"/>
    </row>
    <row r="407" spans="1:19" x14ac:dyDescent="0.25">
      <c r="A407" s="251"/>
      <c r="B407" s="251"/>
      <c r="C407" s="252"/>
      <c r="D407" s="252"/>
      <c r="E407" s="252"/>
      <c r="F407" s="252"/>
      <c r="G407" s="252"/>
      <c r="H407" s="252"/>
      <c r="I407" s="252"/>
      <c r="J407" s="252"/>
      <c r="K407" s="252"/>
      <c r="L407" s="252"/>
      <c r="M407" s="252"/>
      <c r="N407" s="252"/>
      <c r="O407" s="252"/>
      <c r="P407" s="252"/>
      <c r="Q407" s="252"/>
      <c r="R407" s="252"/>
      <c r="S407" s="252"/>
    </row>
    <row r="408" spans="1:19" x14ac:dyDescent="0.25">
      <c r="A408" s="251"/>
      <c r="B408" s="251"/>
      <c r="C408" s="252"/>
      <c r="D408" s="252"/>
      <c r="E408" s="252"/>
      <c r="F408" s="252"/>
      <c r="G408" s="252"/>
      <c r="H408" s="252"/>
      <c r="I408" s="252"/>
      <c r="J408" s="252"/>
      <c r="K408" s="252"/>
      <c r="L408" s="252"/>
      <c r="M408" s="252"/>
      <c r="N408" s="252"/>
      <c r="O408" s="252"/>
      <c r="P408" s="252"/>
      <c r="Q408" s="252"/>
      <c r="R408" s="252"/>
      <c r="S408" s="252"/>
    </row>
    <row r="409" spans="1:19" x14ac:dyDescent="0.25">
      <c r="A409" s="251"/>
      <c r="B409" s="251"/>
      <c r="C409" s="252"/>
      <c r="D409" s="252"/>
      <c r="E409" s="252"/>
      <c r="F409" s="252"/>
      <c r="G409" s="252"/>
      <c r="H409" s="252"/>
      <c r="I409" s="252"/>
      <c r="J409" s="252"/>
      <c r="K409" s="252"/>
      <c r="L409" s="252"/>
      <c r="M409" s="252"/>
      <c r="N409" s="252"/>
      <c r="O409" s="252"/>
      <c r="P409" s="252"/>
      <c r="Q409" s="252"/>
      <c r="R409" s="252"/>
      <c r="S409" s="252"/>
    </row>
    <row r="410" spans="1:19" x14ac:dyDescent="0.25">
      <c r="A410" s="251"/>
      <c r="B410" s="251"/>
      <c r="C410" s="252"/>
      <c r="D410" s="252"/>
      <c r="E410" s="252"/>
      <c r="F410" s="252"/>
      <c r="G410" s="252"/>
      <c r="H410" s="252"/>
      <c r="I410" s="252"/>
      <c r="J410" s="252"/>
      <c r="K410" s="252"/>
      <c r="L410" s="252"/>
      <c r="M410" s="252"/>
      <c r="N410" s="252"/>
      <c r="O410" s="252"/>
      <c r="P410" s="252"/>
      <c r="Q410" s="252"/>
      <c r="R410" s="252"/>
      <c r="S410" s="252"/>
    </row>
    <row r="411" spans="1:19" x14ac:dyDescent="0.25">
      <c r="A411" s="251"/>
      <c r="B411" s="251"/>
      <c r="C411" s="252"/>
      <c r="D411" s="252"/>
      <c r="E411" s="252"/>
      <c r="F411" s="252"/>
      <c r="G411" s="252"/>
      <c r="H411" s="252"/>
      <c r="I411" s="252"/>
      <c r="J411" s="252"/>
      <c r="K411" s="252"/>
      <c r="L411" s="252"/>
      <c r="M411" s="252"/>
      <c r="N411" s="252"/>
      <c r="O411" s="252"/>
      <c r="P411" s="252"/>
      <c r="Q411" s="252"/>
      <c r="R411" s="252"/>
      <c r="S411" s="252"/>
    </row>
    <row r="412" spans="1:19" x14ac:dyDescent="0.25">
      <c r="A412" s="251"/>
      <c r="B412" s="251"/>
      <c r="C412" s="252"/>
      <c r="D412" s="252"/>
      <c r="E412" s="252"/>
      <c r="F412" s="252"/>
      <c r="G412" s="252"/>
      <c r="H412" s="252"/>
      <c r="I412" s="252"/>
      <c r="J412" s="252"/>
      <c r="K412" s="252"/>
      <c r="L412" s="252"/>
      <c r="M412" s="252"/>
      <c r="N412" s="252"/>
      <c r="O412" s="252"/>
      <c r="P412" s="252"/>
      <c r="Q412" s="252"/>
      <c r="R412" s="252"/>
      <c r="S412" s="252"/>
    </row>
    <row r="413" spans="1:19" x14ac:dyDescent="0.25">
      <c r="A413" s="251"/>
      <c r="B413" s="251"/>
      <c r="C413" s="252"/>
      <c r="D413" s="252"/>
      <c r="E413" s="252"/>
      <c r="F413" s="252"/>
      <c r="G413" s="252"/>
      <c r="H413" s="252"/>
      <c r="I413" s="252"/>
      <c r="J413" s="252"/>
      <c r="K413" s="252"/>
      <c r="L413" s="252"/>
      <c r="M413" s="252"/>
      <c r="N413" s="252"/>
      <c r="O413" s="252"/>
      <c r="P413" s="252"/>
      <c r="Q413" s="252"/>
      <c r="R413" s="252"/>
      <c r="S413" s="252"/>
    </row>
    <row r="414" spans="1:19" x14ac:dyDescent="0.25">
      <c r="A414" s="251"/>
      <c r="B414" s="251"/>
      <c r="C414" s="252"/>
      <c r="D414" s="252"/>
      <c r="E414" s="252"/>
      <c r="F414" s="252"/>
      <c r="G414" s="252"/>
      <c r="H414" s="252"/>
      <c r="I414" s="252"/>
      <c r="J414" s="252"/>
      <c r="K414" s="252"/>
      <c r="L414" s="252"/>
      <c r="M414" s="252"/>
      <c r="N414" s="252"/>
      <c r="O414" s="252"/>
      <c r="P414" s="252"/>
      <c r="Q414" s="252"/>
      <c r="R414" s="252"/>
      <c r="S414" s="252"/>
    </row>
    <row r="415" spans="1:19" x14ac:dyDescent="0.25">
      <c r="A415" s="251"/>
      <c r="B415" s="251"/>
      <c r="C415" s="252"/>
      <c r="D415" s="252"/>
      <c r="E415" s="252"/>
      <c r="F415" s="252"/>
      <c r="G415" s="252"/>
      <c r="H415" s="252"/>
      <c r="I415" s="252"/>
      <c r="J415" s="252"/>
      <c r="K415" s="252"/>
      <c r="L415" s="252"/>
      <c r="M415" s="252"/>
      <c r="N415" s="252"/>
      <c r="O415" s="252"/>
      <c r="P415" s="252"/>
      <c r="Q415" s="252"/>
      <c r="R415" s="252"/>
      <c r="S415" s="252"/>
    </row>
    <row r="416" spans="1:19" x14ac:dyDescent="0.25">
      <c r="A416" s="251"/>
      <c r="B416" s="251"/>
      <c r="C416" s="252"/>
      <c r="D416" s="252"/>
      <c r="E416" s="252"/>
      <c r="F416" s="252"/>
      <c r="G416" s="252"/>
      <c r="H416" s="252"/>
      <c r="I416" s="252"/>
      <c r="J416" s="252"/>
      <c r="K416" s="252"/>
      <c r="L416" s="252"/>
      <c r="M416" s="252"/>
      <c r="N416" s="252"/>
      <c r="O416" s="252"/>
      <c r="P416" s="252"/>
      <c r="Q416" s="252"/>
      <c r="R416" s="252"/>
      <c r="S416" s="252"/>
    </row>
    <row r="417" spans="1:19" x14ac:dyDescent="0.25">
      <c r="A417" s="251"/>
      <c r="B417" s="251"/>
      <c r="C417" s="252"/>
      <c r="D417" s="252"/>
      <c r="E417" s="252"/>
      <c r="F417" s="252"/>
      <c r="G417" s="252"/>
      <c r="H417" s="252"/>
      <c r="I417" s="252"/>
      <c r="J417" s="252"/>
      <c r="K417" s="252"/>
      <c r="L417" s="252"/>
      <c r="M417" s="252"/>
      <c r="N417" s="252"/>
      <c r="O417" s="252"/>
      <c r="P417" s="252"/>
      <c r="Q417" s="252"/>
      <c r="R417" s="252"/>
      <c r="S417" s="252"/>
    </row>
    <row r="418" spans="1:19" x14ac:dyDescent="0.25">
      <c r="A418" s="251"/>
      <c r="B418" s="251"/>
      <c r="C418" s="252"/>
      <c r="D418" s="252"/>
      <c r="E418" s="252"/>
      <c r="F418" s="252"/>
      <c r="G418" s="252"/>
      <c r="H418" s="252"/>
      <c r="I418" s="252"/>
      <c r="J418" s="252"/>
      <c r="K418" s="252"/>
      <c r="L418" s="252"/>
      <c r="M418" s="252"/>
      <c r="N418" s="252"/>
      <c r="O418" s="252"/>
      <c r="P418" s="252"/>
      <c r="Q418" s="252"/>
      <c r="R418" s="252"/>
      <c r="S418" s="252"/>
    </row>
    <row r="419" spans="1:19" x14ac:dyDescent="0.25">
      <c r="A419" s="251"/>
      <c r="B419" s="251"/>
      <c r="C419" s="252"/>
      <c r="D419" s="252"/>
      <c r="E419" s="252"/>
      <c r="F419" s="252"/>
      <c r="G419" s="252"/>
      <c r="H419" s="252"/>
      <c r="I419" s="252"/>
      <c r="J419" s="252"/>
      <c r="K419" s="252"/>
      <c r="L419" s="252"/>
      <c r="M419" s="252"/>
      <c r="N419" s="252"/>
      <c r="O419" s="252"/>
      <c r="P419" s="252"/>
      <c r="Q419" s="252"/>
      <c r="R419" s="252"/>
      <c r="S419" s="252"/>
    </row>
    <row r="420" spans="1:19" x14ac:dyDescent="0.25">
      <c r="A420" s="251"/>
      <c r="B420" s="251"/>
      <c r="C420" s="252"/>
      <c r="D420" s="252"/>
      <c r="E420" s="252"/>
      <c r="F420" s="252"/>
      <c r="G420" s="252"/>
      <c r="H420" s="252"/>
      <c r="I420" s="252"/>
      <c r="J420" s="252"/>
      <c r="K420" s="252"/>
      <c r="L420" s="252"/>
      <c r="M420" s="252"/>
      <c r="N420" s="252"/>
      <c r="O420" s="252"/>
      <c r="P420" s="252"/>
      <c r="Q420" s="252"/>
      <c r="R420" s="252"/>
      <c r="S420" s="252"/>
    </row>
    <row r="421" spans="1:19" x14ac:dyDescent="0.25">
      <c r="A421" s="251"/>
      <c r="B421" s="251"/>
      <c r="C421" s="252"/>
      <c r="D421" s="252"/>
      <c r="E421" s="252"/>
      <c r="F421" s="252"/>
      <c r="G421" s="252"/>
      <c r="H421" s="252"/>
      <c r="I421" s="252"/>
      <c r="J421" s="252"/>
      <c r="K421" s="252"/>
      <c r="L421" s="252"/>
      <c r="M421" s="252"/>
      <c r="N421" s="252"/>
      <c r="O421" s="252"/>
      <c r="P421" s="252"/>
      <c r="Q421" s="252"/>
      <c r="R421" s="252"/>
      <c r="S421" s="252"/>
    </row>
    <row r="422" spans="1:19" x14ac:dyDescent="0.25">
      <c r="A422" s="251"/>
      <c r="B422" s="251"/>
      <c r="C422" s="252"/>
      <c r="D422" s="252"/>
      <c r="E422" s="252"/>
      <c r="F422" s="252"/>
      <c r="G422" s="252"/>
      <c r="H422" s="252"/>
      <c r="I422" s="252"/>
      <c r="J422" s="252"/>
      <c r="K422" s="252"/>
      <c r="L422" s="252"/>
      <c r="M422" s="252"/>
      <c r="N422" s="252"/>
      <c r="O422" s="252"/>
      <c r="P422" s="252"/>
      <c r="Q422" s="252"/>
      <c r="R422" s="252"/>
      <c r="S422" s="252"/>
    </row>
    <row r="423" spans="1:19" x14ac:dyDescent="0.25">
      <c r="A423" s="251"/>
      <c r="B423" s="251"/>
      <c r="C423" s="252"/>
      <c r="D423" s="252"/>
      <c r="E423" s="252"/>
      <c r="F423" s="252"/>
      <c r="G423" s="252"/>
      <c r="H423" s="252"/>
      <c r="I423" s="252"/>
      <c r="J423" s="252"/>
      <c r="K423" s="252"/>
      <c r="L423" s="252"/>
      <c r="M423" s="252"/>
      <c r="N423" s="252"/>
      <c r="O423" s="252"/>
      <c r="P423" s="252"/>
      <c r="Q423" s="252"/>
      <c r="R423" s="252"/>
      <c r="S423" s="252"/>
    </row>
    <row r="424" spans="1:19" x14ac:dyDescent="0.25">
      <c r="A424" s="251"/>
      <c r="B424" s="251"/>
      <c r="C424" s="252"/>
      <c r="D424" s="252"/>
      <c r="E424" s="252"/>
      <c r="F424" s="252"/>
      <c r="G424" s="252"/>
      <c r="H424" s="252"/>
      <c r="I424" s="252"/>
      <c r="J424" s="252"/>
      <c r="K424" s="252"/>
      <c r="L424" s="252"/>
      <c r="M424" s="252"/>
      <c r="N424" s="252"/>
      <c r="O424" s="252"/>
      <c r="P424" s="252"/>
      <c r="Q424" s="252"/>
      <c r="R424" s="252"/>
      <c r="S424" s="252"/>
    </row>
    <row r="425" spans="1:19" x14ac:dyDescent="0.25">
      <c r="A425" s="251"/>
      <c r="B425" s="251"/>
      <c r="C425" s="252"/>
      <c r="D425" s="252"/>
      <c r="E425" s="252"/>
      <c r="F425" s="252"/>
      <c r="G425" s="252"/>
      <c r="H425" s="252"/>
      <c r="I425" s="252"/>
      <c r="J425" s="252"/>
      <c r="K425" s="252"/>
      <c r="L425" s="252"/>
      <c r="M425" s="252"/>
      <c r="N425" s="252"/>
      <c r="O425" s="252"/>
      <c r="P425" s="252"/>
      <c r="Q425" s="252"/>
      <c r="R425" s="252"/>
      <c r="S425" s="252"/>
    </row>
    <row r="426" spans="1:19" x14ac:dyDescent="0.25">
      <c r="A426" s="251"/>
      <c r="B426" s="251"/>
      <c r="C426" s="252"/>
      <c r="D426" s="252"/>
      <c r="E426" s="252"/>
      <c r="F426" s="252"/>
      <c r="G426" s="252"/>
      <c r="H426" s="252"/>
      <c r="I426" s="252"/>
      <c r="J426" s="252"/>
      <c r="K426" s="252"/>
      <c r="L426" s="252"/>
      <c r="M426" s="252"/>
      <c r="N426" s="252"/>
      <c r="O426" s="252"/>
      <c r="P426" s="252"/>
      <c r="Q426" s="252"/>
      <c r="R426" s="252"/>
      <c r="S426" s="252"/>
    </row>
    <row r="427" spans="1:19" x14ac:dyDescent="0.25">
      <c r="A427" s="251"/>
      <c r="B427" s="251"/>
      <c r="C427" s="252"/>
      <c r="D427" s="252"/>
      <c r="E427" s="252"/>
      <c r="F427" s="252"/>
      <c r="G427" s="252"/>
      <c r="H427" s="252"/>
      <c r="I427" s="252"/>
      <c r="J427" s="252"/>
      <c r="K427" s="252"/>
      <c r="L427" s="252"/>
      <c r="M427" s="252"/>
      <c r="N427" s="252"/>
      <c r="O427" s="252"/>
      <c r="P427" s="252"/>
      <c r="Q427" s="252"/>
      <c r="R427" s="252"/>
      <c r="S427" s="252"/>
    </row>
    <row r="428" spans="1:19" x14ac:dyDescent="0.25">
      <c r="A428" s="251"/>
      <c r="B428" s="251"/>
      <c r="C428" s="252"/>
      <c r="D428" s="252"/>
      <c r="E428" s="252"/>
      <c r="F428" s="252"/>
      <c r="G428" s="252"/>
      <c r="H428" s="252"/>
      <c r="I428" s="252"/>
      <c r="J428" s="252"/>
      <c r="K428" s="252"/>
      <c r="L428" s="252"/>
      <c r="M428" s="252"/>
      <c r="N428" s="252"/>
      <c r="O428" s="252"/>
      <c r="P428" s="252"/>
      <c r="Q428" s="252"/>
      <c r="R428" s="252"/>
      <c r="S428" s="252"/>
    </row>
    <row r="429" spans="1:19" x14ac:dyDescent="0.25">
      <c r="A429" s="251"/>
      <c r="B429" s="251"/>
      <c r="C429" s="252"/>
      <c r="D429" s="252"/>
      <c r="E429" s="252"/>
      <c r="F429" s="252"/>
      <c r="G429" s="252"/>
      <c r="H429" s="252"/>
      <c r="I429" s="252"/>
      <c r="J429" s="252"/>
      <c r="K429" s="252"/>
      <c r="L429" s="252"/>
      <c r="M429" s="252"/>
      <c r="N429" s="252"/>
      <c r="O429" s="252"/>
      <c r="P429" s="252"/>
      <c r="Q429" s="252"/>
      <c r="R429" s="252"/>
      <c r="S429" s="252"/>
    </row>
    <row r="430" spans="1:19" x14ac:dyDescent="0.25">
      <c r="A430" s="251"/>
      <c r="B430" s="251"/>
      <c r="C430" s="252"/>
      <c r="D430" s="252"/>
      <c r="E430" s="252"/>
      <c r="F430" s="252"/>
      <c r="G430" s="252"/>
      <c r="H430" s="252"/>
      <c r="I430" s="252"/>
      <c r="J430" s="252"/>
      <c r="K430" s="252"/>
      <c r="L430" s="252"/>
      <c r="M430" s="252"/>
      <c r="N430" s="252"/>
      <c r="O430" s="252"/>
      <c r="P430" s="252"/>
      <c r="Q430" s="252"/>
      <c r="R430" s="252"/>
      <c r="S430" s="252"/>
    </row>
    <row r="431" spans="1:19" x14ac:dyDescent="0.25">
      <c r="A431" s="251"/>
      <c r="B431" s="251"/>
      <c r="C431" s="252"/>
      <c r="D431" s="252"/>
      <c r="E431" s="252"/>
      <c r="F431" s="252"/>
      <c r="G431" s="252"/>
      <c r="H431" s="252"/>
      <c r="I431" s="252"/>
      <c r="J431" s="252"/>
      <c r="K431" s="252"/>
      <c r="L431" s="252"/>
      <c r="M431" s="252"/>
      <c r="N431" s="252"/>
      <c r="O431" s="252"/>
      <c r="P431" s="252"/>
      <c r="Q431" s="252"/>
      <c r="R431" s="252"/>
      <c r="S431" s="252"/>
    </row>
    <row r="432" spans="1:19" x14ac:dyDescent="0.25">
      <c r="A432" s="251"/>
      <c r="B432" s="251"/>
      <c r="C432" s="252"/>
      <c r="D432" s="252"/>
      <c r="E432" s="252"/>
      <c r="F432" s="252"/>
      <c r="G432" s="252"/>
      <c r="H432" s="252"/>
      <c r="I432" s="252"/>
      <c r="J432" s="252"/>
      <c r="K432" s="252"/>
      <c r="L432" s="252"/>
      <c r="M432" s="252"/>
      <c r="N432" s="252"/>
      <c r="O432" s="252"/>
      <c r="P432" s="252"/>
      <c r="Q432" s="252"/>
      <c r="R432" s="252"/>
      <c r="S432" s="252"/>
    </row>
    <row r="433" spans="1:19" x14ac:dyDescent="0.25">
      <c r="A433" s="251"/>
      <c r="B433" s="251"/>
      <c r="C433" s="252"/>
      <c r="D433" s="252"/>
      <c r="E433" s="252"/>
      <c r="F433" s="252"/>
      <c r="G433" s="252"/>
      <c r="H433" s="252"/>
      <c r="I433" s="252"/>
      <c r="J433" s="252"/>
      <c r="K433" s="252"/>
      <c r="L433" s="252"/>
      <c r="M433" s="252"/>
      <c r="N433" s="252"/>
      <c r="O433" s="252"/>
      <c r="P433" s="252"/>
      <c r="Q433" s="252"/>
      <c r="R433" s="252"/>
      <c r="S433" s="252"/>
    </row>
    <row r="434" spans="1:19" x14ac:dyDescent="0.25">
      <c r="A434" s="251"/>
      <c r="B434" s="251"/>
      <c r="C434" s="252"/>
      <c r="D434" s="252"/>
      <c r="E434" s="252"/>
      <c r="F434" s="252"/>
      <c r="G434" s="252"/>
      <c r="H434" s="252"/>
      <c r="I434" s="252"/>
      <c r="J434" s="252"/>
      <c r="K434" s="252"/>
      <c r="L434" s="252"/>
      <c r="M434" s="252"/>
      <c r="N434" s="252"/>
      <c r="O434" s="252"/>
      <c r="P434" s="252"/>
      <c r="Q434" s="252"/>
      <c r="R434" s="252"/>
      <c r="S434" s="252"/>
    </row>
    <row r="435" spans="1:19" x14ac:dyDescent="0.25">
      <c r="A435" s="251"/>
      <c r="B435" s="251"/>
      <c r="C435" s="252"/>
      <c r="D435" s="252"/>
      <c r="E435" s="252"/>
      <c r="F435" s="252"/>
      <c r="G435" s="252"/>
      <c r="H435" s="252"/>
      <c r="I435" s="252"/>
      <c r="J435" s="252"/>
      <c r="K435" s="252"/>
      <c r="L435" s="252"/>
      <c r="M435" s="252"/>
      <c r="N435" s="252"/>
      <c r="O435" s="252"/>
      <c r="P435" s="252"/>
      <c r="Q435" s="252"/>
      <c r="R435" s="252"/>
      <c r="S435" s="252"/>
    </row>
    <row r="436" spans="1:19" x14ac:dyDescent="0.25">
      <c r="A436" s="251"/>
      <c r="B436" s="251"/>
      <c r="C436" s="252"/>
      <c r="D436" s="252"/>
      <c r="E436" s="252"/>
      <c r="F436" s="252"/>
      <c r="G436" s="252"/>
      <c r="H436" s="252"/>
      <c r="I436" s="252"/>
      <c r="J436" s="252"/>
      <c r="K436" s="252"/>
      <c r="L436" s="252"/>
      <c r="M436" s="252"/>
      <c r="N436" s="252"/>
      <c r="O436" s="252"/>
      <c r="P436" s="252"/>
      <c r="Q436" s="252"/>
      <c r="R436" s="252"/>
      <c r="S436" s="252"/>
    </row>
    <row r="437" spans="1:19" x14ac:dyDescent="0.25">
      <c r="A437" s="251"/>
      <c r="B437" s="251"/>
      <c r="C437" s="252"/>
      <c r="D437" s="252"/>
      <c r="E437" s="252"/>
      <c r="F437" s="252"/>
      <c r="G437" s="252"/>
      <c r="H437" s="252"/>
      <c r="I437" s="252"/>
      <c r="J437" s="252"/>
      <c r="K437" s="252"/>
      <c r="L437" s="252"/>
      <c r="M437" s="252"/>
      <c r="N437" s="252"/>
      <c r="O437" s="252"/>
      <c r="P437" s="252"/>
      <c r="Q437" s="252"/>
      <c r="R437" s="252"/>
      <c r="S437" s="252"/>
    </row>
    <row r="438" spans="1:19" x14ac:dyDescent="0.25">
      <c r="A438" s="251"/>
      <c r="B438" s="251"/>
      <c r="C438" s="252"/>
      <c r="D438" s="252"/>
      <c r="E438" s="252"/>
      <c r="F438" s="252"/>
      <c r="G438" s="252"/>
      <c r="H438" s="252"/>
      <c r="I438" s="252"/>
      <c r="J438" s="252"/>
      <c r="K438" s="252"/>
      <c r="L438" s="252"/>
      <c r="M438" s="252"/>
      <c r="N438" s="252"/>
      <c r="O438" s="252"/>
      <c r="P438" s="252"/>
      <c r="Q438" s="252"/>
      <c r="R438" s="252"/>
      <c r="S438" s="252"/>
    </row>
    <row r="439" spans="1:19" x14ac:dyDescent="0.25">
      <c r="A439" s="251"/>
      <c r="B439" s="251"/>
      <c r="C439" s="252"/>
      <c r="D439" s="252"/>
      <c r="E439" s="252"/>
      <c r="F439" s="252"/>
      <c r="G439" s="252"/>
      <c r="H439" s="252"/>
      <c r="I439" s="252"/>
      <c r="J439" s="252"/>
      <c r="K439" s="252"/>
      <c r="L439" s="252"/>
      <c r="M439" s="252"/>
      <c r="N439" s="252"/>
      <c r="O439" s="252"/>
      <c r="P439" s="252"/>
      <c r="Q439" s="252"/>
      <c r="R439" s="252"/>
      <c r="S439" s="252"/>
    </row>
    <row r="440" spans="1:19" x14ac:dyDescent="0.25">
      <c r="A440" s="251"/>
      <c r="B440" s="251"/>
      <c r="C440" s="252"/>
      <c r="D440" s="252"/>
      <c r="E440" s="252"/>
      <c r="F440" s="252"/>
      <c r="G440" s="252"/>
      <c r="H440" s="252"/>
      <c r="I440" s="252"/>
      <c r="J440" s="252"/>
      <c r="K440" s="252"/>
      <c r="L440" s="252"/>
      <c r="M440" s="252"/>
      <c r="N440" s="252"/>
      <c r="O440" s="252"/>
      <c r="P440" s="252"/>
      <c r="Q440" s="252"/>
      <c r="R440" s="252"/>
      <c r="S440" s="252"/>
    </row>
    <row r="441" spans="1:19" x14ac:dyDescent="0.25">
      <c r="A441" s="251"/>
      <c r="B441" s="251"/>
      <c r="C441" s="252"/>
      <c r="D441" s="252"/>
      <c r="E441" s="252"/>
      <c r="F441" s="252"/>
      <c r="G441" s="252"/>
      <c r="H441" s="252"/>
      <c r="I441" s="252"/>
      <c r="J441" s="252"/>
      <c r="K441" s="252"/>
      <c r="L441" s="252"/>
      <c r="M441" s="252"/>
      <c r="N441" s="252"/>
      <c r="O441" s="252"/>
      <c r="P441" s="252"/>
      <c r="Q441" s="252"/>
      <c r="R441" s="252"/>
      <c r="S441" s="252"/>
    </row>
    <row r="442" spans="1:19" x14ac:dyDescent="0.25">
      <c r="A442" s="251"/>
      <c r="B442" s="251"/>
      <c r="C442" s="252"/>
      <c r="D442" s="252"/>
      <c r="E442" s="252"/>
      <c r="F442" s="252"/>
      <c r="G442" s="252"/>
      <c r="H442" s="252"/>
      <c r="I442" s="252"/>
      <c r="J442" s="252"/>
      <c r="K442" s="252"/>
      <c r="L442" s="252"/>
      <c r="M442" s="252"/>
      <c r="N442" s="252"/>
      <c r="O442" s="252"/>
      <c r="P442" s="252"/>
      <c r="Q442" s="252"/>
      <c r="R442" s="252"/>
      <c r="S442" s="252"/>
    </row>
    <row r="443" spans="1:19" x14ac:dyDescent="0.25">
      <c r="A443" s="251"/>
      <c r="B443" s="251"/>
      <c r="C443" s="252"/>
      <c r="D443" s="252"/>
      <c r="E443" s="252"/>
      <c r="F443" s="252"/>
      <c r="G443" s="252"/>
      <c r="H443" s="252"/>
      <c r="I443" s="252"/>
      <c r="J443" s="252"/>
      <c r="K443" s="252"/>
      <c r="L443" s="252"/>
      <c r="M443" s="252"/>
      <c r="N443" s="252"/>
      <c r="O443" s="252"/>
      <c r="P443" s="252"/>
      <c r="Q443" s="252"/>
      <c r="R443" s="252"/>
      <c r="S443" s="252"/>
    </row>
    <row r="444" spans="1:19" x14ac:dyDescent="0.25">
      <c r="A444" s="251"/>
      <c r="B444" s="251"/>
      <c r="C444" s="252"/>
      <c r="D444" s="252"/>
      <c r="E444" s="252"/>
      <c r="F444" s="252"/>
      <c r="G444" s="252"/>
      <c r="H444" s="252"/>
      <c r="I444" s="252"/>
      <c r="J444" s="252"/>
      <c r="K444" s="252"/>
      <c r="L444" s="252"/>
      <c r="M444" s="252"/>
      <c r="N444" s="252"/>
      <c r="O444" s="252"/>
      <c r="P444" s="252"/>
      <c r="Q444" s="252"/>
      <c r="R444" s="252"/>
      <c r="S444" s="252"/>
    </row>
    <row r="445" spans="1:19" x14ac:dyDescent="0.25">
      <c r="A445" s="251"/>
      <c r="B445" s="251"/>
      <c r="C445" s="252"/>
      <c r="D445" s="252"/>
      <c r="E445" s="252"/>
      <c r="F445" s="252"/>
      <c r="G445" s="252"/>
      <c r="H445" s="252"/>
      <c r="I445" s="252"/>
      <c r="J445" s="252"/>
      <c r="K445" s="252"/>
      <c r="L445" s="252"/>
      <c r="M445" s="252"/>
      <c r="N445" s="252"/>
      <c r="O445" s="252"/>
      <c r="P445" s="252"/>
      <c r="Q445" s="252"/>
      <c r="R445" s="252"/>
      <c r="S445" s="252"/>
    </row>
    <row r="446" spans="1:19" x14ac:dyDescent="0.25">
      <c r="A446" s="251"/>
      <c r="B446" s="251"/>
      <c r="C446" s="252"/>
      <c r="D446" s="252"/>
      <c r="E446" s="252"/>
      <c r="F446" s="252"/>
      <c r="G446" s="252"/>
      <c r="H446" s="252"/>
      <c r="I446" s="252"/>
      <c r="J446" s="252"/>
      <c r="K446" s="252"/>
      <c r="L446" s="252"/>
      <c r="M446" s="252"/>
      <c r="N446" s="252"/>
      <c r="O446" s="252"/>
      <c r="P446" s="252"/>
      <c r="Q446" s="252"/>
      <c r="R446" s="252"/>
      <c r="S446" s="252"/>
    </row>
    <row r="447" spans="1:19" x14ac:dyDescent="0.25">
      <c r="A447" s="251"/>
      <c r="B447" s="251"/>
      <c r="C447" s="252"/>
      <c r="D447" s="252"/>
      <c r="E447" s="252"/>
      <c r="F447" s="252"/>
      <c r="G447" s="252"/>
      <c r="H447" s="252"/>
      <c r="I447" s="252"/>
      <c r="J447" s="252"/>
      <c r="K447" s="252"/>
      <c r="L447" s="252"/>
      <c r="M447" s="252"/>
      <c r="N447" s="252"/>
      <c r="O447" s="252"/>
      <c r="P447" s="252"/>
      <c r="Q447" s="252"/>
      <c r="R447" s="252"/>
      <c r="S447" s="252"/>
    </row>
    <row r="448" spans="1:19" x14ac:dyDescent="0.25">
      <c r="A448" s="251"/>
      <c r="B448" s="251"/>
      <c r="C448" s="252"/>
      <c r="D448" s="252"/>
      <c r="E448" s="252"/>
      <c r="F448" s="252"/>
      <c r="G448" s="252"/>
      <c r="H448" s="252"/>
      <c r="I448" s="252"/>
      <c r="J448" s="252"/>
      <c r="K448" s="252"/>
      <c r="L448" s="252"/>
      <c r="M448" s="252"/>
      <c r="N448" s="252"/>
      <c r="O448" s="252"/>
      <c r="P448" s="252"/>
      <c r="Q448" s="252"/>
      <c r="R448" s="252"/>
      <c r="S448" s="252"/>
    </row>
    <row r="449" spans="1:19" x14ac:dyDescent="0.25">
      <c r="A449" s="251"/>
      <c r="B449" s="251"/>
      <c r="C449" s="252"/>
      <c r="D449" s="252"/>
      <c r="E449" s="252"/>
      <c r="F449" s="252"/>
      <c r="G449" s="252"/>
      <c r="H449" s="252"/>
      <c r="I449" s="252"/>
      <c r="J449" s="252"/>
      <c r="K449" s="252"/>
      <c r="L449" s="252"/>
      <c r="M449" s="252"/>
      <c r="N449" s="252"/>
      <c r="O449" s="252"/>
      <c r="P449" s="252"/>
      <c r="Q449" s="252"/>
      <c r="R449" s="252"/>
      <c r="S449" s="252"/>
    </row>
    <row r="450" spans="1:19" x14ac:dyDescent="0.25">
      <c r="A450" s="251"/>
      <c r="B450" s="251"/>
      <c r="C450" s="252"/>
      <c r="D450" s="252"/>
      <c r="E450" s="252"/>
      <c r="F450" s="252"/>
      <c r="G450" s="252"/>
      <c r="H450" s="252"/>
      <c r="I450" s="252"/>
      <c r="J450" s="252"/>
      <c r="K450" s="252"/>
      <c r="L450" s="252"/>
      <c r="M450" s="252"/>
      <c r="N450" s="252"/>
      <c r="O450" s="252"/>
      <c r="P450" s="252"/>
      <c r="Q450" s="252"/>
      <c r="R450" s="252"/>
      <c r="S450" s="252"/>
    </row>
    <row r="451" spans="1:19" x14ac:dyDescent="0.25">
      <c r="A451" s="251"/>
      <c r="B451" s="251"/>
      <c r="C451" s="252"/>
      <c r="D451" s="252"/>
      <c r="E451" s="252"/>
      <c r="F451" s="252"/>
      <c r="G451" s="252"/>
      <c r="H451" s="252"/>
      <c r="I451" s="252"/>
      <c r="J451" s="252"/>
      <c r="K451" s="252"/>
      <c r="L451" s="252"/>
      <c r="M451" s="252"/>
      <c r="N451" s="252"/>
      <c r="O451" s="252"/>
      <c r="P451" s="252"/>
      <c r="Q451" s="252"/>
      <c r="R451" s="252"/>
      <c r="S451" s="252"/>
    </row>
    <row r="452" spans="1:19" x14ac:dyDescent="0.25">
      <c r="A452" s="251"/>
      <c r="B452" s="251"/>
      <c r="C452" s="252"/>
      <c r="D452" s="252"/>
      <c r="E452" s="252"/>
      <c r="F452" s="252"/>
      <c r="G452" s="252"/>
      <c r="H452" s="252"/>
      <c r="I452" s="252"/>
      <c r="J452" s="252"/>
      <c r="K452" s="252"/>
      <c r="L452" s="252"/>
      <c r="M452" s="252"/>
      <c r="N452" s="252"/>
      <c r="O452" s="252"/>
      <c r="P452" s="252"/>
      <c r="Q452" s="252"/>
      <c r="R452" s="252"/>
      <c r="S452" s="252"/>
    </row>
    <row r="453" spans="1:19" x14ac:dyDescent="0.25">
      <c r="A453" s="251"/>
      <c r="B453" s="251"/>
      <c r="C453" s="252"/>
      <c r="D453" s="252"/>
      <c r="E453" s="252"/>
      <c r="F453" s="252"/>
      <c r="G453" s="252"/>
      <c r="H453" s="252"/>
      <c r="I453" s="252"/>
      <c r="J453" s="252"/>
      <c r="K453" s="252"/>
      <c r="L453" s="252"/>
      <c r="M453" s="252"/>
      <c r="N453" s="252"/>
      <c r="O453" s="252"/>
      <c r="P453" s="252"/>
      <c r="Q453" s="252"/>
      <c r="R453" s="252"/>
      <c r="S453" s="252"/>
    </row>
    <row r="454" spans="1:19" x14ac:dyDescent="0.25">
      <c r="A454" s="251"/>
      <c r="B454" s="251"/>
      <c r="C454" s="252"/>
      <c r="D454" s="252"/>
      <c r="E454" s="252"/>
      <c r="F454" s="252"/>
      <c r="G454" s="252"/>
      <c r="H454" s="252"/>
      <c r="I454" s="252"/>
      <c r="J454" s="252"/>
      <c r="K454" s="252"/>
      <c r="L454" s="252"/>
      <c r="M454" s="252"/>
      <c r="N454" s="252"/>
      <c r="O454" s="252"/>
      <c r="P454" s="252"/>
      <c r="Q454" s="252"/>
      <c r="R454" s="252"/>
      <c r="S454" s="252"/>
    </row>
    <row r="455" spans="1:19" x14ac:dyDescent="0.25">
      <c r="A455" s="251"/>
      <c r="B455" s="251"/>
      <c r="C455" s="252"/>
      <c r="D455" s="252"/>
      <c r="E455" s="252"/>
      <c r="F455" s="252"/>
      <c r="G455" s="252"/>
      <c r="H455" s="252"/>
      <c r="I455" s="252"/>
      <c r="J455" s="252"/>
      <c r="K455" s="252"/>
      <c r="L455" s="252"/>
      <c r="M455" s="252"/>
      <c r="N455" s="252"/>
      <c r="O455" s="252"/>
      <c r="P455" s="252"/>
      <c r="Q455" s="252"/>
      <c r="R455" s="252"/>
      <c r="S455" s="252"/>
    </row>
    <row r="456" spans="1:19" x14ac:dyDescent="0.25">
      <c r="A456" s="251"/>
      <c r="B456" s="251"/>
      <c r="C456" s="252"/>
      <c r="D456" s="252"/>
      <c r="E456" s="252"/>
      <c r="F456" s="252"/>
      <c r="G456" s="252"/>
      <c r="H456" s="252"/>
      <c r="I456" s="252"/>
      <c r="J456" s="252"/>
      <c r="K456" s="252"/>
      <c r="L456" s="252"/>
      <c r="M456" s="252"/>
      <c r="N456" s="252"/>
      <c r="O456" s="252"/>
      <c r="P456" s="252"/>
      <c r="Q456" s="252"/>
      <c r="R456" s="252"/>
      <c r="S456" s="252"/>
    </row>
    <row r="457" spans="1:19" x14ac:dyDescent="0.25">
      <c r="A457" s="251"/>
      <c r="B457" s="251"/>
      <c r="C457" s="252"/>
      <c r="D457" s="252"/>
      <c r="E457" s="252"/>
      <c r="F457" s="252"/>
      <c r="G457" s="252"/>
      <c r="H457" s="252"/>
      <c r="I457" s="252"/>
      <c r="J457" s="252"/>
      <c r="K457" s="252"/>
      <c r="L457" s="252"/>
      <c r="M457" s="252"/>
      <c r="N457" s="252"/>
      <c r="O457" s="252"/>
      <c r="P457" s="252"/>
      <c r="Q457" s="252"/>
      <c r="R457" s="252"/>
      <c r="S457" s="252"/>
    </row>
    <row r="458" spans="1:19" x14ac:dyDescent="0.25">
      <c r="A458" s="251"/>
      <c r="B458" s="251"/>
      <c r="C458" s="252"/>
      <c r="D458" s="252"/>
      <c r="E458" s="252"/>
      <c r="F458" s="252"/>
      <c r="G458" s="252"/>
      <c r="H458" s="252"/>
      <c r="I458" s="252"/>
      <c r="J458" s="252"/>
      <c r="K458" s="252"/>
      <c r="L458" s="252"/>
      <c r="M458" s="252"/>
      <c r="N458" s="252"/>
      <c r="O458" s="252"/>
      <c r="P458" s="252"/>
      <c r="Q458" s="252"/>
      <c r="R458" s="252"/>
      <c r="S458" s="252"/>
    </row>
    <row r="459" spans="1:19" x14ac:dyDescent="0.25">
      <c r="A459" s="251"/>
      <c r="B459" s="251"/>
      <c r="C459" s="252"/>
      <c r="D459" s="252"/>
      <c r="E459" s="252"/>
      <c r="F459" s="252"/>
      <c r="G459" s="252"/>
      <c r="H459" s="252"/>
      <c r="I459" s="252"/>
      <c r="J459" s="252"/>
      <c r="K459" s="252"/>
      <c r="L459" s="252"/>
      <c r="M459" s="252"/>
      <c r="N459" s="252"/>
      <c r="O459" s="252"/>
      <c r="P459" s="252"/>
      <c r="Q459" s="252"/>
      <c r="R459" s="252"/>
      <c r="S459" s="252"/>
    </row>
    <row r="460" spans="1:19" x14ac:dyDescent="0.25">
      <c r="A460" s="251"/>
      <c r="B460" s="251"/>
      <c r="C460" s="252"/>
      <c r="D460" s="252"/>
      <c r="E460" s="252"/>
      <c r="F460" s="252"/>
      <c r="G460" s="252"/>
      <c r="H460" s="252"/>
      <c r="I460" s="252"/>
      <c r="J460" s="252"/>
      <c r="K460" s="252"/>
      <c r="L460" s="252"/>
      <c r="M460" s="252"/>
      <c r="N460" s="252"/>
      <c r="O460" s="252"/>
      <c r="P460" s="252"/>
      <c r="Q460" s="252"/>
      <c r="R460" s="252"/>
      <c r="S460" s="252"/>
    </row>
    <row r="461" spans="1:19" x14ac:dyDescent="0.25">
      <c r="A461" s="251"/>
      <c r="B461" s="251"/>
      <c r="C461" s="252"/>
      <c r="D461" s="252"/>
      <c r="E461" s="252"/>
      <c r="F461" s="252"/>
      <c r="G461" s="252"/>
      <c r="H461" s="252"/>
      <c r="I461" s="252"/>
      <c r="J461" s="252"/>
      <c r="K461" s="252"/>
      <c r="L461" s="252"/>
      <c r="M461" s="252"/>
      <c r="N461" s="252"/>
      <c r="O461" s="252"/>
      <c r="P461" s="252"/>
      <c r="Q461" s="252"/>
      <c r="R461" s="252"/>
      <c r="S461" s="252"/>
    </row>
    <row r="462" spans="1:19" x14ac:dyDescent="0.25">
      <c r="A462" s="251"/>
      <c r="B462" s="251"/>
      <c r="C462" s="252"/>
      <c r="D462" s="252"/>
      <c r="E462" s="252"/>
      <c r="F462" s="252"/>
      <c r="G462" s="252"/>
      <c r="H462" s="252"/>
      <c r="I462" s="252"/>
      <c r="J462" s="252"/>
      <c r="K462" s="252"/>
      <c r="L462" s="252"/>
      <c r="M462" s="252"/>
      <c r="N462" s="252"/>
      <c r="O462" s="252"/>
      <c r="P462" s="252"/>
      <c r="Q462" s="252"/>
      <c r="R462" s="252"/>
      <c r="S462" s="252"/>
    </row>
    <row r="463" spans="1:19" x14ac:dyDescent="0.25">
      <c r="A463" s="251"/>
      <c r="B463" s="251"/>
      <c r="C463" s="252"/>
      <c r="D463" s="252"/>
      <c r="E463" s="252"/>
      <c r="F463" s="252"/>
      <c r="G463" s="252"/>
      <c r="H463" s="252"/>
      <c r="I463" s="252"/>
      <c r="J463" s="252"/>
      <c r="K463" s="252"/>
      <c r="L463" s="252"/>
      <c r="M463" s="252"/>
      <c r="N463" s="252"/>
      <c r="O463" s="252"/>
      <c r="P463" s="252"/>
      <c r="Q463" s="252"/>
      <c r="R463" s="252"/>
      <c r="S463" s="252"/>
    </row>
    <row r="464" spans="1:19" x14ac:dyDescent="0.25">
      <c r="A464" s="251"/>
      <c r="B464" s="251"/>
      <c r="C464" s="252"/>
      <c r="D464" s="252"/>
      <c r="E464" s="252"/>
      <c r="F464" s="252"/>
      <c r="G464" s="252"/>
      <c r="H464" s="252"/>
      <c r="I464" s="252"/>
      <c r="J464" s="252"/>
      <c r="K464" s="252"/>
      <c r="L464" s="252"/>
      <c r="M464" s="252"/>
      <c r="N464" s="252"/>
      <c r="O464" s="252"/>
      <c r="P464" s="252"/>
      <c r="Q464" s="252"/>
      <c r="R464" s="252"/>
      <c r="S464" s="252"/>
    </row>
    <row r="465" spans="1:19" x14ac:dyDescent="0.25">
      <c r="A465" s="251"/>
      <c r="B465" s="251"/>
      <c r="C465" s="252"/>
      <c r="D465" s="252"/>
      <c r="E465" s="252"/>
      <c r="F465" s="252"/>
      <c r="G465" s="252"/>
      <c r="H465" s="252"/>
      <c r="I465" s="252"/>
      <c r="J465" s="252"/>
      <c r="K465" s="252"/>
      <c r="L465" s="252"/>
      <c r="M465" s="252"/>
      <c r="N465" s="252"/>
      <c r="O465" s="252"/>
      <c r="P465" s="252"/>
      <c r="Q465" s="252"/>
      <c r="R465" s="252"/>
      <c r="S465" s="252"/>
    </row>
    <row r="466" spans="1:19" x14ac:dyDescent="0.25">
      <c r="A466" s="251"/>
      <c r="B466" s="251"/>
      <c r="C466" s="252"/>
      <c r="D466" s="252"/>
      <c r="E466" s="252"/>
      <c r="F466" s="252"/>
      <c r="G466" s="252"/>
      <c r="H466" s="252"/>
      <c r="I466" s="252"/>
      <c r="J466" s="252"/>
      <c r="K466" s="252"/>
      <c r="L466" s="252"/>
      <c r="M466" s="252"/>
      <c r="N466" s="252"/>
      <c r="O466" s="252"/>
      <c r="P466" s="252"/>
      <c r="Q466" s="252"/>
      <c r="R466" s="252"/>
      <c r="S466" s="252"/>
    </row>
    <row r="467" spans="1:19" x14ac:dyDescent="0.25">
      <c r="A467" s="251"/>
      <c r="B467" s="251"/>
      <c r="C467" s="252"/>
      <c r="D467" s="252"/>
      <c r="E467" s="252"/>
      <c r="F467" s="252"/>
      <c r="G467" s="252"/>
      <c r="H467" s="252"/>
      <c r="I467" s="252"/>
      <c r="J467" s="252"/>
      <c r="K467" s="252"/>
      <c r="L467" s="252"/>
      <c r="M467" s="252"/>
      <c r="N467" s="252"/>
      <c r="O467" s="252"/>
      <c r="P467" s="252"/>
      <c r="Q467" s="252"/>
      <c r="R467" s="252"/>
      <c r="S467" s="252"/>
    </row>
    <row r="468" spans="1:19" x14ac:dyDescent="0.25">
      <c r="A468" s="251"/>
      <c r="B468" s="251"/>
      <c r="C468" s="252"/>
      <c r="D468" s="252"/>
      <c r="E468" s="252"/>
      <c r="F468" s="252"/>
      <c r="G468" s="252"/>
      <c r="H468" s="252"/>
      <c r="I468" s="252"/>
      <c r="J468" s="252"/>
      <c r="K468" s="252"/>
      <c r="L468" s="252"/>
      <c r="M468" s="252"/>
      <c r="N468" s="252"/>
      <c r="O468" s="252"/>
      <c r="P468" s="252"/>
      <c r="Q468" s="252"/>
      <c r="R468" s="252"/>
      <c r="S468" s="252"/>
    </row>
    <row r="469" spans="1:19" x14ac:dyDescent="0.25">
      <c r="A469" s="251"/>
      <c r="B469" s="251"/>
      <c r="C469" s="252"/>
      <c r="D469" s="252"/>
      <c r="E469" s="252"/>
      <c r="F469" s="252"/>
      <c r="G469" s="252"/>
      <c r="H469" s="252"/>
      <c r="I469" s="252"/>
      <c r="J469" s="252"/>
      <c r="K469" s="252"/>
      <c r="L469" s="252"/>
      <c r="M469" s="252"/>
      <c r="N469" s="252"/>
      <c r="O469" s="252"/>
      <c r="P469" s="252"/>
      <c r="Q469" s="252"/>
      <c r="R469" s="252"/>
      <c r="S469" s="252"/>
    </row>
    <row r="470" spans="1:19" x14ac:dyDescent="0.25">
      <c r="A470" s="251"/>
      <c r="B470" s="251"/>
      <c r="C470" s="252"/>
      <c r="D470" s="252"/>
      <c r="E470" s="252"/>
      <c r="F470" s="252"/>
      <c r="G470" s="252"/>
      <c r="H470" s="252"/>
      <c r="I470" s="252"/>
      <c r="J470" s="252"/>
      <c r="K470" s="252"/>
      <c r="L470" s="252"/>
      <c r="M470" s="252"/>
      <c r="N470" s="252"/>
      <c r="O470" s="252"/>
      <c r="P470" s="252"/>
      <c r="Q470" s="252"/>
      <c r="R470" s="252"/>
      <c r="S470" s="252"/>
    </row>
    <row r="471" spans="1:19" x14ac:dyDescent="0.25">
      <c r="A471" s="251"/>
      <c r="B471" s="251"/>
      <c r="C471" s="252"/>
      <c r="D471" s="252"/>
      <c r="E471" s="252"/>
      <c r="F471" s="252"/>
      <c r="G471" s="252"/>
      <c r="H471" s="252"/>
      <c r="I471" s="252"/>
      <c r="J471" s="252"/>
      <c r="K471" s="252"/>
      <c r="L471" s="252"/>
      <c r="M471" s="252"/>
      <c r="N471" s="252"/>
      <c r="O471" s="252"/>
      <c r="P471" s="252"/>
      <c r="Q471" s="252"/>
      <c r="R471" s="252"/>
      <c r="S471" s="252"/>
    </row>
    <row r="472" spans="1:19" x14ac:dyDescent="0.25">
      <c r="A472" s="251"/>
      <c r="B472" s="251"/>
      <c r="C472" s="252"/>
      <c r="D472" s="252"/>
      <c r="E472" s="252"/>
      <c r="F472" s="252"/>
      <c r="G472" s="252"/>
      <c r="H472" s="252"/>
      <c r="I472" s="252"/>
      <c r="J472" s="252"/>
      <c r="K472" s="252"/>
      <c r="L472" s="252"/>
      <c r="M472" s="252"/>
      <c r="N472" s="252"/>
      <c r="O472" s="252"/>
      <c r="P472" s="252"/>
      <c r="Q472" s="252"/>
      <c r="R472" s="252"/>
      <c r="S472" s="252"/>
    </row>
    <row r="473" spans="1:19" x14ac:dyDescent="0.25">
      <c r="A473" s="251"/>
      <c r="B473" s="251"/>
      <c r="C473" s="252"/>
      <c r="D473" s="252"/>
      <c r="E473" s="252"/>
      <c r="F473" s="252"/>
      <c r="G473" s="252"/>
      <c r="H473" s="252"/>
      <c r="I473" s="252"/>
      <c r="J473" s="252"/>
      <c r="K473" s="252"/>
      <c r="L473" s="252"/>
      <c r="M473" s="252"/>
      <c r="N473" s="252"/>
      <c r="O473" s="252"/>
      <c r="P473" s="252"/>
      <c r="Q473" s="252"/>
      <c r="R473" s="252"/>
      <c r="S473" s="252"/>
    </row>
    <row r="474" spans="1:19" x14ac:dyDescent="0.25">
      <c r="A474" s="251"/>
      <c r="B474" s="251"/>
      <c r="C474" s="252"/>
      <c r="D474" s="252"/>
      <c r="E474" s="252"/>
      <c r="F474" s="252"/>
      <c r="G474" s="252"/>
      <c r="H474" s="252"/>
      <c r="I474" s="252"/>
      <c r="J474" s="252"/>
      <c r="K474" s="252"/>
      <c r="L474" s="252"/>
      <c r="M474" s="252"/>
      <c r="N474" s="252"/>
      <c r="O474" s="252"/>
      <c r="P474" s="252"/>
      <c r="Q474" s="252"/>
      <c r="R474" s="252"/>
      <c r="S474" s="252"/>
    </row>
    <row r="475" spans="1:19" x14ac:dyDescent="0.25">
      <c r="A475" s="251"/>
      <c r="B475" s="251"/>
      <c r="C475" s="252"/>
      <c r="D475" s="252"/>
      <c r="E475" s="252"/>
      <c r="F475" s="252"/>
      <c r="G475" s="252"/>
      <c r="H475" s="252"/>
      <c r="I475" s="252"/>
      <c r="J475" s="252"/>
      <c r="K475" s="252"/>
      <c r="L475" s="252"/>
      <c r="M475" s="252"/>
      <c r="N475" s="252"/>
      <c r="O475" s="252"/>
      <c r="P475" s="252"/>
      <c r="Q475" s="252"/>
      <c r="R475" s="252"/>
      <c r="S475" s="252"/>
    </row>
    <row r="476" spans="1:19" x14ac:dyDescent="0.25">
      <c r="A476" s="251"/>
      <c r="B476" s="251"/>
      <c r="C476" s="252"/>
      <c r="D476" s="252"/>
      <c r="E476" s="252"/>
      <c r="F476" s="252"/>
      <c r="G476" s="252"/>
      <c r="H476" s="252"/>
      <c r="I476" s="252"/>
      <c r="J476" s="252"/>
      <c r="K476" s="252"/>
      <c r="L476" s="252"/>
      <c r="M476" s="252"/>
      <c r="N476" s="252"/>
      <c r="O476" s="252"/>
      <c r="P476" s="252"/>
      <c r="Q476" s="252"/>
      <c r="R476" s="252"/>
      <c r="S476" s="252"/>
    </row>
    <row r="477" spans="1:19" x14ac:dyDescent="0.25">
      <c r="A477" s="251"/>
      <c r="B477" s="251"/>
      <c r="C477" s="252"/>
      <c r="D477" s="252"/>
      <c r="E477" s="252"/>
      <c r="F477" s="252"/>
      <c r="G477" s="252"/>
      <c r="H477" s="252"/>
      <c r="I477" s="252"/>
      <c r="J477" s="252"/>
      <c r="K477" s="252"/>
      <c r="L477" s="252"/>
      <c r="M477" s="252"/>
      <c r="N477" s="252"/>
      <c r="O477" s="252"/>
      <c r="P477" s="252"/>
      <c r="Q477" s="252"/>
      <c r="R477" s="252"/>
      <c r="S477" s="252"/>
    </row>
    <row r="478" spans="1:19" x14ac:dyDescent="0.25">
      <c r="A478" s="251"/>
      <c r="B478" s="251"/>
      <c r="C478" s="252"/>
      <c r="D478" s="252"/>
      <c r="E478" s="252"/>
      <c r="F478" s="252"/>
      <c r="G478" s="252"/>
      <c r="H478" s="252"/>
      <c r="I478" s="252"/>
      <c r="J478" s="252"/>
      <c r="K478" s="252"/>
      <c r="L478" s="252"/>
      <c r="M478" s="252"/>
      <c r="N478" s="252"/>
      <c r="O478" s="252"/>
      <c r="P478" s="252"/>
      <c r="Q478" s="252"/>
      <c r="R478" s="252"/>
      <c r="S478" s="252"/>
    </row>
    <row r="479" spans="1:19" x14ac:dyDescent="0.25">
      <c r="A479" s="251"/>
      <c r="B479" s="251"/>
      <c r="C479" s="252"/>
      <c r="D479" s="252"/>
      <c r="E479" s="252"/>
      <c r="F479" s="252"/>
      <c r="G479" s="252"/>
      <c r="H479" s="252"/>
      <c r="I479" s="252"/>
      <c r="J479" s="252"/>
      <c r="K479" s="252"/>
      <c r="L479" s="252"/>
      <c r="M479" s="252"/>
      <c r="N479" s="252"/>
      <c r="O479" s="252"/>
      <c r="P479" s="252"/>
      <c r="Q479" s="252"/>
      <c r="R479" s="252"/>
      <c r="S479" s="252"/>
    </row>
    <row r="480" spans="1:19" x14ac:dyDescent="0.25">
      <c r="A480" s="251"/>
      <c r="B480" s="251"/>
      <c r="C480" s="252"/>
      <c r="D480" s="252"/>
      <c r="E480" s="252"/>
      <c r="F480" s="252"/>
      <c r="G480" s="252"/>
      <c r="H480" s="252"/>
      <c r="I480" s="252"/>
      <c r="J480" s="252"/>
      <c r="K480" s="252"/>
      <c r="L480" s="252"/>
      <c r="M480" s="252"/>
      <c r="N480" s="252"/>
      <c r="O480" s="252"/>
      <c r="P480" s="252"/>
      <c r="Q480" s="252"/>
      <c r="R480" s="252"/>
      <c r="S480" s="252"/>
    </row>
    <row r="481" spans="1:19" x14ac:dyDescent="0.25">
      <c r="A481" s="251"/>
      <c r="B481" s="251"/>
      <c r="C481" s="252"/>
      <c r="D481" s="252"/>
      <c r="E481" s="252"/>
      <c r="F481" s="252"/>
      <c r="G481" s="252"/>
      <c r="H481" s="252"/>
      <c r="I481" s="252"/>
      <c r="J481" s="252"/>
      <c r="K481" s="252"/>
      <c r="L481" s="252"/>
      <c r="M481" s="252"/>
      <c r="N481" s="252"/>
      <c r="O481" s="252"/>
      <c r="P481" s="252"/>
      <c r="Q481" s="252"/>
      <c r="R481" s="252"/>
      <c r="S481" s="252"/>
    </row>
    <row r="482" spans="1:19" x14ac:dyDescent="0.25">
      <c r="A482" s="251"/>
      <c r="B482" s="251"/>
      <c r="C482" s="252"/>
      <c r="D482" s="252"/>
      <c r="E482" s="252"/>
      <c r="F482" s="252"/>
      <c r="G482" s="252"/>
      <c r="H482" s="252"/>
      <c r="I482" s="252"/>
      <c r="J482" s="252"/>
      <c r="K482" s="252"/>
      <c r="L482" s="252"/>
      <c r="M482" s="252"/>
      <c r="N482" s="252"/>
      <c r="O482" s="252"/>
      <c r="P482" s="252"/>
      <c r="Q482" s="252"/>
      <c r="R482" s="252"/>
      <c r="S482" s="252"/>
    </row>
    <row r="483" spans="1:19" x14ac:dyDescent="0.25">
      <c r="A483" s="251"/>
      <c r="B483" s="251"/>
      <c r="C483" s="252"/>
      <c r="D483" s="252"/>
      <c r="E483" s="252"/>
      <c r="F483" s="252"/>
      <c r="G483" s="252"/>
      <c r="H483" s="252"/>
      <c r="I483" s="252"/>
      <c r="J483" s="252"/>
      <c r="K483" s="252"/>
      <c r="L483" s="252"/>
      <c r="M483" s="252"/>
      <c r="N483" s="252"/>
      <c r="O483" s="252"/>
      <c r="P483" s="252"/>
      <c r="Q483" s="252"/>
      <c r="R483" s="252"/>
      <c r="S483" s="252"/>
    </row>
    <row r="484" spans="1:19" x14ac:dyDescent="0.25">
      <c r="A484" s="251"/>
      <c r="B484" s="251"/>
      <c r="C484" s="252"/>
      <c r="D484" s="252"/>
      <c r="E484" s="252"/>
      <c r="F484" s="252"/>
      <c r="G484" s="252"/>
      <c r="H484" s="252"/>
      <c r="I484" s="252"/>
      <c r="J484" s="252"/>
      <c r="K484" s="252"/>
      <c r="L484" s="252"/>
      <c r="M484" s="252"/>
      <c r="N484" s="252"/>
      <c r="O484" s="252"/>
      <c r="P484" s="252"/>
      <c r="Q484" s="252"/>
      <c r="R484" s="252"/>
      <c r="S484" s="252"/>
    </row>
    <row r="485" spans="1:19" x14ac:dyDescent="0.25">
      <c r="A485" s="251"/>
      <c r="B485" s="251"/>
      <c r="C485" s="252"/>
      <c r="D485" s="252"/>
      <c r="E485" s="252"/>
      <c r="F485" s="252"/>
      <c r="G485" s="252"/>
      <c r="H485" s="252"/>
      <c r="I485" s="252"/>
      <c r="J485" s="252"/>
      <c r="K485" s="252"/>
      <c r="L485" s="252"/>
      <c r="M485" s="252"/>
      <c r="N485" s="252"/>
      <c r="O485" s="252"/>
      <c r="P485" s="252"/>
      <c r="Q485" s="252"/>
      <c r="R485" s="252"/>
      <c r="S485" s="252"/>
    </row>
    <row r="486" spans="1:19" x14ac:dyDescent="0.25">
      <c r="A486" s="251"/>
      <c r="B486" s="251"/>
      <c r="C486" s="252"/>
      <c r="D486" s="252"/>
      <c r="E486" s="252"/>
      <c r="F486" s="252"/>
      <c r="G486" s="252"/>
      <c r="H486" s="252"/>
      <c r="I486" s="252"/>
      <c r="J486" s="252"/>
      <c r="K486" s="252"/>
      <c r="L486" s="252"/>
      <c r="M486" s="252"/>
      <c r="N486" s="252"/>
      <c r="O486" s="252"/>
      <c r="P486" s="252"/>
      <c r="Q486" s="252"/>
      <c r="R486" s="252"/>
      <c r="S486" s="252"/>
    </row>
    <row r="487" spans="1:19" x14ac:dyDescent="0.25">
      <c r="A487" s="251"/>
      <c r="B487" s="251"/>
      <c r="C487" s="252"/>
      <c r="D487" s="252"/>
      <c r="E487" s="252"/>
      <c r="F487" s="252"/>
      <c r="G487" s="252"/>
      <c r="H487" s="252"/>
      <c r="I487" s="252"/>
      <c r="J487" s="252"/>
      <c r="K487" s="252"/>
      <c r="L487" s="252"/>
      <c r="M487" s="252"/>
      <c r="N487" s="252"/>
      <c r="O487" s="252"/>
      <c r="P487" s="252"/>
      <c r="Q487" s="252"/>
      <c r="R487" s="252"/>
      <c r="S487" s="252"/>
    </row>
    <row r="488" spans="1:19" x14ac:dyDescent="0.25">
      <c r="A488" s="251"/>
      <c r="B488" s="251"/>
      <c r="C488" s="252"/>
      <c r="D488" s="252"/>
      <c r="E488" s="252"/>
      <c r="F488" s="252"/>
      <c r="G488" s="252"/>
      <c r="H488" s="252"/>
      <c r="I488" s="252"/>
      <c r="J488" s="252"/>
      <c r="K488" s="252"/>
      <c r="L488" s="252"/>
      <c r="M488" s="252"/>
      <c r="N488" s="252"/>
      <c r="O488" s="252"/>
      <c r="P488" s="252"/>
      <c r="Q488" s="252"/>
      <c r="R488" s="252"/>
      <c r="S488" s="252"/>
    </row>
    <row r="489" spans="1:19" x14ac:dyDescent="0.25">
      <c r="A489" s="251"/>
      <c r="B489" s="251"/>
      <c r="C489" s="252"/>
      <c r="D489" s="252"/>
      <c r="E489" s="252"/>
      <c r="F489" s="252"/>
      <c r="G489" s="252"/>
      <c r="H489" s="252"/>
      <c r="I489" s="252"/>
      <c r="J489" s="252"/>
      <c r="K489" s="252"/>
      <c r="L489" s="252"/>
      <c r="M489" s="252"/>
      <c r="N489" s="252"/>
      <c r="O489" s="252"/>
      <c r="P489" s="252"/>
      <c r="Q489" s="252"/>
      <c r="R489" s="252"/>
      <c r="S489" s="252"/>
    </row>
    <row r="490" spans="1:19" x14ac:dyDescent="0.25">
      <c r="A490" s="251"/>
      <c r="B490" s="251"/>
      <c r="C490" s="252"/>
      <c r="D490" s="252"/>
      <c r="E490" s="252"/>
      <c r="F490" s="252"/>
      <c r="G490" s="252"/>
      <c r="H490" s="252"/>
      <c r="I490" s="252"/>
      <c r="J490" s="252"/>
      <c r="K490" s="252"/>
      <c r="L490" s="252"/>
      <c r="M490" s="252"/>
      <c r="N490" s="252"/>
      <c r="O490" s="252"/>
      <c r="P490" s="252"/>
      <c r="Q490" s="252"/>
      <c r="R490" s="252"/>
      <c r="S490" s="252"/>
    </row>
    <row r="491" spans="1:19" x14ac:dyDescent="0.25">
      <c r="A491" s="251"/>
      <c r="B491" s="251"/>
      <c r="C491" s="252"/>
      <c r="D491" s="252"/>
      <c r="E491" s="252"/>
      <c r="F491" s="252"/>
      <c r="G491" s="252"/>
      <c r="H491" s="252"/>
      <c r="I491" s="252"/>
      <c r="J491" s="252"/>
      <c r="K491" s="252"/>
      <c r="L491" s="252"/>
      <c r="M491" s="252"/>
      <c r="N491" s="252"/>
      <c r="O491" s="252"/>
      <c r="P491" s="252"/>
      <c r="Q491" s="252"/>
      <c r="R491" s="252"/>
      <c r="S491" s="252"/>
    </row>
    <row r="492" spans="1:19" x14ac:dyDescent="0.25">
      <c r="A492" s="251"/>
      <c r="B492" s="251"/>
      <c r="C492" s="252"/>
      <c r="D492" s="252"/>
      <c r="E492" s="252"/>
      <c r="F492" s="252"/>
      <c r="G492" s="252"/>
      <c r="H492" s="252"/>
      <c r="I492" s="252"/>
      <c r="J492" s="252"/>
      <c r="K492" s="252"/>
      <c r="L492" s="252"/>
      <c r="M492" s="252"/>
      <c r="N492" s="252"/>
      <c r="O492" s="252"/>
      <c r="P492" s="252"/>
      <c r="Q492" s="252"/>
      <c r="R492" s="252"/>
      <c r="S492" s="252"/>
    </row>
    <row r="493" spans="1:19" x14ac:dyDescent="0.25">
      <c r="A493" s="251"/>
      <c r="B493" s="251"/>
      <c r="C493" s="252"/>
      <c r="D493" s="252"/>
      <c r="E493" s="252"/>
      <c r="F493" s="252"/>
      <c r="G493" s="252"/>
      <c r="H493" s="252"/>
      <c r="I493" s="252"/>
      <c r="J493" s="252"/>
      <c r="K493" s="252"/>
      <c r="L493" s="252"/>
      <c r="M493" s="252"/>
      <c r="N493" s="252"/>
      <c r="O493" s="252"/>
      <c r="P493" s="252"/>
      <c r="Q493" s="252"/>
      <c r="R493" s="252"/>
      <c r="S493" s="252"/>
    </row>
    <row r="494" spans="1:19" x14ac:dyDescent="0.25">
      <c r="A494" s="251"/>
      <c r="B494" s="251"/>
      <c r="C494" s="252"/>
      <c r="D494" s="252"/>
      <c r="E494" s="252"/>
      <c r="F494" s="252"/>
      <c r="G494" s="252"/>
      <c r="H494" s="252"/>
      <c r="I494" s="252"/>
      <c r="J494" s="252"/>
      <c r="K494" s="252"/>
      <c r="L494" s="252"/>
      <c r="M494" s="252"/>
      <c r="N494" s="252"/>
      <c r="O494" s="252"/>
      <c r="P494" s="252"/>
      <c r="Q494" s="252"/>
      <c r="R494" s="252"/>
      <c r="S494" s="252"/>
    </row>
    <row r="495" spans="1:19" x14ac:dyDescent="0.25">
      <c r="A495" s="251"/>
      <c r="B495" s="251"/>
      <c r="C495" s="252"/>
      <c r="D495" s="252"/>
      <c r="E495" s="252"/>
      <c r="F495" s="252"/>
      <c r="G495" s="252"/>
      <c r="H495" s="252"/>
      <c r="I495" s="252"/>
      <c r="J495" s="252"/>
      <c r="K495" s="252"/>
      <c r="L495" s="252"/>
      <c r="M495" s="252"/>
      <c r="N495" s="252"/>
      <c r="O495" s="252"/>
      <c r="P495" s="252"/>
      <c r="Q495" s="252"/>
      <c r="R495" s="252"/>
      <c r="S495" s="252"/>
    </row>
    <row r="496" spans="1:19" x14ac:dyDescent="0.25">
      <c r="A496" s="251"/>
      <c r="B496" s="251"/>
      <c r="C496" s="252"/>
      <c r="D496" s="252"/>
      <c r="E496" s="252"/>
      <c r="F496" s="252"/>
      <c r="G496" s="252"/>
      <c r="H496" s="252"/>
      <c r="I496" s="252"/>
      <c r="J496" s="252"/>
      <c r="K496" s="252"/>
      <c r="L496" s="252"/>
      <c r="M496" s="252"/>
      <c r="N496" s="252"/>
      <c r="O496" s="252"/>
      <c r="P496" s="252"/>
      <c r="Q496" s="252"/>
      <c r="R496" s="252"/>
      <c r="S496" s="252"/>
    </row>
    <row r="497" spans="1:19" x14ac:dyDescent="0.25">
      <c r="A497" s="251"/>
      <c r="B497" s="251"/>
      <c r="C497" s="252"/>
      <c r="D497" s="252"/>
      <c r="E497" s="252"/>
      <c r="F497" s="252"/>
      <c r="G497" s="252"/>
      <c r="H497" s="252"/>
      <c r="I497" s="252"/>
      <c r="J497" s="252"/>
      <c r="K497" s="252"/>
      <c r="L497" s="252"/>
      <c r="M497" s="252"/>
      <c r="N497" s="252"/>
      <c r="O497" s="252"/>
      <c r="P497" s="252"/>
      <c r="Q497" s="252"/>
      <c r="R497" s="252"/>
      <c r="S497" s="252"/>
    </row>
    <row r="498" spans="1:19" x14ac:dyDescent="0.25">
      <c r="A498" s="251"/>
      <c r="B498" s="251"/>
      <c r="C498" s="252"/>
      <c r="D498" s="252"/>
      <c r="E498" s="252"/>
      <c r="F498" s="252"/>
      <c r="G498" s="252"/>
      <c r="H498" s="252"/>
      <c r="I498" s="252"/>
      <c r="J498" s="252"/>
      <c r="K498" s="252"/>
      <c r="L498" s="252"/>
      <c r="M498" s="252"/>
      <c r="N498" s="252"/>
      <c r="O498" s="252"/>
      <c r="P498" s="252"/>
      <c r="Q498" s="252"/>
      <c r="R498" s="252"/>
      <c r="S498" s="252"/>
    </row>
    <row r="499" spans="1:19" x14ac:dyDescent="0.25">
      <c r="A499" s="251"/>
      <c r="B499" s="251"/>
      <c r="C499" s="252"/>
      <c r="D499" s="252"/>
      <c r="E499" s="252"/>
      <c r="F499" s="252"/>
      <c r="G499" s="252"/>
      <c r="H499" s="252"/>
      <c r="I499" s="252"/>
      <c r="J499" s="252"/>
      <c r="K499" s="252"/>
      <c r="L499" s="252"/>
      <c r="M499" s="252"/>
      <c r="N499" s="252"/>
      <c r="O499" s="252"/>
      <c r="P499" s="252"/>
      <c r="Q499" s="252"/>
      <c r="R499" s="252"/>
      <c r="S499" s="252"/>
    </row>
    <row r="500" spans="1:19" x14ac:dyDescent="0.25">
      <c r="A500" s="251"/>
      <c r="B500" s="251"/>
      <c r="C500" s="252"/>
      <c r="D500" s="252"/>
      <c r="E500" s="252"/>
      <c r="F500" s="252"/>
      <c r="G500" s="252"/>
      <c r="H500" s="252"/>
      <c r="I500" s="252"/>
      <c r="J500" s="252"/>
      <c r="K500" s="252"/>
      <c r="L500" s="252"/>
      <c r="M500" s="252"/>
      <c r="N500" s="252"/>
      <c r="O500" s="252"/>
      <c r="P500" s="252"/>
      <c r="Q500" s="252"/>
      <c r="R500" s="252"/>
      <c r="S500" s="252"/>
    </row>
    <row r="501" spans="1:19" x14ac:dyDescent="0.25">
      <c r="A501" s="251"/>
      <c r="B501" s="251"/>
      <c r="C501" s="252"/>
      <c r="D501" s="252"/>
      <c r="E501" s="252"/>
      <c r="F501" s="252"/>
      <c r="G501" s="252"/>
      <c r="H501" s="252"/>
      <c r="I501" s="252"/>
      <c r="J501" s="252"/>
      <c r="K501" s="252"/>
      <c r="L501" s="252"/>
      <c r="M501" s="252"/>
      <c r="N501" s="252"/>
      <c r="O501" s="252"/>
      <c r="P501" s="252"/>
      <c r="Q501" s="252"/>
      <c r="R501" s="252"/>
      <c r="S501" s="252"/>
    </row>
    <row r="502" spans="1:19" x14ac:dyDescent="0.25">
      <c r="A502" s="251"/>
      <c r="B502" s="251"/>
      <c r="C502" s="252"/>
      <c r="D502" s="252"/>
      <c r="E502" s="252"/>
      <c r="F502" s="252"/>
      <c r="G502" s="252"/>
      <c r="H502" s="252"/>
      <c r="I502" s="252"/>
      <c r="J502" s="252"/>
      <c r="K502" s="252"/>
      <c r="L502" s="252"/>
      <c r="M502" s="252"/>
      <c r="N502" s="252"/>
      <c r="O502" s="252"/>
      <c r="P502" s="252"/>
      <c r="Q502" s="252"/>
      <c r="R502" s="252"/>
      <c r="S502" s="252"/>
    </row>
    <row r="503" spans="1:19" x14ac:dyDescent="0.25">
      <c r="A503" s="251"/>
      <c r="B503" s="251"/>
      <c r="C503" s="252"/>
      <c r="D503" s="252"/>
      <c r="E503" s="252"/>
      <c r="F503" s="252"/>
      <c r="G503" s="252"/>
      <c r="H503" s="252"/>
      <c r="I503" s="252"/>
      <c r="J503" s="252"/>
      <c r="K503" s="252"/>
      <c r="L503" s="252"/>
      <c r="M503" s="252"/>
      <c r="N503" s="252"/>
      <c r="O503" s="252"/>
      <c r="P503" s="252"/>
      <c r="Q503" s="252"/>
      <c r="R503" s="252"/>
      <c r="S503" s="252"/>
    </row>
    <row r="504" spans="1:19" x14ac:dyDescent="0.25">
      <c r="A504" s="251"/>
      <c r="B504" s="251"/>
      <c r="C504" s="252"/>
      <c r="D504" s="252"/>
      <c r="E504" s="252"/>
      <c r="F504" s="252"/>
      <c r="G504" s="252"/>
      <c r="H504" s="252"/>
      <c r="I504" s="252"/>
      <c r="J504" s="252"/>
      <c r="K504" s="252"/>
      <c r="L504" s="252"/>
      <c r="M504" s="252"/>
      <c r="N504" s="252"/>
      <c r="O504" s="252"/>
      <c r="P504" s="252"/>
      <c r="Q504" s="252"/>
      <c r="R504" s="252"/>
      <c r="S504" s="252"/>
    </row>
    <row r="505" spans="1:19" x14ac:dyDescent="0.25">
      <c r="A505" s="251"/>
      <c r="B505" s="251"/>
      <c r="C505" s="252"/>
      <c r="D505" s="252"/>
      <c r="E505" s="252"/>
      <c r="F505" s="252"/>
      <c r="G505" s="252"/>
      <c r="H505" s="252"/>
      <c r="I505" s="252"/>
      <c r="J505" s="252"/>
      <c r="K505" s="252"/>
      <c r="L505" s="252"/>
      <c r="M505" s="252"/>
      <c r="N505" s="252"/>
      <c r="O505" s="252"/>
      <c r="P505" s="252"/>
      <c r="Q505" s="252"/>
      <c r="R505" s="252"/>
      <c r="S505" s="252"/>
    </row>
    <row r="506" spans="1:19" x14ac:dyDescent="0.25">
      <c r="A506" s="251"/>
      <c r="B506" s="251"/>
      <c r="C506" s="252"/>
      <c r="D506" s="252"/>
      <c r="E506" s="252"/>
      <c r="F506" s="252"/>
      <c r="G506" s="252"/>
      <c r="H506" s="252"/>
      <c r="I506" s="252"/>
      <c r="J506" s="252"/>
      <c r="K506" s="252"/>
      <c r="L506" s="252"/>
      <c r="M506" s="252"/>
      <c r="N506" s="252"/>
      <c r="O506" s="252"/>
      <c r="P506" s="252"/>
      <c r="Q506" s="252"/>
      <c r="R506" s="252"/>
      <c r="S506" s="252"/>
    </row>
    <row r="507" spans="1:19" x14ac:dyDescent="0.25">
      <c r="A507" s="251"/>
      <c r="B507" s="251"/>
      <c r="C507" s="252"/>
      <c r="D507" s="252"/>
      <c r="E507" s="252"/>
      <c r="F507" s="252"/>
      <c r="G507" s="252"/>
      <c r="H507" s="252"/>
      <c r="I507" s="252"/>
      <c r="J507" s="252"/>
      <c r="K507" s="252"/>
      <c r="L507" s="252"/>
      <c r="M507" s="252"/>
      <c r="N507" s="252"/>
      <c r="O507" s="252"/>
      <c r="P507" s="252"/>
      <c r="Q507" s="252"/>
      <c r="R507" s="252"/>
      <c r="S507" s="252"/>
    </row>
    <row r="508" spans="1:19" x14ac:dyDescent="0.25">
      <c r="A508" s="251"/>
      <c r="B508" s="251"/>
      <c r="C508" s="252"/>
      <c r="D508" s="252"/>
      <c r="E508" s="252"/>
      <c r="F508" s="252"/>
      <c r="G508" s="252"/>
      <c r="H508" s="252"/>
      <c r="I508" s="252"/>
      <c r="J508" s="252"/>
      <c r="K508" s="252"/>
      <c r="L508" s="252"/>
      <c r="M508" s="252"/>
      <c r="N508" s="252"/>
      <c r="O508" s="252"/>
      <c r="P508" s="252"/>
      <c r="Q508" s="252"/>
      <c r="R508" s="252"/>
      <c r="S508" s="252"/>
    </row>
    <row r="509" spans="1:19" x14ac:dyDescent="0.25">
      <c r="A509" s="251"/>
      <c r="B509" s="251"/>
      <c r="C509" s="252"/>
      <c r="D509" s="252"/>
      <c r="E509" s="252"/>
      <c r="F509" s="252"/>
      <c r="G509" s="252"/>
      <c r="H509" s="252"/>
      <c r="I509" s="252"/>
      <c r="J509" s="252"/>
      <c r="K509" s="252"/>
      <c r="L509" s="252"/>
      <c r="M509" s="252"/>
      <c r="N509" s="252"/>
      <c r="O509" s="252"/>
      <c r="P509" s="252"/>
      <c r="Q509" s="252"/>
      <c r="R509" s="252"/>
      <c r="S509" s="252"/>
    </row>
    <row r="510" spans="1:19" x14ac:dyDescent="0.25">
      <c r="A510" s="251"/>
      <c r="B510" s="251"/>
      <c r="C510" s="252"/>
      <c r="D510" s="252"/>
      <c r="E510" s="252"/>
      <c r="F510" s="252"/>
      <c r="G510" s="252"/>
      <c r="H510" s="252"/>
      <c r="I510" s="252"/>
      <c r="J510" s="252"/>
      <c r="K510" s="252"/>
      <c r="L510" s="252"/>
      <c r="M510" s="252"/>
      <c r="N510" s="252"/>
      <c r="O510" s="252"/>
      <c r="P510" s="252"/>
      <c r="Q510" s="252"/>
      <c r="R510" s="252"/>
      <c r="S510" s="252"/>
    </row>
    <row r="511" spans="1:19" x14ac:dyDescent="0.25">
      <c r="A511" s="251"/>
      <c r="B511" s="251"/>
      <c r="C511" s="252"/>
      <c r="D511" s="252"/>
      <c r="E511" s="252"/>
      <c r="F511" s="252"/>
      <c r="G511" s="252"/>
      <c r="H511" s="252"/>
      <c r="I511" s="252"/>
      <c r="J511" s="252"/>
      <c r="K511" s="252"/>
      <c r="L511" s="252"/>
      <c r="M511" s="252"/>
      <c r="N511" s="252"/>
      <c r="O511" s="252"/>
      <c r="P511" s="252"/>
      <c r="Q511" s="252"/>
      <c r="R511" s="252"/>
      <c r="S511" s="252"/>
    </row>
    <row r="512" spans="1:19" x14ac:dyDescent="0.25">
      <c r="A512" s="251"/>
      <c r="B512" s="251"/>
      <c r="C512" s="252"/>
      <c r="D512" s="252"/>
      <c r="E512" s="252"/>
      <c r="F512" s="252"/>
      <c r="G512" s="252"/>
      <c r="H512" s="252"/>
      <c r="I512" s="252"/>
      <c r="J512" s="252"/>
      <c r="K512" s="252"/>
      <c r="L512" s="252"/>
      <c r="M512" s="252"/>
      <c r="N512" s="252"/>
      <c r="O512" s="252"/>
      <c r="P512" s="252"/>
      <c r="Q512" s="252"/>
      <c r="R512" s="252"/>
      <c r="S512" s="252"/>
    </row>
    <row r="513" spans="1:19" x14ac:dyDescent="0.25">
      <c r="A513" s="251"/>
      <c r="B513" s="251"/>
      <c r="C513" s="252"/>
      <c r="D513" s="252"/>
      <c r="E513" s="252"/>
      <c r="F513" s="252"/>
      <c r="G513" s="252"/>
      <c r="H513" s="252"/>
      <c r="I513" s="252"/>
      <c r="J513" s="252"/>
      <c r="K513" s="252"/>
      <c r="L513" s="252"/>
      <c r="M513" s="252"/>
      <c r="N513" s="252"/>
      <c r="O513" s="252"/>
      <c r="P513" s="252"/>
      <c r="Q513" s="252"/>
      <c r="R513" s="252"/>
      <c r="S513" s="252"/>
    </row>
    <row r="514" spans="1:19" x14ac:dyDescent="0.25">
      <c r="A514" s="251"/>
      <c r="B514" s="251"/>
      <c r="C514" s="252"/>
      <c r="D514" s="252"/>
      <c r="E514" s="252"/>
      <c r="F514" s="252"/>
      <c r="G514" s="252"/>
      <c r="H514" s="252"/>
      <c r="I514" s="252"/>
      <c r="J514" s="252"/>
      <c r="K514" s="252"/>
      <c r="L514" s="252"/>
      <c r="M514" s="252"/>
      <c r="N514" s="252"/>
      <c r="O514" s="252"/>
      <c r="P514" s="252"/>
      <c r="Q514" s="252"/>
      <c r="R514" s="252"/>
      <c r="S514" s="252"/>
    </row>
    <row r="515" spans="1:19" x14ac:dyDescent="0.25">
      <c r="A515" s="251"/>
      <c r="B515" s="251"/>
      <c r="C515" s="252"/>
      <c r="D515" s="252"/>
      <c r="E515" s="252"/>
      <c r="F515" s="252"/>
      <c r="G515" s="252"/>
      <c r="H515" s="252"/>
      <c r="I515" s="252"/>
      <c r="J515" s="252"/>
      <c r="K515" s="252"/>
      <c r="L515" s="252"/>
      <c r="M515" s="252"/>
      <c r="N515" s="252"/>
      <c r="O515" s="252"/>
      <c r="P515" s="252"/>
      <c r="Q515" s="252"/>
      <c r="R515" s="252"/>
      <c r="S515" s="252"/>
    </row>
    <row r="516" spans="1:19" x14ac:dyDescent="0.25">
      <c r="A516" s="251"/>
      <c r="B516" s="251"/>
      <c r="C516" s="252"/>
      <c r="D516" s="252"/>
      <c r="E516" s="252"/>
      <c r="F516" s="252"/>
      <c r="G516" s="252"/>
      <c r="H516" s="252"/>
      <c r="I516" s="252"/>
      <c r="J516" s="252"/>
      <c r="K516" s="252"/>
      <c r="L516" s="252"/>
      <c r="M516" s="252"/>
      <c r="N516" s="252"/>
      <c r="O516" s="252"/>
      <c r="P516" s="252"/>
      <c r="Q516" s="252"/>
      <c r="R516" s="252"/>
      <c r="S516" s="252"/>
    </row>
    <row r="517" spans="1:19" x14ac:dyDescent="0.25">
      <c r="A517" s="251"/>
      <c r="B517" s="251"/>
      <c r="C517" s="252"/>
      <c r="D517" s="252"/>
      <c r="E517" s="252"/>
      <c r="F517" s="252"/>
      <c r="G517" s="252"/>
      <c r="H517" s="252"/>
      <c r="I517" s="252"/>
      <c r="J517" s="252"/>
      <c r="K517" s="252"/>
      <c r="L517" s="252"/>
      <c r="M517" s="252"/>
      <c r="N517" s="252"/>
      <c r="O517" s="252"/>
      <c r="P517" s="252"/>
      <c r="Q517" s="252"/>
      <c r="R517" s="252"/>
      <c r="S517" s="252"/>
    </row>
    <row r="518" spans="1:19" x14ac:dyDescent="0.25">
      <c r="A518" s="251"/>
      <c r="B518" s="251"/>
      <c r="C518" s="252"/>
      <c r="D518" s="252"/>
      <c r="E518" s="252"/>
      <c r="F518" s="252"/>
      <c r="G518" s="252"/>
      <c r="H518" s="252"/>
      <c r="I518" s="252"/>
      <c r="J518" s="252"/>
      <c r="K518" s="252"/>
      <c r="L518" s="252"/>
      <c r="M518" s="252"/>
      <c r="N518" s="252"/>
      <c r="O518" s="252"/>
      <c r="P518" s="252"/>
      <c r="Q518" s="252"/>
      <c r="R518" s="252"/>
      <c r="S518" s="252"/>
    </row>
    <row r="519" spans="1:19" x14ac:dyDescent="0.25">
      <c r="A519" s="251"/>
      <c r="B519" s="251"/>
      <c r="C519" s="252"/>
      <c r="D519" s="252"/>
      <c r="E519" s="252"/>
      <c r="F519" s="252"/>
      <c r="G519" s="252"/>
      <c r="H519" s="252"/>
      <c r="I519" s="252"/>
      <c r="J519" s="252"/>
      <c r="K519" s="252"/>
      <c r="L519" s="252"/>
      <c r="M519" s="252"/>
      <c r="N519" s="252"/>
      <c r="O519" s="252"/>
      <c r="P519" s="252"/>
      <c r="Q519" s="252"/>
      <c r="R519" s="252"/>
      <c r="S519" s="252"/>
    </row>
    <row r="520" spans="1:19" x14ac:dyDescent="0.25">
      <c r="A520" s="251"/>
      <c r="B520" s="251"/>
      <c r="C520" s="252"/>
      <c r="D520" s="252"/>
      <c r="E520" s="252"/>
      <c r="F520" s="252"/>
      <c r="G520" s="252"/>
      <c r="H520" s="252"/>
      <c r="I520" s="252"/>
      <c r="J520" s="252"/>
      <c r="K520" s="252"/>
      <c r="L520" s="252"/>
      <c r="M520" s="252"/>
      <c r="N520" s="252"/>
      <c r="O520" s="252"/>
      <c r="P520" s="252"/>
      <c r="Q520" s="252"/>
      <c r="R520" s="252"/>
      <c r="S520" s="252"/>
    </row>
    <row r="521" spans="1:19" x14ac:dyDescent="0.25">
      <c r="A521" s="251"/>
      <c r="B521" s="251"/>
      <c r="C521" s="252"/>
      <c r="D521" s="252"/>
      <c r="E521" s="252"/>
      <c r="F521" s="252"/>
      <c r="G521" s="252"/>
      <c r="H521" s="252"/>
      <c r="I521" s="252"/>
      <c r="J521" s="252"/>
      <c r="K521" s="252"/>
      <c r="L521" s="252"/>
      <c r="M521" s="252"/>
      <c r="N521" s="252"/>
      <c r="O521" s="252"/>
      <c r="P521" s="252"/>
      <c r="Q521" s="252"/>
      <c r="R521" s="252"/>
      <c r="S521" s="252"/>
    </row>
    <row r="522" spans="1:19" x14ac:dyDescent="0.25">
      <c r="A522" s="251"/>
      <c r="B522" s="251"/>
      <c r="C522" s="252"/>
      <c r="D522" s="252"/>
      <c r="E522" s="252"/>
      <c r="F522" s="252"/>
      <c r="G522" s="252"/>
      <c r="H522" s="252"/>
      <c r="I522" s="252"/>
      <c r="J522" s="252"/>
      <c r="K522" s="252"/>
      <c r="L522" s="252"/>
      <c r="M522" s="252"/>
      <c r="N522" s="252"/>
      <c r="O522" s="252"/>
      <c r="P522" s="252"/>
      <c r="Q522" s="252"/>
      <c r="R522" s="252"/>
      <c r="S522" s="252"/>
    </row>
    <row r="523" spans="1:19" x14ac:dyDescent="0.25">
      <c r="A523" s="251"/>
      <c r="B523" s="251"/>
      <c r="C523" s="252"/>
      <c r="D523" s="252"/>
      <c r="E523" s="252"/>
      <c r="F523" s="252"/>
      <c r="G523" s="252"/>
      <c r="H523" s="252"/>
      <c r="I523" s="252"/>
      <c r="J523" s="252"/>
      <c r="K523" s="252"/>
      <c r="L523" s="252"/>
      <c r="M523" s="252"/>
      <c r="N523" s="252"/>
      <c r="O523" s="252"/>
      <c r="P523" s="252"/>
      <c r="Q523" s="252"/>
      <c r="R523" s="252"/>
      <c r="S523" s="252"/>
    </row>
    <row r="524" spans="1:19" x14ac:dyDescent="0.25">
      <c r="A524" s="251"/>
      <c r="B524" s="251"/>
      <c r="C524" s="252"/>
      <c r="D524" s="252"/>
      <c r="E524" s="252"/>
      <c r="F524" s="252"/>
      <c r="G524" s="252"/>
      <c r="H524" s="252"/>
      <c r="I524" s="252"/>
      <c r="J524" s="252"/>
      <c r="K524" s="252"/>
      <c r="L524" s="252"/>
      <c r="M524" s="252"/>
      <c r="N524" s="252"/>
      <c r="O524" s="252"/>
      <c r="P524" s="252"/>
      <c r="Q524" s="252"/>
      <c r="R524" s="252"/>
      <c r="S524" s="252"/>
    </row>
    <row r="525" spans="1:19" x14ac:dyDescent="0.25">
      <c r="A525" s="251"/>
      <c r="B525" s="251"/>
      <c r="C525" s="252"/>
      <c r="D525" s="252"/>
      <c r="E525" s="252"/>
      <c r="F525" s="252"/>
      <c r="G525" s="252"/>
      <c r="H525" s="252"/>
      <c r="I525" s="252"/>
      <c r="J525" s="252"/>
      <c r="K525" s="252"/>
      <c r="L525" s="252"/>
      <c r="M525" s="252"/>
      <c r="N525" s="252"/>
      <c r="O525" s="252"/>
      <c r="P525" s="252"/>
      <c r="Q525" s="252"/>
      <c r="R525" s="252"/>
      <c r="S525" s="252"/>
    </row>
    <row r="526" spans="1:19" x14ac:dyDescent="0.25">
      <c r="A526" s="251"/>
      <c r="B526" s="251"/>
      <c r="C526" s="252"/>
      <c r="D526" s="252"/>
      <c r="E526" s="252"/>
      <c r="F526" s="252"/>
      <c r="G526" s="252"/>
      <c r="H526" s="252"/>
      <c r="I526" s="252"/>
      <c r="J526" s="252"/>
      <c r="K526" s="252"/>
      <c r="L526" s="252"/>
      <c r="M526" s="252"/>
      <c r="N526" s="252"/>
      <c r="O526" s="252"/>
      <c r="P526" s="252"/>
      <c r="Q526" s="252"/>
      <c r="R526" s="252"/>
      <c r="S526" s="252"/>
    </row>
    <row r="527" spans="1:19" x14ac:dyDescent="0.25">
      <c r="A527" s="251"/>
      <c r="B527" s="251"/>
      <c r="C527" s="252"/>
      <c r="D527" s="252"/>
      <c r="E527" s="252"/>
      <c r="F527" s="252"/>
      <c r="G527" s="252"/>
      <c r="H527" s="252"/>
      <c r="I527" s="252"/>
      <c r="J527" s="252"/>
      <c r="K527" s="252"/>
      <c r="L527" s="252"/>
      <c r="M527" s="252"/>
      <c r="N527" s="252"/>
      <c r="O527" s="252"/>
      <c r="P527" s="252"/>
      <c r="Q527" s="252"/>
      <c r="R527" s="252"/>
      <c r="S527" s="252"/>
    </row>
    <row r="528" spans="1:19" x14ac:dyDescent="0.25">
      <c r="A528" s="251"/>
      <c r="B528" s="251"/>
      <c r="C528" s="252"/>
      <c r="D528" s="252"/>
      <c r="E528" s="252"/>
      <c r="F528" s="252"/>
      <c r="G528" s="252"/>
      <c r="H528" s="252"/>
      <c r="I528" s="252"/>
      <c r="J528" s="252"/>
      <c r="K528" s="252"/>
      <c r="L528" s="252"/>
      <c r="M528" s="252"/>
      <c r="N528" s="252"/>
      <c r="O528" s="252"/>
      <c r="P528" s="252"/>
      <c r="Q528" s="252"/>
      <c r="R528" s="252"/>
      <c r="S528" s="252"/>
    </row>
    <row r="529" spans="1:19" x14ac:dyDescent="0.25">
      <c r="A529" s="251"/>
      <c r="B529" s="251"/>
      <c r="C529" s="252"/>
      <c r="D529" s="252"/>
      <c r="E529" s="252"/>
      <c r="F529" s="252"/>
      <c r="G529" s="252"/>
      <c r="H529" s="252"/>
      <c r="I529" s="252"/>
      <c r="J529" s="252"/>
      <c r="K529" s="252"/>
      <c r="L529" s="252"/>
      <c r="M529" s="252"/>
      <c r="N529" s="252"/>
      <c r="O529" s="252"/>
      <c r="P529" s="252"/>
      <c r="Q529" s="252"/>
      <c r="R529" s="252"/>
      <c r="S529" s="252"/>
    </row>
    <row r="530" spans="1:19" x14ac:dyDescent="0.25">
      <c r="A530" s="251"/>
      <c r="B530" s="251"/>
      <c r="C530" s="252"/>
      <c r="D530" s="252"/>
      <c r="E530" s="252"/>
      <c r="F530" s="252"/>
      <c r="G530" s="252"/>
      <c r="H530" s="252"/>
      <c r="I530" s="252"/>
      <c r="J530" s="252"/>
      <c r="K530" s="252"/>
      <c r="L530" s="252"/>
      <c r="M530" s="252"/>
      <c r="N530" s="252"/>
      <c r="O530" s="252"/>
      <c r="P530" s="252"/>
      <c r="Q530" s="252"/>
      <c r="R530" s="252"/>
      <c r="S530" s="252"/>
    </row>
    <row r="531" spans="1:19" x14ac:dyDescent="0.25">
      <c r="A531" s="251"/>
      <c r="B531" s="251"/>
      <c r="C531" s="252"/>
      <c r="D531" s="252"/>
      <c r="E531" s="252"/>
      <c r="F531" s="252"/>
      <c r="G531" s="252"/>
      <c r="H531" s="252"/>
      <c r="I531" s="252"/>
      <c r="J531" s="252"/>
      <c r="K531" s="252"/>
      <c r="L531" s="252"/>
      <c r="M531" s="252"/>
      <c r="N531" s="252"/>
      <c r="O531" s="252"/>
      <c r="P531" s="252"/>
      <c r="Q531" s="252"/>
      <c r="R531" s="252"/>
      <c r="S531" s="252"/>
    </row>
    <row r="532" spans="1:19" x14ac:dyDescent="0.25">
      <c r="A532" s="251"/>
      <c r="B532" s="251"/>
      <c r="C532" s="252"/>
      <c r="D532" s="252"/>
      <c r="E532" s="252"/>
      <c r="F532" s="252"/>
      <c r="G532" s="252"/>
      <c r="H532" s="252"/>
      <c r="I532" s="252"/>
      <c r="J532" s="252"/>
      <c r="K532" s="252"/>
      <c r="L532" s="252"/>
      <c r="M532" s="252"/>
      <c r="N532" s="252"/>
      <c r="O532" s="252"/>
      <c r="P532" s="252"/>
      <c r="Q532" s="252"/>
      <c r="R532" s="252"/>
      <c r="S532" s="252"/>
    </row>
    <row r="533" spans="1:19" x14ac:dyDescent="0.25">
      <c r="A533" s="251"/>
      <c r="B533" s="251"/>
      <c r="C533" s="252"/>
      <c r="D533" s="252"/>
      <c r="E533" s="252"/>
      <c r="F533" s="252"/>
      <c r="G533" s="252"/>
      <c r="H533" s="252"/>
      <c r="I533" s="252"/>
      <c r="J533" s="252"/>
      <c r="K533" s="252"/>
      <c r="L533" s="252"/>
      <c r="M533" s="252"/>
      <c r="N533" s="252"/>
      <c r="O533" s="252"/>
      <c r="P533" s="252"/>
      <c r="Q533" s="252"/>
      <c r="R533" s="252"/>
      <c r="S533" s="252"/>
    </row>
    <row r="534" spans="1:19" x14ac:dyDescent="0.25">
      <c r="A534" s="251"/>
      <c r="B534" s="251"/>
      <c r="C534" s="252"/>
      <c r="D534" s="252"/>
      <c r="E534" s="252"/>
      <c r="F534" s="252"/>
      <c r="G534" s="252"/>
      <c r="H534" s="252"/>
      <c r="I534" s="252"/>
      <c r="J534" s="252"/>
      <c r="K534" s="252"/>
      <c r="L534" s="252"/>
      <c r="M534" s="252"/>
      <c r="N534" s="252"/>
      <c r="O534" s="252"/>
      <c r="P534" s="252"/>
      <c r="Q534" s="252"/>
      <c r="R534" s="252"/>
      <c r="S534" s="252"/>
    </row>
    <row r="535" spans="1:19" x14ac:dyDescent="0.25">
      <c r="A535" s="251"/>
      <c r="B535" s="251"/>
      <c r="C535" s="252"/>
      <c r="D535" s="252"/>
      <c r="E535" s="252"/>
      <c r="F535" s="252"/>
      <c r="G535" s="252"/>
      <c r="H535" s="252"/>
      <c r="I535" s="252"/>
      <c r="J535" s="252"/>
      <c r="K535" s="252"/>
      <c r="L535" s="252"/>
      <c r="M535" s="252"/>
      <c r="N535" s="252"/>
      <c r="O535" s="252"/>
      <c r="P535" s="252"/>
      <c r="Q535" s="252"/>
      <c r="R535" s="252"/>
      <c r="S535" s="252"/>
    </row>
    <row r="536" spans="1:19" x14ac:dyDescent="0.25">
      <c r="A536" s="251"/>
      <c r="B536" s="251"/>
      <c r="C536" s="252"/>
      <c r="D536" s="252"/>
      <c r="E536" s="252"/>
      <c r="F536" s="252"/>
      <c r="G536" s="252"/>
      <c r="H536" s="252"/>
      <c r="I536" s="252"/>
      <c r="J536" s="252"/>
      <c r="K536" s="252"/>
      <c r="L536" s="252"/>
      <c r="M536" s="252"/>
      <c r="N536" s="252"/>
      <c r="O536" s="252"/>
      <c r="P536" s="252"/>
      <c r="Q536" s="252"/>
      <c r="R536" s="252"/>
      <c r="S536" s="252"/>
    </row>
    <row r="537" spans="1:19" x14ac:dyDescent="0.25">
      <c r="A537" s="251"/>
      <c r="B537" s="251"/>
      <c r="C537" s="252"/>
      <c r="D537" s="252"/>
      <c r="E537" s="252"/>
      <c r="F537" s="252"/>
      <c r="G537" s="252"/>
      <c r="H537" s="252"/>
      <c r="I537" s="252"/>
      <c r="J537" s="252"/>
      <c r="K537" s="252"/>
      <c r="L537" s="252"/>
      <c r="M537" s="252"/>
      <c r="N537" s="252"/>
      <c r="O537" s="252"/>
      <c r="P537" s="252"/>
      <c r="Q537" s="252"/>
      <c r="R537" s="252"/>
      <c r="S537" s="252"/>
    </row>
    <row r="538" spans="1:19" x14ac:dyDescent="0.25">
      <c r="A538" s="251"/>
      <c r="B538" s="251"/>
      <c r="C538" s="252"/>
      <c r="D538" s="252"/>
      <c r="E538" s="252"/>
      <c r="F538" s="252"/>
      <c r="G538" s="252"/>
      <c r="H538" s="252"/>
      <c r="I538" s="252"/>
      <c r="J538" s="252"/>
      <c r="K538" s="252"/>
      <c r="L538" s="252"/>
      <c r="M538" s="252"/>
      <c r="N538" s="252"/>
      <c r="O538" s="252"/>
      <c r="P538" s="252"/>
      <c r="Q538" s="252"/>
      <c r="R538" s="252"/>
      <c r="S538" s="252"/>
    </row>
    <row r="539" spans="1:19" x14ac:dyDescent="0.25">
      <c r="A539" s="251"/>
      <c r="B539" s="251"/>
      <c r="C539" s="252"/>
      <c r="D539" s="252"/>
      <c r="E539" s="252"/>
      <c r="F539" s="252"/>
      <c r="G539" s="252"/>
      <c r="H539" s="252"/>
      <c r="I539" s="252"/>
      <c r="J539" s="252"/>
      <c r="K539" s="252"/>
      <c r="L539" s="252"/>
      <c r="M539" s="252"/>
      <c r="N539" s="252"/>
      <c r="O539" s="252"/>
      <c r="P539" s="252"/>
      <c r="Q539" s="252"/>
      <c r="R539" s="252"/>
      <c r="S539" s="252"/>
    </row>
    <row r="540" spans="1:19" x14ac:dyDescent="0.25">
      <c r="A540" s="251"/>
      <c r="B540" s="251"/>
      <c r="C540" s="252"/>
      <c r="D540" s="252"/>
      <c r="E540" s="252"/>
      <c r="F540" s="252"/>
      <c r="G540" s="252"/>
      <c r="H540" s="252"/>
      <c r="I540" s="252"/>
      <c r="J540" s="252"/>
      <c r="K540" s="252"/>
      <c r="L540" s="252"/>
      <c r="M540" s="252"/>
      <c r="N540" s="252"/>
      <c r="O540" s="252"/>
      <c r="P540" s="252"/>
      <c r="Q540" s="252"/>
      <c r="R540" s="252"/>
      <c r="S540" s="252"/>
    </row>
    <row r="541" spans="1:19" x14ac:dyDescent="0.25">
      <c r="A541" s="251"/>
      <c r="B541" s="251"/>
      <c r="C541" s="252"/>
      <c r="D541" s="252"/>
      <c r="E541" s="252"/>
      <c r="F541" s="252"/>
      <c r="G541" s="252"/>
      <c r="H541" s="252"/>
      <c r="I541" s="252"/>
      <c r="J541" s="252"/>
      <c r="K541" s="252"/>
      <c r="L541" s="252"/>
      <c r="M541" s="252"/>
      <c r="N541" s="252"/>
      <c r="O541" s="252"/>
      <c r="P541" s="252"/>
      <c r="Q541" s="252"/>
      <c r="R541" s="252"/>
      <c r="S541" s="252"/>
    </row>
    <row r="542" spans="1:19" x14ac:dyDescent="0.25">
      <c r="A542" s="251"/>
      <c r="B542" s="251"/>
      <c r="C542" s="252"/>
      <c r="D542" s="252"/>
      <c r="E542" s="252"/>
      <c r="F542" s="252"/>
      <c r="G542" s="252"/>
      <c r="H542" s="252"/>
      <c r="I542" s="252"/>
      <c r="J542" s="252"/>
      <c r="K542" s="252"/>
      <c r="L542" s="252"/>
      <c r="M542" s="252"/>
      <c r="N542" s="252"/>
      <c r="O542" s="252"/>
      <c r="P542" s="252"/>
      <c r="Q542" s="252"/>
      <c r="R542" s="252"/>
      <c r="S542" s="252"/>
    </row>
    <row r="543" spans="1:19" x14ac:dyDescent="0.25">
      <c r="A543" s="251"/>
      <c r="B543" s="251"/>
      <c r="C543" s="252"/>
      <c r="D543" s="252"/>
      <c r="E543" s="252"/>
      <c r="F543" s="252"/>
      <c r="G543" s="252"/>
      <c r="H543" s="252"/>
      <c r="I543" s="252"/>
      <c r="J543" s="252"/>
      <c r="K543" s="252"/>
      <c r="L543" s="252"/>
      <c r="M543" s="252"/>
      <c r="N543" s="252"/>
      <c r="O543" s="252"/>
      <c r="P543" s="252"/>
      <c r="Q543" s="252"/>
      <c r="R543" s="252"/>
      <c r="S543" s="252"/>
    </row>
    <row r="544" spans="1:19" x14ac:dyDescent="0.25">
      <c r="A544" s="251"/>
      <c r="B544" s="251"/>
      <c r="C544" s="252"/>
      <c r="D544" s="252"/>
      <c r="E544" s="252"/>
      <c r="F544" s="252"/>
      <c r="G544" s="252"/>
      <c r="H544" s="252"/>
      <c r="I544" s="252"/>
      <c r="J544" s="252"/>
      <c r="K544" s="252"/>
      <c r="L544" s="252"/>
      <c r="M544" s="252"/>
      <c r="N544" s="252"/>
      <c r="O544" s="252"/>
      <c r="P544" s="252"/>
      <c r="Q544" s="252"/>
      <c r="R544" s="252"/>
      <c r="S544" s="252"/>
    </row>
    <row r="545" spans="1:19" x14ac:dyDescent="0.25">
      <c r="A545" s="252"/>
      <c r="B545" s="252"/>
      <c r="C545" s="252"/>
      <c r="D545" s="252"/>
      <c r="E545" s="252"/>
      <c r="F545" s="252"/>
      <c r="G545" s="252"/>
      <c r="H545" s="252"/>
      <c r="I545" s="252"/>
      <c r="J545" s="252"/>
      <c r="K545" s="252"/>
      <c r="L545" s="252"/>
      <c r="M545" s="252"/>
      <c r="N545" s="252"/>
      <c r="O545" s="252"/>
      <c r="P545" s="252"/>
      <c r="Q545" s="252"/>
      <c r="R545" s="252"/>
      <c r="S545" s="252"/>
    </row>
    <row r="546" spans="1:19" x14ac:dyDescent="0.25">
      <c r="A546" s="252"/>
      <c r="B546" s="252"/>
      <c r="C546" s="252"/>
      <c r="D546" s="252"/>
      <c r="E546" s="252"/>
      <c r="F546" s="252"/>
      <c r="G546" s="252"/>
      <c r="H546" s="252"/>
      <c r="I546" s="252"/>
      <c r="J546" s="252"/>
      <c r="K546" s="252"/>
      <c r="L546" s="252"/>
      <c r="M546" s="252"/>
      <c r="N546" s="252"/>
      <c r="O546" s="252"/>
      <c r="P546" s="252"/>
      <c r="Q546" s="252"/>
      <c r="R546" s="252"/>
      <c r="S546" s="252"/>
    </row>
    <row r="547" spans="1:19" x14ac:dyDescent="0.25">
      <c r="A547" s="252"/>
      <c r="B547" s="252"/>
      <c r="C547" s="252"/>
      <c r="D547" s="252"/>
      <c r="E547" s="252"/>
      <c r="F547" s="252"/>
      <c r="G547" s="252"/>
      <c r="H547" s="252"/>
      <c r="I547" s="252"/>
      <c r="J547" s="252"/>
      <c r="K547" s="252"/>
      <c r="L547" s="252"/>
      <c r="M547" s="252"/>
      <c r="N547" s="252"/>
      <c r="O547" s="252"/>
      <c r="P547" s="252"/>
      <c r="Q547" s="252"/>
      <c r="R547" s="252"/>
      <c r="S547" s="252"/>
    </row>
    <row r="548" spans="1:19" x14ac:dyDescent="0.25">
      <c r="A548" s="252"/>
      <c r="B548" s="252"/>
      <c r="C548" s="252"/>
      <c r="D548" s="252"/>
      <c r="E548" s="252"/>
      <c r="F548" s="252"/>
      <c r="G548" s="252"/>
      <c r="H548" s="252"/>
      <c r="I548" s="252"/>
      <c r="J548" s="252"/>
      <c r="K548" s="252"/>
      <c r="L548" s="252"/>
      <c r="M548" s="252"/>
      <c r="N548" s="252"/>
      <c r="O548" s="252"/>
      <c r="P548" s="252"/>
      <c r="Q548" s="252"/>
      <c r="R548" s="252"/>
      <c r="S548" s="252"/>
    </row>
    <row r="549" spans="1:19" x14ac:dyDescent="0.25">
      <c r="A549" s="252"/>
      <c r="B549" s="252"/>
      <c r="C549" s="252"/>
      <c r="D549" s="252"/>
      <c r="E549" s="252"/>
      <c r="F549" s="252"/>
      <c r="G549" s="252"/>
      <c r="H549" s="252"/>
      <c r="I549" s="252"/>
      <c r="J549" s="252"/>
      <c r="K549" s="252"/>
      <c r="L549" s="252"/>
      <c r="M549" s="252"/>
      <c r="N549" s="252"/>
      <c r="O549" s="252"/>
      <c r="P549" s="252"/>
      <c r="Q549" s="252"/>
      <c r="R549" s="252"/>
      <c r="S549" s="252"/>
    </row>
    <row r="550" spans="1:19" x14ac:dyDescent="0.25">
      <c r="A550" s="252"/>
      <c r="B550" s="252"/>
      <c r="C550" s="252"/>
      <c r="D550" s="252"/>
      <c r="E550" s="252"/>
      <c r="F550" s="252"/>
      <c r="G550" s="252"/>
      <c r="H550" s="252"/>
      <c r="I550" s="252"/>
      <c r="J550" s="252"/>
      <c r="K550" s="252"/>
      <c r="L550" s="252"/>
      <c r="M550" s="252"/>
      <c r="N550" s="252"/>
      <c r="O550" s="252"/>
      <c r="P550" s="252"/>
      <c r="Q550" s="252"/>
      <c r="R550" s="252"/>
      <c r="S550" s="252"/>
    </row>
    <row r="551" spans="1:19" x14ac:dyDescent="0.25">
      <c r="A551" s="252"/>
      <c r="B551" s="252"/>
      <c r="C551" s="252"/>
      <c r="D551" s="252"/>
      <c r="E551" s="252"/>
      <c r="F551" s="252"/>
      <c r="G551" s="252"/>
      <c r="H551" s="252"/>
      <c r="I551" s="252"/>
      <c r="J551" s="252"/>
      <c r="K551" s="252"/>
      <c r="L551" s="252"/>
      <c r="M551" s="252"/>
      <c r="N551" s="252"/>
      <c r="O551" s="252"/>
      <c r="P551" s="252"/>
      <c r="Q551" s="252"/>
      <c r="R551" s="252"/>
      <c r="S551" s="252"/>
    </row>
    <row r="552" spans="1:19" x14ac:dyDescent="0.25">
      <c r="A552" s="252"/>
      <c r="B552" s="252"/>
      <c r="C552" s="252"/>
      <c r="D552" s="252"/>
      <c r="E552" s="252"/>
      <c r="F552" s="252"/>
      <c r="G552" s="252"/>
      <c r="H552" s="252"/>
      <c r="I552" s="252"/>
      <c r="J552" s="252"/>
      <c r="K552" s="252"/>
      <c r="L552" s="252"/>
      <c r="M552" s="252"/>
      <c r="N552" s="252"/>
      <c r="O552" s="252"/>
      <c r="P552" s="252"/>
      <c r="Q552" s="252"/>
      <c r="R552" s="252"/>
      <c r="S552" s="252"/>
    </row>
    <row r="553" spans="1:19" x14ac:dyDescent="0.25">
      <c r="A553" s="252"/>
      <c r="B553" s="252"/>
      <c r="C553" s="252"/>
      <c r="D553" s="252"/>
      <c r="E553" s="252"/>
      <c r="F553" s="252"/>
      <c r="G553" s="252"/>
      <c r="H553" s="252"/>
      <c r="I553" s="252"/>
      <c r="J553" s="252"/>
      <c r="K553" s="252"/>
      <c r="L553" s="252"/>
      <c r="M553" s="252"/>
      <c r="N553" s="252"/>
      <c r="O553" s="252"/>
      <c r="P553" s="252"/>
      <c r="Q553" s="252"/>
      <c r="R553" s="252"/>
      <c r="S553" s="252"/>
    </row>
    <row r="554" spans="1:19" x14ac:dyDescent="0.25">
      <c r="A554" s="252"/>
      <c r="B554" s="252"/>
      <c r="C554" s="252"/>
      <c r="D554" s="252"/>
      <c r="E554" s="252"/>
      <c r="F554" s="252"/>
      <c r="G554" s="252"/>
      <c r="H554" s="252"/>
      <c r="I554" s="252"/>
      <c r="J554" s="252"/>
      <c r="K554" s="252"/>
      <c r="L554" s="252"/>
      <c r="M554" s="252"/>
      <c r="N554" s="252"/>
      <c r="O554" s="252"/>
      <c r="P554" s="252"/>
      <c r="Q554" s="252"/>
      <c r="R554" s="252"/>
      <c r="S554" s="252"/>
    </row>
    <row r="555" spans="1:19" x14ac:dyDescent="0.25">
      <c r="A555" s="252"/>
      <c r="B555" s="252"/>
      <c r="C555" s="252"/>
      <c r="D555" s="252"/>
      <c r="E555" s="252"/>
      <c r="F555" s="252"/>
      <c r="G555" s="252"/>
      <c r="H555" s="252"/>
      <c r="I555" s="252"/>
      <c r="J555" s="252"/>
      <c r="K555" s="252"/>
      <c r="L555" s="252"/>
      <c r="M555" s="252"/>
      <c r="N555" s="252"/>
      <c r="O555" s="252"/>
      <c r="P555" s="252"/>
      <c r="Q555" s="252"/>
      <c r="R555" s="252"/>
      <c r="S555" s="252"/>
    </row>
    <row r="556" spans="1:19" x14ac:dyDescent="0.25">
      <c r="A556" s="252"/>
      <c r="B556" s="252"/>
      <c r="C556" s="252"/>
      <c r="D556" s="252"/>
      <c r="E556" s="252"/>
      <c r="F556" s="252"/>
      <c r="G556" s="252"/>
      <c r="H556" s="252"/>
      <c r="I556" s="252"/>
      <c r="J556" s="252"/>
      <c r="K556" s="252"/>
      <c r="L556" s="252"/>
      <c r="M556" s="252"/>
      <c r="N556" s="252"/>
      <c r="O556" s="252"/>
      <c r="P556" s="252"/>
      <c r="Q556" s="252"/>
      <c r="R556" s="252"/>
      <c r="S556" s="252"/>
    </row>
    <row r="557" spans="1:19" x14ac:dyDescent="0.25">
      <c r="A557" s="252"/>
      <c r="B557" s="252"/>
      <c r="C557" s="252"/>
      <c r="D557" s="252"/>
      <c r="E557" s="252"/>
      <c r="F557" s="252"/>
      <c r="G557" s="252"/>
      <c r="H557" s="252"/>
      <c r="I557" s="252"/>
      <c r="J557" s="252"/>
      <c r="K557" s="252"/>
      <c r="L557" s="252"/>
      <c r="M557" s="252"/>
      <c r="N557" s="252"/>
      <c r="O557" s="252"/>
      <c r="P557" s="252"/>
      <c r="Q557" s="252"/>
      <c r="R557" s="252"/>
      <c r="S557" s="252"/>
    </row>
    <row r="558" spans="1:19" x14ac:dyDescent="0.25">
      <c r="A558" s="252"/>
      <c r="B558" s="252"/>
      <c r="C558" s="252"/>
      <c r="D558" s="252"/>
      <c r="E558" s="252"/>
      <c r="F558" s="252"/>
      <c r="G558" s="252"/>
      <c r="H558" s="252"/>
      <c r="I558" s="252"/>
      <c r="J558" s="252"/>
      <c r="K558" s="252"/>
      <c r="L558" s="252"/>
      <c r="M558" s="252"/>
      <c r="N558" s="252"/>
      <c r="O558" s="252"/>
      <c r="P558" s="252"/>
      <c r="Q558" s="252"/>
      <c r="R558" s="252"/>
      <c r="S558" s="252"/>
    </row>
    <row r="559" spans="1:19" x14ac:dyDescent="0.25">
      <c r="A559" s="252"/>
      <c r="B559" s="252"/>
      <c r="C559" s="252"/>
      <c r="D559" s="252"/>
      <c r="E559" s="252"/>
      <c r="F559" s="252"/>
      <c r="G559" s="252"/>
      <c r="H559" s="252"/>
      <c r="I559" s="252"/>
      <c r="J559" s="252"/>
      <c r="K559" s="252"/>
      <c r="L559" s="252"/>
      <c r="M559" s="252"/>
      <c r="N559" s="252"/>
      <c r="O559" s="252"/>
      <c r="P559" s="252"/>
      <c r="Q559" s="252"/>
      <c r="R559" s="252"/>
      <c r="S559" s="252"/>
    </row>
    <row r="560" spans="1:19" x14ac:dyDescent="0.25">
      <c r="A560" s="252"/>
      <c r="B560" s="252"/>
      <c r="C560" s="252"/>
      <c r="D560" s="252"/>
      <c r="E560" s="252"/>
      <c r="F560" s="252"/>
      <c r="G560" s="252"/>
      <c r="H560" s="252"/>
      <c r="I560" s="252"/>
      <c r="J560" s="252"/>
      <c r="K560" s="252"/>
      <c r="L560" s="252"/>
      <c r="M560" s="252"/>
      <c r="N560" s="252"/>
      <c r="O560" s="252"/>
      <c r="P560" s="252"/>
      <c r="Q560" s="252"/>
      <c r="R560" s="252"/>
      <c r="S560" s="252"/>
    </row>
    <row r="561" spans="1:19" x14ac:dyDescent="0.25">
      <c r="A561" s="252"/>
      <c r="B561" s="252"/>
      <c r="C561" s="252"/>
      <c r="D561" s="252"/>
      <c r="E561" s="252"/>
      <c r="F561" s="252"/>
      <c r="G561" s="252"/>
      <c r="H561" s="252"/>
      <c r="I561" s="252"/>
      <c r="J561" s="252"/>
      <c r="K561" s="252"/>
      <c r="L561" s="252"/>
      <c r="M561" s="252"/>
      <c r="N561" s="252"/>
      <c r="O561" s="252"/>
      <c r="P561" s="252"/>
      <c r="Q561" s="252"/>
      <c r="R561" s="252"/>
      <c r="S561" s="252"/>
    </row>
    <row r="562" spans="1:19" x14ac:dyDescent="0.25">
      <c r="A562" s="252"/>
      <c r="B562" s="252"/>
      <c r="C562" s="252"/>
      <c r="D562" s="252"/>
      <c r="E562" s="252"/>
      <c r="F562" s="252"/>
      <c r="G562" s="252"/>
      <c r="H562" s="252"/>
      <c r="I562" s="252"/>
      <c r="J562" s="252"/>
      <c r="K562" s="252"/>
      <c r="L562" s="252"/>
      <c r="M562" s="252"/>
      <c r="N562" s="252"/>
      <c r="O562" s="252"/>
      <c r="P562" s="252"/>
      <c r="Q562" s="252"/>
      <c r="R562" s="252"/>
      <c r="S562" s="252"/>
    </row>
    <row r="563" spans="1:19" x14ac:dyDescent="0.25">
      <c r="A563" s="252"/>
      <c r="B563" s="252"/>
      <c r="C563" s="252"/>
      <c r="D563" s="252"/>
      <c r="E563" s="252"/>
      <c r="F563" s="252"/>
      <c r="G563" s="252"/>
      <c r="H563" s="252"/>
      <c r="I563" s="252"/>
      <c r="J563" s="252"/>
      <c r="K563" s="252"/>
      <c r="L563" s="252"/>
      <c r="M563" s="252"/>
      <c r="N563" s="252"/>
      <c r="O563" s="252"/>
      <c r="P563" s="252"/>
      <c r="Q563" s="252"/>
      <c r="R563" s="252"/>
      <c r="S563" s="252"/>
    </row>
    <row r="564" spans="1:19" x14ac:dyDescent="0.25">
      <c r="A564" s="252"/>
      <c r="B564" s="252"/>
      <c r="C564" s="252"/>
      <c r="D564" s="252"/>
      <c r="E564" s="252"/>
      <c r="F564" s="252"/>
      <c r="G564" s="252"/>
      <c r="H564" s="252"/>
      <c r="I564" s="252"/>
      <c r="J564" s="252"/>
      <c r="K564" s="252"/>
      <c r="L564" s="252"/>
      <c r="M564" s="252"/>
      <c r="N564" s="252"/>
      <c r="O564" s="252"/>
      <c r="P564" s="252"/>
      <c r="Q564" s="252"/>
      <c r="R564" s="252"/>
      <c r="S564" s="252"/>
    </row>
    <row r="565" spans="1:19" x14ac:dyDescent="0.25">
      <c r="A565" s="252"/>
      <c r="B565" s="252"/>
      <c r="C565" s="252"/>
      <c r="D565" s="252"/>
      <c r="E565" s="252"/>
      <c r="F565" s="252"/>
      <c r="G565" s="252"/>
      <c r="H565" s="252"/>
      <c r="I565" s="252"/>
      <c r="J565" s="252"/>
      <c r="K565" s="252"/>
      <c r="L565" s="252"/>
      <c r="M565" s="252"/>
      <c r="N565" s="252"/>
      <c r="O565" s="252"/>
      <c r="P565" s="252"/>
      <c r="Q565" s="252"/>
      <c r="R565" s="252"/>
      <c r="S565" s="252"/>
    </row>
    <row r="566" spans="1:19" x14ac:dyDescent="0.25">
      <c r="A566" s="252"/>
      <c r="B566" s="252"/>
      <c r="C566" s="252"/>
      <c r="D566" s="252"/>
      <c r="E566" s="252"/>
      <c r="F566" s="252"/>
      <c r="G566" s="252"/>
      <c r="H566" s="252"/>
      <c r="I566" s="252"/>
      <c r="J566" s="252"/>
      <c r="K566" s="252"/>
      <c r="L566" s="252"/>
      <c r="M566" s="252"/>
      <c r="N566" s="252"/>
      <c r="O566" s="252"/>
      <c r="P566" s="252"/>
      <c r="Q566" s="252"/>
      <c r="R566" s="252"/>
      <c r="S566" s="252"/>
    </row>
    <row r="567" spans="1:19" x14ac:dyDescent="0.25">
      <c r="A567" s="252"/>
      <c r="B567" s="252"/>
      <c r="C567" s="252"/>
      <c r="D567" s="252"/>
      <c r="E567" s="252"/>
      <c r="F567" s="252"/>
      <c r="G567" s="252"/>
      <c r="H567" s="252"/>
      <c r="I567" s="252"/>
      <c r="J567" s="252"/>
      <c r="K567" s="252"/>
      <c r="L567" s="252"/>
      <c r="M567" s="252"/>
      <c r="N567" s="252"/>
      <c r="O567" s="252"/>
      <c r="P567" s="252"/>
      <c r="Q567" s="252"/>
      <c r="R567" s="252"/>
      <c r="S567" s="252"/>
    </row>
    <row r="568" spans="1:19" x14ac:dyDescent="0.25">
      <c r="A568" s="252"/>
      <c r="B568" s="252"/>
      <c r="C568" s="252"/>
      <c r="D568" s="252"/>
      <c r="E568" s="252"/>
      <c r="F568" s="252"/>
      <c r="G568" s="252"/>
      <c r="H568" s="252"/>
      <c r="I568" s="252"/>
      <c r="J568" s="252"/>
      <c r="K568" s="252"/>
      <c r="L568" s="252"/>
      <c r="M568" s="252"/>
      <c r="N568" s="252"/>
      <c r="O568" s="252"/>
      <c r="P568" s="252"/>
      <c r="Q568" s="252"/>
      <c r="R568" s="252"/>
      <c r="S568" s="252"/>
    </row>
    <row r="569" spans="1:19" x14ac:dyDescent="0.25">
      <c r="A569" s="252"/>
      <c r="B569" s="252"/>
      <c r="C569" s="252"/>
      <c r="D569" s="252"/>
      <c r="E569" s="252"/>
      <c r="F569" s="252"/>
      <c r="G569" s="252"/>
      <c r="H569" s="252"/>
      <c r="I569" s="252"/>
      <c r="J569" s="252"/>
      <c r="K569" s="252"/>
      <c r="L569" s="252"/>
      <c r="M569" s="252"/>
      <c r="N569" s="252"/>
      <c r="O569" s="252"/>
      <c r="P569" s="252"/>
      <c r="Q569" s="252"/>
      <c r="R569" s="252"/>
      <c r="S569" s="252"/>
    </row>
    <row r="570" spans="1:19" x14ac:dyDescent="0.25">
      <c r="A570" s="252"/>
      <c r="B570" s="252"/>
      <c r="C570" s="252"/>
      <c r="D570" s="252"/>
      <c r="E570" s="252"/>
      <c r="F570" s="252"/>
      <c r="G570" s="252"/>
      <c r="H570" s="252"/>
      <c r="I570" s="252"/>
      <c r="J570" s="252"/>
      <c r="K570" s="252"/>
      <c r="L570" s="252"/>
      <c r="M570" s="252"/>
      <c r="N570" s="252"/>
      <c r="O570" s="252"/>
      <c r="P570" s="252"/>
      <c r="Q570" s="252"/>
      <c r="R570" s="252"/>
      <c r="S570" s="252"/>
    </row>
    <row r="571" spans="1:19" x14ac:dyDescent="0.25">
      <c r="A571" s="252"/>
      <c r="B571" s="252"/>
      <c r="C571" s="252"/>
      <c r="D571" s="252"/>
      <c r="E571" s="252"/>
      <c r="F571" s="252"/>
      <c r="G571" s="252"/>
      <c r="H571" s="252"/>
      <c r="I571" s="252"/>
      <c r="J571" s="252"/>
      <c r="K571" s="252"/>
      <c r="L571" s="252"/>
      <c r="M571" s="252"/>
      <c r="N571" s="252"/>
      <c r="O571" s="252"/>
      <c r="P571" s="252"/>
      <c r="Q571" s="252"/>
      <c r="R571" s="252"/>
      <c r="S571" s="252"/>
    </row>
    <row r="572" spans="1:19" x14ac:dyDescent="0.25">
      <c r="A572" s="252"/>
      <c r="B572" s="252"/>
      <c r="C572" s="252"/>
      <c r="D572" s="252"/>
      <c r="E572" s="252"/>
      <c r="F572" s="252"/>
      <c r="G572" s="252"/>
      <c r="H572" s="252"/>
      <c r="I572" s="252"/>
      <c r="J572" s="252"/>
      <c r="K572" s="252"/>
      <c r="L572" s="252"/>
      <c r="M572" s="252"/>
      <c r="N572" s="252"/>
      <c r="O572" s="252"/>
      <c r="P572" s="252"/>
      <c r="Q572" s="252"/>
      <c r="R572" s="252"/>
      <c r="S572" s="252"/>
    </row>
    <row r="573" spans="1:19" x14ac:dyDescent="0.25">
      <c r="A573" s="252"/>
      <c r="B573" s="252"/>
      <c r="C573" s="252"/>
      <c r="D573" s="252"/>
      <c r="E573" s="252"/>
      <c r="F573" s="252"/>
      <c r="G573" s="252"/>
      <c r="H573" s="252"/>
      <c r="I573" s="252"/>
      <c r="J573" s="252"/>
      <c r="K573" s="252"/>
      <c r="L573" s="252"/>
      <c r="M573" s="252"/>
      <c r="N573" s="252"/>
      <c r="O573" s="252"/>
      <c r="P573" s="252"/>
      <c r="Q573" s="252"/>
      <c r="R573" s="252"/>
      <c r="S573" s="252"/>
    </row>
    <row r="574" spans="1:19" x14ac:dyDescent="0.25">
      <c r="A574" s="252"/>
      <c r="B574" s="252"/>
      <c r="C574" s="252"/>
      <c r="D574" s="252"/>
      <c r="E574" s="252"/>
      <c r="F574" s="252"/>
      <c r="G574" s="252"/>
      <c r="H574" s="252"/>
      <c r="I574" s="252"/>
      <c r="J574" s="252"/>
      <c r="K574" s="252"/>
      <c r="L574" s="252"/>
      <c r="M574" s="252"/>
      <c r="N574" s="252"/>
      <c r="O574" s="252"/>
      <c r="P574" s="252"/>
      <c r="Q574" s="252"/>
      <c r="R574" s="252"/>
      <c r="S574" s="252"/>
    </row>
    <row r="575" spans="1:19" x14ac:dyDescent="0.25">
      <c r="A575" s="252"/>
      <c r="B575" s="252"/>
      <c r="C575" s="252"/>
      <c r="D575" s="252"/>
      <c r="E575" s="252"/>
      <c r="F575" s="252"/>
      <c r="G575" s="252"/>
      <c r="H575" s="252"/>
      <c r="I575" s="252"/>
      <c r="J575" s="252"/>
      <c r="K575" s="252"/>
      <c r="L575" s="252"/>
      <c r="M575" s="252"/>
      <c r="N575" s="252"/>
      <c r="O575" s="252"/>
      <c r="P575" s="252"/>
      <c r="Q575" s="252"/>
      <c r="R575" s="252"/>
      <c r="S575" s="252"/>
    </row>
    <row r="576" spans="1:19" x14ac:dyDescent="0.25">
      <c r="A576" s="252"/>
      <c r="B576" s="252"/>
      <c r="C576" s="252"/>
      <c r="D576" s="252"/>
      <c r="E576" s="252"/>
      <c r="F576" s="252"/>
      <c r="G576" s="252"/>
      <c r="H576" s="252"/>
      <c r="I576" s="252"/>
      <c r="J576" s="252"/>
      <c r="K576" s="252"/>
      <c r="L576" s="252"/>
      <c r="M576" s="252"/>
      <c r="N576" s="252"/>
      <c r="O576" s="252"/>
      <c r="P576" s="252"/>
      <c r="Q576" s="252"/>
      <c r="R576" s="252"/>
      <c r="S576" s="252"/>
    </row>
    <row r="577" spans="1:19" x14ac:dyDescent="0.25">
      <c r="A577" s="252"/>
      <c r="B577" s="252"/>
      <c r="C577" s="252"/>
      <c r="D577" s="252"/>
      <c r="E577" s="252"/>
      <c r="F577" s="252"/>
      <c r="G577" s="252"/>
      <c r="H577" s="252"/>
      <c r="I577" s="252"/>
      <c r="J577" s="252"/>
      <c r="K577" s="252"/>
      <c r="L577" s="252"/>
      <c r="M577" s="252"/>
      <c r="N577" s="252"/>
      <c r="O577" s="252"/>
      <c r="P577" s="252"/>
      <c r="Q577" s="252"/>
      <c r="R577" s="252"/>
      <c r="S577" s="252"/>
    </row>
    <row r="578" spans="1:19" x14ac:dyDescent="0.25">
      <c r="A578" s="252"/>
      <c r="B578" s="252"/>
      <c r="C578" s="252"/>
      <c r="D578" s="252"/>
      <c r="E578" s="252"/>
      <c r="F578" s="252"/>
      <c r="G578" s="252"/>
      <c r="H578" s="252"/>
      <c r="I578" s="252"/>
      <c r="J578" s="252"/>
      <c r="K578" s="252"/>
      <c r="L578" s="252"/>
      <c r="M578" s="252"/>
      <c r="N578" s="252"/>
      <c r="O578" s="252"/>
      <c r="P578" s="252"/>
      <c r="Q578" s="252"/>
      <c r="R578" s="252"/>
      <c r="S578" s="252"/>
    </row>
    <row r="579" spans="1:19" x14ac:dyDescent="0.25">
      <c r="A579" s="252"/>
      <c r="B579" s="252"/>
      <c r="C579" s="252"/>
      <c r="D579" s="252"/>
      <c r="E579" s="252"/>
      <c r="F579" s="252"/>
      <c r="G579" s="252"/>
      <c r="H579" s="252"/>
      <c r="I579" s="252"/>
      <c r="J579" s="252"/>
      <c r="K579" s="252"/>
      <c r="L579" s="252"/>
      <c r="M579" s="252"/>
      <c r="N579" s="252"/>
      <c r="O579" s="252"/>
      <c r="P579" s="252"/>
      <c r="Q579" s="252"/>
      <c r="R579" s="252"/>
      <c r="S579" s="252"/>
    </row>
    <row r="580" spans="1:19" x14ac:dyDescent="0.25">
      <c r="A580" s="252"/>
      <c r="B580" s="252"/>
      <c r="C580" s="252"/>
      <c r="D580" s="252"/>
      <c r="E580" s="252"/>
      <c r="F580" s="252"/>
      <c r="G580" s="252"/>
      <c r="H580" s="252"/>
      <c r="I580" s="252"/>
      <c r="J580" s="252"/>
      <c r="K580" s="252"/>
      <c r="L580" s="252"/>
      <c r="M580" s="252"/>
      <c r="N580" s="252"/>
      <c r="O580" s="252"/>
      <c r="P580" s="252"/>
      <c r="Q580" s="252"/>
      <c r="R580" s="252"/>
      <c r="S580" s="252"/>
    </row>
    <row r="581" spans="1:19" x14ac:dyDescent="0.25">
      <c r="A581" s="252"/>
      <c r="B581" s="252"/>
      <c r="C581" s="252"/>
      <c r="D581" s="252"/>
      <c r="E581" s="252"/>
      <c r="F581" s="252"/>
      <c r="G581" s="252"/>
      <c r="H581" s="252"/>
      <c r="I581" s="252"/>
      <c r="J581" s="252"/>
      <c r="K581" s="252"/>
      <c r="L581" s="252"/>
      <c r="M581" s="252"/>
      <c r="N581" s="252"/>
      <c r="O581" s="252"/>
      <c r="P581" s="252"/>
      <c r="Q581" s="252"/>
      <c r="R581" s="252"/>
      <c r="S581" s="252"/>
    </row>
    <row r="582" spans="1:19" x14ac:dyDescent="0.25">
      <c r="A582" s="252"/>
      <c r="B582" s="252"/>
      <c r="C582" s="252"/>
      <c r="D582" s="252"/>
      <c r="E582" s="252"/>
      <c r="F582" s="252"/>
      <c r="G582" s="252"/>
      <c r="H582" s="252"/>
      <c r="I582" s="252"/>
      <c r="J582" s="252"/>
      <c r="K582" s="252"/>
      <c r="L582" s="252"/>
      <c r="M582" s="252"/>
      <c r="N582" s="252"/>
      <c r="O582" s="252"/>
      <c r="P582" s="252"/>
      <c r="Q582" s="252"/>
      <c r="R582" s="252"/>
      <c r="S582" s="252"/>
    </row>
    <row r="583" spans="1:19" x14ac:dyDescent="0.25">
      <c r="A583" s="252"/>
      <c r="B583" s="252"/>
      <c r="C583" s="252"/>
      <c r="D583" s="252"/>
      <c r="E583" s="252"/>
      <c r="F583" s="252"/>
      <c r="G583" s="252"/>
      <c r="H583" s="252"/>
      <c r="I583" s="252"/>
      <c r="J583" s="252"/>
      <c r="K583" s="252"/>
      <c r="L583" s="252"/>
      <c r="M583" s="252"/>
      <c r="N583" s="252"/>
      <c r="O583" s="252"/>
      <c r="P583" s="252"/>
      <c r="Q583" s="252"/>
      <c r="R583" s="252"/>
      <c r="S583" s="252"/>
    </row>
    <row r="584" spans="1:19" x14ac:dyDescent="0.25">
      <c r="A584" s="252"/>
      <c r="B584" s="252"/>
      <c r="C584" s="252"/>
      <c r="D584" s="252"/>
      <c r="E584" s="252"/>
      <c r="F584" s="252"/>
      <c r="G584" s="252"/>
      <c r="H584" s="252"/>
      <c r="I584" s="252"/>
      <c r="J584" s="252"/>
      <c r="K584" s="252"/>
      <c r="L584" s="252"/>
      <c r="M584" s="252"/>
      <c r="N584" s="252"/>
      <c r="O584" s="252"/>
      <c r="P584" s="252"/>
      <c r="Q584" s="252"/>
      <c r="R584" s="252"/>
      <c r="S584" s="252"/>
    </row>
    <row r="585" spans="1:19" x14ac:dyDescent="0.25">
      <c r="A585" s="252"/>
      <c r="B585" s="252"/>
      <c r="C585" s="252"/>
      <c r="D585" s="252"/>
      <c r="E585" s="252"/>
      <c r="F585" s="252"/>
      <c r="G585" s="252"/>
      <c r="H585" s="252"/>
      <c r="I585" s="252"/>
      <c r="J585" s="252"/>
      <c r="K585" s="252"/>
      <c r="L585" s="252"/>
      <c r="M585" s="252"/>
      <c r="N585" s="252"/>
      <c r="O585" s="252"/>
      <c r="P585" s="252"/>
      <c r="Q585" s="252"/>
      <c r="R585" s="252"/>
      <c r="S585" s="252"/>
    </row>
    <row r="586" spans="1:19" x14ac:dyDescent="0.25">
      <c r="A586" s="252"/>
      <c r="B586" s="252"/>
      <c r="C586" s="252"/>
      <c r="D586" s="252"/>
      <c r="E586" s="252"/>
      <c r="F586" s="252"/>
      <c r="G586" s="252"/>
      <c r="H586" s="252"/>
      <c r="I586" s="252"/>
      <c r="J586" s="252"/>
      <c r="K586" s="252"/>
      <c r="L586" s="252"/>
      <c r="M586" s="252"/>
      <c r="N586" s="252"/>
      <c r="O586" s="252"/>
      <c r="P586" s="252"/>
      <c r="Q586" s="252"/>
      <c r="R586" s="252"/>
      <c r="S586" s="252"/>
    </row>
    <row r="587" spans="1:19" x14ac:dyDescent="0.25">
      <c r="A587" s="252"/>
      <c r="B587" s="252"/>
      <c r="C587" s="252"/>
      <c r="D587" s="252"/>
      <c r="E587" s="252"/>
      <c r="F587" s="252"/>
      <c r="G587" s="252"/>
      <c r="H587" s="252"/>
      <c r="I587" s="252"/>
      <c r="J587" s="252"/>
      <c r="K587" s="252"/>
      <c r="L587" s="252"/>
      <c r="M587" s="252"/>
      <c r="N587" s="252"/>
      <c r="O587" s="252"/>
      <c r="P587" s="252"/>
      <c r="Q587" s="252"/>
      <c r="R587" s="252"/>
      <c r="S587" s="252"/>
    </row>
    <row r="588" spans="1:19" x14ac:dyDescent="0.25">
      <c r="A588" s="252"/>
      <c r="B588" s="252"/>
      <c r="C588" s="252"/>
      <c r="D588" s="252"/>
      <c r="E588" s="252"/>
      <c r="F588" s="252"/>
      <c r="G588" s="252"/>
      <c r="H588" s="252"/>
      <c r="I588" s="252"/>
      <c r="J588" s="252"/>
      <c r="K588" s="252"/>
      <c r="L588" s="252"/>
      <c r="M588" s="252"/>
      <c r="N588" s="252"/>
      <c r="O588" s="252"/>
      <c r="P588" s="252"/>
      <c r="Q588" s="252"/>
      <c r="R588" s="252"/>
      <c r="S588" s="252"/>
    </row>
    <row r="589" spans="1:19" x14ac:dyDescent="0.25">
      <c r="A589" s="252"/>
      <c r="B589" s="252"/>
      <c r="C589" s="252"/>
      <c r="D589" s="252"/>
      <c r="E589" s="252"/>
      <c r="F589" s="252"/>
      <c r="G589" s="252"/>
      <c r="H589" s="252"/>
      <c r="I589" s="252"/>
      <c r="J589" s="252"/>
      <c r="K589" s="252"/>
      <c r="L589" s="252"/>
      <c r="M589" s="252"/>
      <c r="N589" s="252"/>
      <c r="O589" s="252"/>
      <c r="P589" s="252"/>
      <c r="Q589" s="252"/>
      <c r="R589" s="252"/>
      <c r="S589" s="252"/>
    </row>
    <row r="590" spans="1:19" x14ac:dyDescent="0.25">
      <c r="A590" s="252"/>
      <c r="B590" s="252"/>
      <c r="C590" s="252"/>
      <c r="D590" s="252"/>
      <c r="E590" s="252"/>
      <c r="F590" s="252"/>
      <c r="G590" s="252"/>
      <c r="H590" s="252"/>
      <c r="I590" s="252"/>
      <c r="J590" s="252"/>
      <c r="K590" s="252"/>
      <c r="L590" s="252"/>
      <c r="M590" s="252"/>
      <c r="N590" s="252"/>
      <c r="O590" s="252"/>
      <c r="P590" s="252"/>
      <c r="Q590" s="252"/>
      <c r="R590" s="252"/>
      <c r="S590" s="252"/>
    </row>
    <row r="591" spans="1:19" x14ac:dyDescent="0.25">
      <c r="A591" s="252"/>
      <c r="B591" s="252"/>
      <c r="C591" s="252"/>
      <c r="D591" s="252"/>
      <c r="E591" s="252"/>
      <c r="F591" s="252"/>
      <c r="G591" s="252"/>
      <c r="H591" s="252"/>
      <c r="I591" s="252"/>
      <c r="J591" s="252"/>
      <c r="K591" s="252"/>
      <c r="L591" s="252"/>
      <c r="M591" s="252"/>
      <c r="N591" s="252"/>
      <c r="O591" s="252"/>
      <c r="P591" s="252"/>
      <c r="Q591" s="252"/>
      <c r="R591" s="252"/>
      <c r="S591" s="252"/>
    </row>
    <row r="592" spans="1:19" x14ac:dyDescent="0.25">
      <c r="A592" s="252"/>
      <c r="B592" s="252"/>
      <c r="C592" s="252"/>
      <c r="D592" s="252"/>
      <c r="E592" s="252"/>
      <c r="F592" s="252"/>
      <c r="G592" s="252"/>
      <c r="H592" s="252"/>
      <c r="I592" s="252"/>
      <c r="J592" s="252"/>
      <c r="K592" s="252"/>
      <c r="L592" s="252"/>
      <c r="M592" s="252"/>
      <c r="N592" s="252"/>
      <c r="O592" s="252"/>
      <c r="P592" s="252"/>
      <c r="Q592" s="252"/>
      <c r="R592" s="252"/>
      <c r="S592" s="252"/>
    </row>
    <row r="593" spans="1:19" x14ac:dyDescent="0.25">
      <c r="A593" s="252"/>
      <c r="B593" s="252"/>
      <c r="C593" s="252"/>
      <c r="D593" s="252"/>
      <c r="E593" s="252"/>
      <c r="F593" s="252"/>
      <c r="G593" s="252"/>
      <c r="H593" s="252"/>
      <c r="I593" s="252"/>
      <c r="J593" s="252"/>
      <c r="K593" s="252"/>
      <c r="L593" s="252"/>
      <c r="M593" s="252"/>
      <c r="N593" s="252"/>
      <c r="O593" s="252"/>
      <c r="P593" s="252"/>
      <c r="Q593" s="252"/>
      <c r="R593" s="252"/>
      <c r="S593" s="252"/>
    </row>
    <row r="594" spans="1:19" x14ac:dyDescent="0.25">
      <c r="A594" s="252"/>
      <c r="B594" s="252"/>
      <c r="C594" s="252"/>
      <c r="D594" s="252"/>
      <c r="E594" s="252"/>
      <c r="F594" s="252"/>
      <c r="G594" s="252"/>
      <c r="H594" s="252"/>
      <c r="I594" s="252"/>
      <c r="J594" s="252"/>
      <c r="K594" s="252"/>
      <c r="L594" s="252"/>
      <c r="M594" s="252"/>
      <c r="N594" s="252"/>
      <c r="O594" s="252"/>
      <c r="P594" s="252"/>
      <c r="Q594" s="252"/>
      <c r="R594" s="252"/>
      <c r="S594" s="252"/>
    </row>
    <row r="595" spans="1:19" x14ac:dyDescent="0.25">
      <c r="A595" s="252"/>
      <c r="B595" s="252"/>
      <c r="C595" s="252"/>
      <c r="D595" s="252"/>
      <c r="E595" s="252"/>
      <c r="F595" s="252"/>
      <c r="G595" s="252"/>
      <c r="H595" s="252"/>
      <c r="I595" s="252"/>
      <c r="J595" s="252"/>
      <c r="K595" s="252"/>
      <c r="L595" s="252"/>
      <c r="M595" s="252"/>
      <c r="N595" s="252"/>
      <c r="O595" s="252"/>
      <c r="P595" s="252"/>
      <c r="Q595" s="252"/>
      <c r="R595" s="252"/>
      <c r="S595" s="252"/>
    </row>
    <row r="596" spans="1:19" x14ac:dyDescent="0.25">
      <c r="A596" s="252"/>
      <c r="B596" s="252"/>
      <c r="C596" s="252"/>
      <c r="D596" s="252"/>
      <c r="E596" s="252"/>
      <c r="F596" s="252"/>
      <c r="G596" s="252"/>
      <c r="H596" s="252"/>
      <c r="I596" s="252"/>
      <c r="J596" s="252"/>
      <c r="K596" s="252"/>
      <c r="L596" s="252"/>
      <c r="M596" s="252"/>
      <c r="N596" s="252"/>
      <c r="O596" s="252"/>
      <c r="P596" s="252"/>
      <c r="Q596" s="252"/>
      <c r="R596" s="252"/>
      <c r="S596" s="252"/>
    </row>
    <row r="597" spans="1:19" x14ac:dyDescent="0.25">
      <c r="A597" s="252"/>
      <c r="B597" s="252"/>
      <c r="C597" s="252"/>
      <c r="D597" s="252"/>
      <c r="E597" s="252"/>
      <c r="F597" s="252"/>
      <c r="G597" s="252"/>
      <c r="H597" s="252"/>
      <c r="I597" s="252"/>
      <c r="J597" s="252"/>
      <c r="K597" s="252"/>
      <c r="L597" s="252"/>
      <c r="M597" s="252"/>
      <c r="N597" s="252"/>
      <c r="O597" s="252"/>
      <c r="P597" s="252"/>
      <c r="Q597" s="252"/>
      <c r="R597" s="252"/>
      <c r="S597" s="252"/>
    </row>
    <row r="598" spans="1:19" x14ac:dyDescent="0.25">
      <c r="A598" s="252"/>
      <c r="B598" s="252"/>
      <c r="C598" s="252"/>
      <c r="D598" s="252"/>
      <c r="E598" s="252"/>
      <c r="F598" s="252"/>
      <c r="G598" s="252"/>
      <c r="H598" s="252"/>
      <c r="I598" s="252"/>
      <c r="J598" s="252"/>
      <c r="K598" s="252"/>
      <c r="L598" s="252"/>
      <c r="M598" s="252"/>
      <c r="N598" s="252"/>
      <c r="O598" s="252"/>
      <c r="P598" s="252"/>
      <c r="Q598" s="252"/>
      <c r="R598" s="252"/>
      <c r="S598" s="252"/>
    </row>
    <row r="599" spans="1:19" x14ac:dyDescent="0.25">
      <c r="A599" s="252"/>
      <c r="B599" s="252"/>
      <c r="C599" s="252"/>
      <c r="D599" s="252"/>
      <c r="E599" s="252"/>
      <c r="F599" s="252"/>
      <c r="G599" s="252"/>
      <c r="H599" s="252"/>
      <c r="I599" s="252"/>
      <c r="J599" s="252"/>
      <c r="K599" s="252"/>
      <c r="L599" s="252"/>
      <c r="M599" s="252"/>
      <c r="N599" s="252"/>
      <c r="O599" s="252"/>
      <c r="P599" s="252"/>
      <c r="Q599" s="252"/>
      <c r="R599" s="252"/>
      <c r="S599" s="252"/>
    </row>
    <row r="600" spans="1:19" x14ac:dyDescent="0.25">
      <c r="A600" s="252"/>
      <c r="B600" s="252"/>
      <c r="C600" s="252"/>
      <c r="D600" s="252"/>
      <c r="E600" s="252"/>
      <c r="F600" s="252"/>
      <c r="G600" s="252"/>
      <c r="H600" s="252"/>
      <c r="I600" s="252"/>
      <c r="J600" s="252"/>
      <c r="K600" s="252"/>
      <c r="L600" s="252"/>
      <c r="M600" s="252"/>
      <c r="N600" s="252"/>
      <c r="O600" s="252"/>
      <c r="P600" s="252"/>
      <c r="Q600" s="252"/>
      <c r="R600" s="252"/>
      <c r="S600" s="252"/>
    </row>
    <row r="601" spans="1:19" x14ac:dyDescent="0.25">
      <c r="A601" s="252"/>
      <c r="B601" s="252"/>
      <c r="C601" s="252"/>
      <c r="D601" s="252"/>
      <c r="E601" s="252"/>
      <c r="F601" s="252"/>
      <c r="G601" s="252"/>
      <c r="H601" s="252"/>
      <c r="I601" s="252"/>
      <c r="J601" s="252"/>
      <c r="K601" s="252"/>
      <c r="L601" s="252"/>
      <c r="M601" s="252"/>
      <c r="N601" s="252"/>
      <c r="O601" s="252"/>
      <c r="P601" s="252"/>
      <c r="Q601" s="252"/>
      <c r="R601" s="252"/>
      <c r="S601" s="252"/>
    </row>
    <row r="602" spans="1:19" x14ac:dyDescent="0.25">
      <c r="A602" s="252"/>
      <c r="B602" s="252"/>
      <c r="C602" s="252"/>
      <c r="D602" s="252"/>
      <c r="E602" s="252"/>
      <c r="F602" s="252"/>
      <c r="G602" s="252"/>
      <c r="H602" s="252"/>
      <c r="I602" s="252"/>
      <c r="J602" s="252"/>
      <c r="K602" s="252"/>
      <c r="L602" s="252"/>
      <c r="M602" s="252"/>
      <c r="N602" s="252"/>
      <c r="O602" s="252"/>
      <c r="P602" s="252"/>
      <c r="Q602" s="252"/>
      <c r="R602" s="252"/>
      <c r="S602" s="252"/>
    </row>
    <row r="603" spans="1:19" x14ac:dyDescent="0.25">
      <c r="A603" s="252"/>
      <c r="B603" s="252"/>
      <c r="C603" s="252"/>
      <c r="D603" s="252"/>
      <c r="E603" s="252"/>
      <c r="F603" s="252"/>
      <c r="G603" s="252"/>
      <c r="H603" s="252"/>
      <c r="I603" s="252"/>
      <c r="J603" s="252"/>
      <c r="K603" s="252"/>
      <c r="L603" s="252"/>
      <c r="M603" s="252"/>
      <c r="N603" s="252"/>
      <c r="O603" s="252"/>
      <c r="P603" s="252"/>
      <c r="Q603" s="252"/>
      <c r="R603" s="252"/>
      <c r="S603" s="252"/>
    </row>
    <row r="604" spans="1:19" x14ac:dyDescent="0.25">
      <c r="A604" s="252"/>
      <c r="B604" s="252"/>
      <c r="C604" s="252"/>
      <c r="D604" s="252"/>
      <c r="E604" s="252"/>
      <c r="F604" s="252"/>
      <c r="G604" s="252"/>
      <c r="H604" s="252"/>
      <c r="I604" s="252"/>
      <c r="J604" s="252"/>
      <c r="K604" s="252"/>
      <c r="L604" s="252"/>
      <c r="M604" s="252"/>
      <c r="N604" s="252"/>
      <c r="O604" s="252"/>
      <c r="P604" s="252"/>
      <c r="Q604" s="252"/>
      <c r="R604" s="252"/>
      <c r="S604" s="252"/>
    </row>
    <row r="605" spans="1:19" x14ac:dyDescent="0.25">
      <c r="A605" s="252"/>
      <c r="B605" s="252"/>
      <c r="C605" s="252"/>
      <c r="D605" s="252"/>
      <c r="E605" s="252"/>
      <c r="F605" s="252"/>
      <c r="G605" s="252"/>
      <c r="H605" s="252"/>
      <c r="I605" s="252"/>
      <c r="J605" s="252"/>
      <c r="K605" s="252"/>
      <c r="L605" s="252"/>
      <c r="M605" s="252"/>
      <c r="N605" s="252"/>
      <c r="O605" s="252"/>
      <c r="P605" s="252"/>
      <c r="Q605" s="252"/>
      <c r="R605" s="252"/>
      <c r="S605" s="252"/>
    </row>
    <row r="606" spans="1:19" x14ac:dyDescent="0.25">
      <c r="A606" s="252"/>
      <c r="B606" s="252"/>
      <c r="C606" s="252"/>
      <c r="D606" s="252"/>
      <c r="E606" s="252"/>
      <c r="F606" s="252"/>
      <c r="G606" s="252"/>
      <c r="H606" s="252"/>
      <c r="I606" s="252"/>
      <c r="J606" s="252"/>
      <c r="K606" s="252"/>
      <c r="L606" s="252"/>
      <c r="M606" s="252"/>
      <c r="N606" s="252"/>
      <c r="O606" s="252"/>
      <c r="P606" s="252"/>
      <c r="Q606" s="252"/>
      <c r="R606" s="252"/>
      <c r="S606" s="252"/>
    </row>
    <row r="607" spans="1:19" x14ac:dyDescent="0.25">
      <c r="A607" s="252"/>
      <c r="B607" s="252"/>
      <c r="C607" s="252"/>
      <c r="D607" s="252"/>
      <c r="E607" s="252"/>
      <c r="F607" s="252"/>
      <c r="G607" s="252"/>
      <c r="H607" s="252"/>
      <c r="I607" s="252"/>
      <c r="J607" s="252"/>
      <c r="K607" s="252"/>
      <c r="L607" s="252"/>
      <c r="M607" s="252"/>
      <c r="N607" s="252"/>
      <c r="O607" s="252"/>
      <c r="P607" s="252"/>
      <c r="Q607" s="252"/>
      <c r="R607" s="252"/>
      <c r="S607" s="252"/>
    </row>
    <row r="608" spans="1:19" x14ac:dyDescent="0.25">
      <c r="A608" s="252"/>
      <c r="B608" s="252"/>
      <c r="C608" s="252"/>
      <c r="D608" s="252"/>
      <c r="E608" s="252"/>
      <c r="F608" s="252"/>
      <c r="G608" s="252"/>
      <c r="H608" s="252"/>
      <c r="I608" s="252"/>
      <c r="J608" s="252"/>
      <c r="K608" s="252"/>
      <c r="L608" s="252"/>
      <c r="M608" s="252"/>
      <c r="N608" s="252"/>
      <c r="O608" s="252"/>
      <c r="P608" s="252"/>
      <c r="Q608" s="252"/>
      <c r="R608" s="252"/>
      <c r="S608" s="252"/>
    </row>
    <row r="609" spans="1:19" x14ac:dyDescent="0.25">
      <c r="A609" s="252"/>
      <c r="B609" s="252"/>
      <c r="C609" s="252"/>
      <c r="D609" s="252"/>
      <c r="E609" s="252"/>
      <c r="F609" s="252"/>
      <c r="G609" s="252"/>
      <c r="H609" s="252"/>
      <c r="I609" s="252"/>
      <c r="J609" s="252"/>
      <c r="K609" s="252"/>
      <c r="L609" s="252"/>
      <c r="M609" s="252"/>
      <c r="N609" s="252"/>
      <c r="O609" s="252"/>
      <c r="P609" s="252"/>
      <c r="Q609" s="252"/>
      <c r="R609" s="252"/>
      <c r="S609" s="252"/>
    </row>
    <row r="610" spans="1:19" x14ac:dyDescent="0.25">
      <c r="A610" s="252"/>
      <c r="B610" s="252"/>
      <c r="C610" s="252"/>
      <c r="D610" s="252"/>
      <c r="E610" s="252"/>
      <c r="F610" s="252"/>
      <c r="G610" s="252"/>
      <c r="H610" s="252"/>
      <c r="I610" s="252"/>
      <c r="J610" s="252"/>
      <c r="K610" s="252"/>
      <c r="L610" s="252"/>
      <c r="M610" s="252"/>
      <c r="N610" s="252"/>
      <c r="O610" s="252"/>
      <c r="P610" s="252"/>
      <c r="Q610" s="252"/>
      <c r="R610" s="252"/>
      <c r="S610" s="252"/>
    </row>
    <row r="611" spans="1:19" x14ac:dyDescent="0.25">
      <c r="A611" s="252"/>
      <c r="B611" s="252"/>
      <c r="C611" s="252"/>
      <c r="D611" s="252"/>
      <c r="E611" s="252"/>
      <c r="F611" s="252"/>
      <c r="G611" s="252"/>
      <c r="H611" s="252"/>
      <c r="I611" s="252"/>
      <c r="J611" s="252"/>
      <c r="K611" s="252"/>
      <c r="L611" s="252"/>
      <c r="M611" s="252"/>
      <c r="N611" s="252"/>
      <c r="O611" s="252"/>
      <c r="P611" s="252"/>
      <c r="Q611" s="252"/>
      <c r="R611" s="252"/>
      <c r="S611" s="252"/>
    </row>
    <row r="612" spans="1:19" x14ac:dyDescent="0.25">
      <c r="A612" s="252"/>
      <c r="B612" s="252"/>
      <c r="C612" s="252"/>
      <c r="D612" s="252"/>
      <c r="E612" s="252"/>
      <c r="F612" s="252"/>
      <c r="G612" s="252"/>
      <c r="H612" s="252"/>
      <c r="I612" s="252"/>
      <c r="J612" s="252"/>
      <c r="K612" s="252"/>
      <c r="L612" s="252"/>
      <c r="M612" s="252"/>
      <c r="N612" s="252"/>
      <c r="O612" s="252"/>
      <c r="P612" s="252"/>
      <c r="Q612" s="252"/>
      <c r="R612" s="252"/>
      <c r="S612" s="252"/>
    </row>
    <row r="613" spans="1:19" x14ac:dyDescent="0.25">
      <c r="A613" s="252"/>
      <c r="B613" s="252"/>
      <c r="C613" s="252"/>
      <c r="D613" s="252"/>
      <c r="E613" s="252"/>
      <c r="F613" s="252"/>
      <c r="G613" s="252"/>
      <c r="H613" s="252"/>
      <c r="I613" s="252"/>
      <c r="J613" s="252"/>
      <c r="K613" s="252"/>
      <c r="L613" s="252"/>
      <c r="M613" s="252"/>
      <c r="N613" s="252"/>
      <c r="O613" s="252"/>
      <c r="P613" s="252"/>
      <c r="Q613" s="252"/>
      <c r="R613" s="252"/>
      <c r="S613" s="252"/>
    </row>
    <row r="614" spans="1:19" x14ac:dyDescent="0.25">
      <c r="A614" s="252"/>
      <c r="B614" s="252"/>
      <c r="C614" s="252"/>
      <c r="D614" s="252"/>
      <c r="E614" s="252"/>
      <c r="F614" s="252"/>
      <c r="G614" s="252"/>
      <c r="H614" s="252"/>
      <c r="I614" s="252"/>
      <c r="J614" s="252"/>
      <c r="K614" s="252"/>
      <c r="L614" s="252"/>
      <c r="M614" s="252"/>
      <c r="N614" s="252"/>
      <c r="O614" s="252"/>
      <c r="P614" s="252"/>
      <c r="Q614" s="252"/>
      <c r="R614" s="252"/>
      <c r="S614" s="252"/>
    </row>
    <row r="615" spans="1:19" x14ac:dyDescent="0.25">
      <c r="A615" s="252"/>
      <c r="B615" s="252"/>
      <c r="C615" s="252"/>
      <c r="D615" s="252"/>
      <c r="E615" s="252"/>
      <c r="F615" s="252"/>
      <c r="G615" s="252"/>
      <c r="H615" s="252"/>
      <c r="I615" s="252"/>
      <c r="J615" s="252"/>
      <c r="K615" s="252"/>
      <c r="L615" s="252"/>
      <c r="M615" s="252"/>
      <c r="N615" s="252"/>
      <c r="O615" s="252"/>
      <c r="P615" s="252"/>
      <c r="Q615" s="252"/>
      <c r="R615" s="252"/>
      <c r="S615" s="252"/>
    </row>
    <row r="616" spans="1:19" x14ac:dyDescent="0.25">
      <c r="A616" s="252"/>
      <c r="B616" s="252"/>
      <c r="C616" s="252"/>
      <c r="D616" s="252"/>
      <c r="E616" s="252"/>
      <c r="F616" s="252"/>
      <c r="G616" s="252"/>
      <c r="H616" s="252"/>
      <c r="I616" s="252"/>
      <c r="J616" s="252"/>
      <c r="K616" s="252"/>
      <c r="L616" s="252"/>
      <c r="M616" s="252"/>
      <c r="N616" s="252"/>
      <c r="O616" s="252"/>
      <c r="P616" s="252"/>
      <c r="Q616" s="252"/>
      <c r="R616" s="252"/>
      <c r="S616" s="252"/>
    </row>
    <row r="617" spans="1:19" x14ac:dyDescent="0.25">
      <c r="A617" s="252"/>
      <c r="B617" s="252"/>
      <c r="C617" s="252"/>
      <c r="D617" s="252"/>
      <c r="E617" s="252"/>
      <c r="F617" s="252"/>
      <c r="G617" s="252"/>
      <c r="H617" s="252"/>
      <c r="I617" s="252"/>
      <c r="J617" s="252"/>
      <c r="K617" s="252"/>
      <c r="L617" s="252"/>
      <c r="M617" s="252"/>
      <c r="N617" s="252"/>
      <c r="O617" s="252"/>
      <c r="P617" s="252"/>
      <c r="Q617" s="252"/>
      <c r="R617" s="252"/>
      <c r="S617" s="252"/>
    </row>
    <row r="618" spans="1:19" x14ac:dyDescent="0.25">
      <c r="A618" s="252"/>
      <c r="B618" s="252"/>
      <c r="C618" s="252"/>
      <c r="D618" s="252"/>
      <c r="E618" s="252"/>
      <c r="F618" s="252"/>
      <c r="G618" s="252"/>
      <c r="H618" s="252"/>
      <c r="I618" s="252"/>
      <c r="J618" s="252"/>
      <c r="K618" s="252"/>
      <c r="L618" s="252"/>
      <c r="M618" s="252"/>
      <c r="N618" s="252"/>
      <c r="O618" s="252"/>
      <c r="P618" s="252"/>
      <c r="Q618" s="252"/>
      <c r="R618" s="252"/>
      <c r="S618" s="252"/>
    </row>
    <row r="619" spans="1:19" x14ac:dyDescent="0.25">
      <c r="A619" s="252"/>
      <c r="B619" s="252"/>
      <c r="C619" s="252"/>
      <c r="D619" s="252"/>
      <c r="E619" s="252"/>
      <c r="F619" s="252"/>
      <c r="G619" s="252"/>
      <c r="H619" s="252"/>
      <c r="I619" s="252"/>
      <c r="J619" s="252"/>
      <c r="K619" s="252"/>
      <c r="L619" s="252"/>
      <c r="M619" s="252"/>
      <c r="N619" s="252"/>
      <c r="O619" s="252"/>
      <c r="P619" s="252"/>
      <c r="Q619" s="252"/>
      <c r="R619" s="252"/>
      <c r="S619" s="252"/>
    </row>
    <row r="620" spans="1:19" x14ac:dyDescent="0.25">
      <c r="A620" s="252"/>
      <c r="B620" s="252"/>
      <c r="C620" s="252"/>
      <c r="D620" s="252"/>
      <c r="E620" s="252"/>
      <c r="F620" s="252"/>
      <c r="G620" s="252"/>
      <c r="H620" s="252"/>
      <c r="I620" s="252"/>
      <c r="J620" s="252"/>
      <c r="K620" s="252"/>
      <c r="L620" s="252"/>
      <c r="M620" s="252"/>
      <c r="N620" s="252"/>
      <c r="O620" s="252"/>
      <c r="P620" s="252"/>
      <c r="Q620" s="252"/>
      <c r="R620" s="252"/>
      <c r="S620" s="252"/>
    </row>
    <row r="621" spans="1:19" x14ac:dyDescent="0.25">
      <c r="A621" s="252"/>
      <c r="B621" s="252"/>
      <c r="C621" s="252"/>
      <c r="D621" s="252"/>
      <c r="E621" s="252"/>
      <c r="F621" s="252"/>
      <c r="G621" s="252"/>
      <c r="H621" s="252"/>
      <c r="I621" s="252"/>
      <c r="J621" s="252"/>
      <c r="K621" s="252"/>
      <c r="L621" s="252"/>
      <c r="M621" s="252"/>
      <c r="N621" s="252"/>
      <c r="O621" s="252"/>
      <c r="P621" s="252"/>
      <c r="Q621" s="252"/>
      <c r="R621" s="252"/>
      <c r="S621" s="252"/>
    </row>
    <row r="622" spans="1:19" x14ac:dyDescent="0.25">
      <c r="A622" s="252"/>
      <c r="B622" s="252"/>
      <c r="C622" s="252"/>
      <c r="D622" s="252"/>
      <c r="E622" s="252"/>
      <c r="F622" s="252"/>
      <c r="G622" s="252"/>
      <c r="H622" s="252"/>
      <c r="I622" s="252"/>
      <c r="J622" s="252"/>
      <c r="K622" s="252"/>
      <c r="L622" s="252"/>
      <c r="M622" s="252"/>
      <c r="N622" s="252"/>
      <c r="O622" s="252"/>
      <c r="P622" s="252"/>
      <c r="Q622" s="252"/>
      <c r="R622" s="252"/>
      <c r="S622" s="252"/>
    </row>
    <row r="623" spans="1:19" x14ac:dyDescent="0.25">
      <c r="A623" s="252"/>
      <c r="B623" s="252"/>
      <c r="C623" s="252"/>
      <c r="D623" s="252"/>
      <c r="E623" s="252"/>
      <c r="F623" s="252"/>
      <c r="G623" s="252"/>
      <c r="H623" s="252"/>
      <c r="I623" s="252"/>
      <c r="J623" s="252"/>
      <c r="K623" s="252"/>
      <c r="L623" s="252"/>
      <c r="M623" s="252"/>
      <c r="N623" s="252"/>
      <c r="O623" s="252"/>
      <c r="P623" s="252"/>
      <c r="Q623" s="252"/>
      <c r="R623" s="252"/>
      <c r="S623" s="252"/>
    </row>
    <row r="624" spans="1:19" x14ac:dyDescent="0.25">
      <c r="A624" s="252"/>
      <c r="B624" s="252"/>
      <c r="C624" s="252"/>
      <c r="D624" s="252"/>
      <c r="E624" s="252"/>
      <c r="F624" s="252"/>
      <c r="G624" s="252"/>
      <c r="H624" s="252"/>
      <c r="I624" s="252"/>
      <c r="J624" s="252"/>
      <c r="K624" s="252"/>
      <c r="L624" s="252"/>
      <c r="M624" s="252"/>
      <c r="N624" s="252"/>
      <c r="O624" s="252"/>
      <c r="P624" s="252"/>
      <c r="Q624" s="252"/>
      <c r="R624" s="252"/>
      <c r="S624" s="252"/>
    </row>
    <row r="625" spans="1:19" x14ac:dyDescent="0.25">
      <c r="A625" s="252"/>
      <c r="B625" s="252"/>
      <c r="C625" s="252"/>
      <c r="D625" s="252"/>
      <c r="E625" s="252"/>
      <c r="F625" s="252"/>
      <c r="G625" s="252"/>
      <c r="H625" s="252"/>
      <c r="I625" s="252"/>
      <c r="J625" s="252"/>
      <c r="K625" s="252"/>
      <c r="L625" s="252"/>
      <c r="M625" s="252"/>
      <c r="N625" s="252"/>
      <c r="O625" s="252"/>
      <c r="P625" s="252"/>
      <c r="Q625" s="252"/>
      <c r="R625" s="252"/>
      <c r="S625" s="252"/>
    </row>
    <row r="626" spans="1:19" x14ac:dyDescent="0.25">
      <c r="A626" s="252"/>
      <c r="B626" s="252"/>
      <c r="C626" s="252"/>
      <c r="D626" s="252"/>
      <c r="E626" s="252"/>
      <c r="F626" s="252"/>
      <c r="G626" s="252"/>
      <c r="H626" s="252"/>
      <c r="I626" s="252"/>
      <c r="J626" s="252"/>
      <c r="K626" s="252"/>
      <c r="L626" s="252"/>
      <c r="M626" s="252"/>
      <c r="N626" s="252"/>
      <c r="O626" s="252"/>
      <c r="P626" s="252"/>
      <c r="Q626" s="252"/>
      <c r="R626" s="252"/>
      <c r="S626" s="252"/>
    </row>
    <row r="627" spans="1:19" x14ac:dyDescent="0.25">
      <c r="A627" s="252"/>
      <c r="B627" s="252"/>
      <c r="C627" s="252"/>
      <c r="D627" s="252"/>
      <c r="E627" s="252"/>
      <c r="F627" s="252"/>
      <c r="G627" s="252"/>
      <c r="H627" s="252"/>
      <c r="I627" s="252"/>
      <c r="J627" s="252"/>
      <c r="K627" s="252"/>
      <c r="L627" s="252"/>
      <c r="M627" s="252"/>
      <c r="N627" s="252"/>
      <c r="O627" s="252"/>
      <c r="P627" s="252"/>
      <c r="Q627" s="252"/>
      <c r="R627" s="252"/>
      <c r="S627" s="252"/>
    </row>
    <row r="628" spans="1:19" x14ac:dyDescent="0.25">
      <c r="A628" s="252"/>
      <c r="B628" s="252"/>
      <c r="C628" s="252"/>
      <c r="D628" s="252"/>
      <c r="E628" s="252"/>
      <c r="F628" s="252"/>
      <c r="G628" s="252"/>
      <c r="H628" s="252"/>
      <c r="I628" s="252"/>
      <c r="J628" s="252"/>
      <c r="K628" s="252"/>
      <c r="L628" s="252"/>
      <c r="M628" s="252"/>
      <c r="N628" s="252"/>
      <c r="O628" s="252"/>
      <c r="P628" s="252"/>
      <c r="Q628" s="252"/>
      <c r="R628" s="252"/>
      <c r="S628" s="252"/>
    </row>
    <row r="629" spans="1:19" x14ac:dyDescent="0.25">
      <c r="A629" s="252"/>
      <c r="B629" s="252"/>
      <c r="C629" s="252"/>
      <c r="D629" s="252"/>
      <c r="E629" s="252"/>
      <c r="F629" s="252"/>
      <c r="G629" s="252"/>
      <c r="H629" s="252"/>
      <c r="I629" s="252"/>
      <c r="J629" s="252"/>
      <c r="K629" s="252"/>
      <c r="L629" s="252"/>
      <c r="M629" s="252"/>
      <c r="N629" s="252"/>
      <c r="O629" s="252"/>
      <c r="P629" s="252"/>
      <c r="Q629" s="252"/>
      <c r="R629" s="252"/>
      <c r="S629" s="252"/>
    </row>
    <row r="630" spans="1:19" x14ac:dyDescent="0.25">
      <c r="A630" s="252"/>
      <c r="B630" s="252"/>
      <c r="C630" s="252"/>
      <c r="D630" s="252"/>
      <c r="E630" s="252"/>
      <c r="F630" s="252"/>
      <c r="G630" s="252"/>
      <c r="H630" s="252"/>
      <c r="I630" s="252"/>
      <c r="J630" s="252"/>
      <c r="K630" s="252"/>
      <c r="L630" s="252"/>
      <c r="M630" s="252"/>
      <c r="N630" s="252"/>
      <c r="O630" s="252"/>
      <c r="P630" s="252"/>
      <c r="Q630" s="252"/>
      <c r="R630" s="252"/>
      <c r="S630" s="252"/>
    </row>
    <row r="631" spans="1:19" x14ac:dyDescent="0.25">
      <c r="A631" s="252"/>
      <c r="B631" s="252"/>
      <c r="C631" s="252"/>
      <c r="D631" s="252"/>
      <c r="E631" s="252"/>
      <c r="F631" s="252"/>
      <c r="G631" s="252"/>
      <c r="H631" s="252"/>
      <c r="I631" s="252"/>
      <c r="J631" s="252"/>
      <c r="K631" s="252"/>
      <c r="L631" s="252"/>
      <c r="M631" s="252"/>
      <c r="N631" s="252"/>
      <c r="O631" s="252"/>
      <c r="P631" s="252"/>
      <c r="Q631" s="252"/>
      <c r="R631" s="252"/>
      <c r="S631" s="252"/>
    </row>
    <row r="632" spans="1:19" x14ac:dyDescent="0.25">
      <c r="A632" s="252"/>
      <c r="B632" s="252"/>
      <c r="C632" s="252"/>
      <c r="D632" s="252"/>
      <c r="E632" s="252"/>
      <c r="F632" s="252"/>
      <c r="G632" s="252"/>
      <c r="H632" s="252"/>
      <c r="I632" s="252"/>
      <c r="J632" s="252"/>
      <c r="K632" s="252"/>
      <c r="L632" s="252"/>
      <c r="M632" s="252"/>
      <c r="N632" s="252"/>
      <c r="O632" s="252"/>
      <c r="P632" s="252"/>
      <c r="Q632" s="252"/>
      <c r="R632" s="252"/>
      <c r="S632" s="252"/>
    </row>
    <row r="633" spans="1:19" x14ac:dyDescent="0.25">
      <c r="A633" s="252"/>
      <c r="B633" s="252"/>
      <c r="C633" s="252"/>
      <c r="D633" s="252"/>
      <c r="E633" s="252"/>
      <c r="F633" s="252"/>
      <c r="G633" s="252"/>
      <c r="H633" s="252"/>
      <c r="I633" s="252"/>
      <c r="J633" s="252"/>
      <c r="K633" s="252"/>
      <c r="L633" s="252"/>
      <c r="M633" s="252"/>
      <c r="N633" s="252"/>
      <c r="O633" s="252"/>
      <c r="P633" s="252"/>
      <c r="Q633" s="252"/>
      <c r="R633" s="252"/>
      <c r="S633" s="252"/>
    </row>
    <row r="634" spans="1:19" x14ac:dyDescent="0.25">
      <c r="A634" s="252"/>
      <c r="B634" s="252"/>
      <c r="C634" s="252"/>
      <c r="D634" s="252"/>
      <c r="E634" s="252"/>
      <c r="F634" s="252"/>
      <c r="G634" s="252"/>
      <c r="H634" s="252"/>
      <c r="I634" s="252"/>
      <c r="J634" s="252"/>
      <c r="K634" s="252"/>
      <c r="L634" s="252"/>
      <c r="M634" s="252"/>
      <c r="N634" s="252"/>
      <c r="O634" s="252"/>
      <c r="P634" s="252"/>
      <c r="Q634" s="252"/>
      <c r="R634" s="252"/>
      <c r="S634" s="252"/>
    </row>
    <row r="635" spans="1:19" x14ac:dyDescent="0.25">
      <c r="A635" s="252"/>
      <c r="B635" s="252"/>
      <c r="C635" s="252"/>
      <c r="D635" s="252"/>
      <c r="E635" s="252"/>
      <c r="F635" s="252"/>
      <c r="G635" s="252"/>
      <c r="H635" s="252"/>
      <c r="I635" s="252"/>
      <c r="J635" s="252"/>
      <c r="K635" s="252"/>
      <c r="L635" s="252"/>
      <c r="M635" s="252"/>
      <c r="N635" s="252"/>
      <c r="O635" s="252"/>
      <c r="P635" s="252"/>
      <c r="Q635" s="252"/>
      <c r="R635" s="252"/>
      <c r="S635" s="252"/>
    </row>
    <row r="636" spans="1:19" x14ac:dyDescent="0.25">
      <c r="A636" s="252"/>
      <c r="B636" s="252"/>
      <c r="C636" s="252"/>
      <c r="D636" s="252"/>
      <c r="E636" s="252"/>
      <c r="F636" s="252"/>
      <c r="G636" s="252"/>
      <c r="H636" s="252"/>
      <c r="I636" s="252"/>
      <c r="J636" s="252"/>
      <c r="K636" s="252"/>
      <c r="L636" s="252"/>
      <c r="M636" s="252"/>
      <c r="N636" s="252"/>
      <c r="O636" s="252"/>
      <c r="P636" s="252"/>
      <c r="Q636" s="252"/>
      <c r="R636" s="252"/>
      <c r="S636" s="252"/>
    </row>
    <row r="637" spans="1:19" x14ac:dyDescent="0.25">
      <c r="A637" s="252"/>
      <c r="B637" s="252"/>
      <c r="C637" s="252"/>
      <c r="D637" s="252"/>
      <c r="E637" s="252"/>
      <c r="F637" s="252"/>
      <c r="G637" s="252"/>
      <c r="H637" s="252"/>
      <c r="I637" s="252"/>
      <c r="J637" s="252"/>
      <c r="K637" s="252"/>
      <c r="L637" s="252"/>
      <c r="M637" s="252"/>
      <c r="N637" s="252"/>
      <c r="O637" s="252"/>
      <c r="P637" s="252"/>
      <c r="Q637" s="252"/>
      <c r="R637" s="252"/>
      <c r="S637" s="252"/>
    </row>
    <row r="638" spans="1:19" x14ac:dyDescent="0.25">
      <c r="A638" s="252"/>
      <c r="B638" s="252"/>
      <c r="C638" s="252"/>
      <c r="D638" s="252"/>
      <c r="E638" s="252"/>
      <c r="F638" s="252"/>
      <c r="G638" s="252"/>
      <c r="H638" s="252"/>
      <c r="I638" s="252"/>
      <c r="J638" s="252"/>
      <c r="K638" s="252"/>
      <c r="L638" s="252"/>
      <c r="M638" s="252"/>
      <c r="N638" s="252"/>
      <c r="O638" s="252"/>
      <c r="P638" s="252"/>
      <c r="Q638" s="252"/>
      <c r="R638" s="252"/>
      <c r="S638" s="252"/>
    </row>
    <row r="639" spans="1:19" x14ac:dyDescent="0.25">
      <c r="A639" s="252"/>
      <c r="B639" s="252"/>
      <c r="C639" s="252"/>
      <c r="D639" s="252"/>
      <c r="E639" s="252"/>
      <c r="F639" s="252"/>
      <c r="G639" s="252"/>
      <c r="H639" s="252"/>
      <c r="I639" s="252"/>
      <c r="J639" s="252"/>
      <c r="K639" s="252"/>
      <c r="L639" s="252"/>
      <c r="M639" s="252"/>
      <c r="N639" s="252"/>
      <c r="O639" s="252"/>
      <c r="P639" s="252"/>
      <c r="Q639" s="252"/>
      <c r="R639" s="252"/>
      <c r="S639" s="252"/>
    </row>
    <row r="640" spans="1:19" x14ac:dyDescent="0.25">
      <c r="A640" s="252"/>
      <c r="B640" s="252"/>
      <c r="C640" s="252"/>
      <c r="D640" s="252"/>
      <c r="E640" s="252"/>
      <c r="F640" s="252"/>
      <c r="G640" s="252"/>
      <c r="H640" s="252"/>
      <c r="I640" s="252"/>
      <c r="J640" s="252"/>
      <c r="K640" s="252"/>
      <c r="L640" s="252"/>
      <c r="M640" s="252"/>
      <c r="N640" s="252"/>
      <c r="O640" s="252"/>
      <c r="P640" s="252"/>
      <c r="Q640" s="252"/>
      <c r="R640" s="252"/>
      <c r="S640" s="252"/>
    </row>
    <row r="641" spans="1:19" x14ac:dyDescent="0.25">
      <c r="A641" s="252"/>
      <c r="B641" s="252"/>
      <c r="C641" s="252"/>
      <c r="D641" s="252"/>
      <c r="E641" s="252"/>
      <c r="F641" s="252"/>
      <c r="G641" s="252"/>
      <c r="H641" s="252"/>
      <c r="I641" s="252"/>
      <c r="J641" s="252"/>
      <c r="K641" s="252"/>
      <c r="L641" s="252"/>
      <c r="M641" s="252"/>
      <c r="N641" s="252"/>
      <c r="O641" s="252"/>
      <c r="P641" s="252"/>
      <c r="Q641" s="252"/>
      <c r="R641" s="252"/>
      <c r="S641" s="252"/>
    </row>
    <row r="642" spans="1:19" x14ac:dyDescent="0.25">
      <c r="A642" s="252"/>
      <c r="B642" s="252"/>
      <c r="C642" s="252"/>
      <c r="D642" s="252"/>
      <c r="E642" s="252"/>
      <c r="F642" s="252"/>
      <c r="G642" s="252"/>
      <c r="H642" s="252"/>
      <c r="I642" s="252"/>
      <c r="J642" s="252"/>
      <c r="K642" s="252"/>
      <c r="L642" s="252"/>
      <c r="M642" s="252"/>
      <c r="N642" s="252"/>
      <c r="O642" s="252"/>
      <c r="P642" s="252"/>
      <c r="Q642" s="252"/>
      <c r="R642" s="252"/>
      <c r="S642" s="252"/>
    </row>
    <row r="643" spans="1:19" x14ac:dyDescent="0.25">
      <c r="A643" s="252"/>
      <c r="B643" s="252"/>
      <c r="C643" s="252"/>
      <c r="D643" s="252"/>
      <c r="E643" s="252"/>
      <c r="F643" s="252"/>
      <c r="G643" s="252"/>
      <c r="H643" s="252"/>
      <c r="I643" s="252"/>
      <c r="J643" s="252"/>
      <c r="K643" s="252"/>
      <c r="L643" s="252"/>
      <c r="M643" s="252"/>
      <c r="N643" s="252"/>
      <c r="O643" s="252"/>
      <c r="P643" s="252"/>
      <c r="Q643" s="252"/>
      <c r="R643" s="252"/>
      <c r="S643" s="252"/>
    </row>
    <row r="644" spans="1:19" x14ac:dyDescent="0.25">
      <c r="A644" s="252"/>
      <c r="B644" s="252"/>
      <c r="C644" s="252"/>
      <c r="D644" s="252"/>
      <c r="E644" s="252"/>
      <c r="F644" s="252"/>
      <c r="G644" s="252"/>
      <c r="H644" s="252"/>
      <c r="I644" s="252"/>
      <c r="J644" s="252"/>
      <c r="K644" s="252"/>
      <c r="L644" s="252"/>
      <c r="M644" s="252"/>
      <c r="N644" s="252"/>
      <c r="O644" s="252"/>
      <c r="P644" s="252"/>
      <c r="Q644" s="252"/>
      <c r="R644" s="252"/>
      <c r="S644" s="252"/>
    </row>
    <row r="645" spans="1:19" x14ac:dyDescent="0.25">
      <c r="A645" s="252"/>
      <c r="B645" s="252"/>
      <c r="C645" s="252"/>
      <c r="D645" s="252"/>
      <c r="E645" s="252"/>
      <c r="F645" s="252"/>
      <c r="G645" s="252"/>
      <c r="H645" s="252"/>
      <c r="I645" s="252"/>
      <c r="J645" s="252"/>
      <c r="K645" s="252"/>
      <c r="L645" s="252"/>
      <c r="M645" s="252"/>
      <c r="N645" s="252"/>
      <c r="O645" s="252"/>
      <c r="P645" s="252"/>
      <c r="Q645" s="252"/>
      <c r="R645" s="252"/>
      <c r="S645" s="252"/>
    </row>
    <row r="646" spans="1:19" x14ac:dyDescent="0.25">
      <c r="A646" s="252"/>
      <c r="B646" s="252"/>
      <c r="C646" s="252"/>
      <c r="D646" s="252"/>
      <c r="E646" s="252"/>
      <c r="F646" s="252"/>
      <c r="G646" s="252"/>
      <c r="H646" s="252"/>
      <c r="I646" s="252"/>
      <c r="J646" s="252"/>
      <c r="K646" s="252"/>
      <c r="L646" s="252"/>
      <c r="M646" s="252"/>
      <c r="N646" s="252"/>
      <c r="O646" s="252"/>
      <c r="P646" s="252"/>
      <c r="Q646" s="252"/>
      <c r="R646" s="252"/>
      <c r="S646" s="252"/>
    </row>
    <row r="647" spans="1:19" x14ac:dyDescent="0.25">
      <c r="A647" s="252"/>
      <c r="B647" s="252"/>
      <c r="C647" s="252"/>
      <c r="D647" s="252"/>
      <c r="E647" s="252"/>
      <c r="F647" s="252"/>
      <c r="G647" s="252"/>
      <c r="H647" s="252"/>
      <c r="I647" s="252"/>
      <c r="J647" s="252"/>
      <c r="K647" s="252"/>
      <c r="L647" s="252"/>
      <c r="M647" s="252"/>
      <c r="N647" s="252"/>
      <c r="O647" s="252"/>
      <c r="P647" s="252"/>
      <c r="Q647" s="252"/>
      <c r="R647" s="252"/>
      <c r="S647" s="252"/>
    </row>
    <row r="648" spans="1:19" x14ac:dyDescent="0.25">
      <c r="A648" s="252"/>
      <c r="B648" s="252"/>
      <c r="C648" s="252"/>
      <c r="D648" s="252"/>
      <c r="E648" s="252"/>
      <c r="F648" s="252"/>
      <c r="G648" s="252"/>
      <c r="H648" s="252"/>
      <c r="I648" s="252"/>
      <c r="J648" s="252"/>
      <c r="K648" s="252"/>
      <c r="L648" s="252"/>
      <c r="M648" s="252"/>
      <c r="N648" s="252"/>
      <c r="O648" s="252"/>
      <c r="P648" s="252"/>
      <c r="Q648" s="252"/>
      <c r="R648" s="252"/>
      <c r="S648" s="252"/>
    </row>
    <row r="649" spans="1:19" x14ac:dyDescent="0.25">
      <c r="A649" s="252"/>
      <c r="B649" s="252"/>
      <c r="C649" s="252"/>
      <c r="D649" s="252"/>
      <c r="E649" s="252"/>
      <c r="F649" s="252"/>
      <c r="G649" s="252"/>
      <c r="H649" s="252"/>
      <c r="I649" s="252"/>
      <c r="J649" s="252"/>
      <c r="K649" s="252"/>
      <c r="L649" s="252"/>
      <c r="M649" s="252"/>
      <c r="N649" s="252"/>
      <c r="O649" s="252"/>
      <c r="P649" s="252"/>
      <c r="Q649" s="252"/>
      <c r="R649" s="252"/>
      <c r="S649" s="252"/>
    </row>
    <row r="650" spans="1:19" x14ac:dyDescent="0.25">
      <c r="A650" s="252"/>
      <c r="B650" s="252"/>
      <c r="C650" s="252"/>
      <c r="D650" s="252"/>
      <c r="E650" s="252"/>
      <c r="F650" s="252"/>
      <c r="G650" s="252"/>
      <c r="H650" s="252"/>
      <c r="I650" s="252"/>
      <c r="J650" s="252"/>
      <c r="K650" s="252"/>
      <c r="L650" s="252"/>
      <c r="M650" s="252"/>
      <c r="N650" s="252"/>
      <c r="O650" s="252"/>
      <c r="P650" s="252"/>
      <c r="Q650" s="252"/>
      <c r="R650" s="252"/>
      <c r="S650" s="252"/>
    </row>
    <row r="651" spans="1:19" x14ac:dyDescent="0.25">
      <c r="A651" s="252"/>
      <c r="B651" s="252"/>
      <c r="C651" s="252"/>
      <c r="D651" s="252"/>
      <c r="E651" s="252"/>
      <c r="F651" s="252"/>
      <c r="G651" s="252"/>
      <c r="H651" s="252"/>
      <c r="I651" s="252"/>
      <c r="J651" s="252"/>
      <c r="K651" s="252"/>
      <c r="L651" s="252"/>
      <c r="M651" s="252"/>
      <c r="N651" s="252"/>
      <c r="O651" s="252"/>
      <c r="P651" s="252"/>
      <c r="Q651" s="252"/>
      <c r="R651" s="252"/>
      <c r="S651" s="252"/>
    </row>
    <row r="652" spans="1:19" x14ac:dyDescent="0.25">
      <c r="A652" s="252"/>
      <c r="B652" s="252"/>
      <c r="C652" s="252"/>
      <c r="D652" s="252"/>
      <c r="E652" s="252"/>
      <c r="F652" s="252"/>
      <c r="G652" s="252"/>
      <c r="H652" s="252"/>
      <c r="I652" s="252"/>
      <c r="J652" s="252"/>
      <c r="K652" s="252"/>
      <c r="L652" s="252"/>
      <c r="M652" s="252"/>
      <c r="N652" s="252"/>
      <c r="O652" s="252"/>
      <c r="P652" s="252"/>
      <c r="Q652" s="252"/>
      <c r="R652" s="252"/>
      <c r="S652" s="252"/>
    </row>
    <row r="653" spans="1:19" x14ac:dyDescent="0.25">
      <c r="A653" s="252"/>
      <c r="B653" s="252"/>
      <c r="C653" s="252"/>
      <c r="D653" s="252"/>
      <c r="E653" s="252"/>
      <c r="F653" s="252"/>
      <c r="G653" s="252"/>
      <c r="H653" s="252"/>
      <c r="I653" s="252"/>
      <c r="J653" s="252"/>
      <c r="K653" s="252"/>
      <c r="L653" s="252"/>
      <c r="M653" s="252"/>
      <c r="N653" s="252"/>
      <c r="O653" s="252"/>
      <c r="P653" s="252"/>
      <c r="Q653" s="252"/>
      <c r="R653" s="252"/>
      <c r="S653" s="252"/>
    </row>
    <row r="654" spans="1:19" x14ac:dyDescent="0.25">
      <c r="A654" s="252"/>
      <c r="B654" s="252"/>
      <c r="C654" s="252"/>
      <c r="D654" s="252"/>
      <c r="E654" s="252"/>
      <c r="F654" s="252"/>
      <c r="G654" s="252"/>
      <c r="H654" s="252"/>
      <c r="I654" s="252"/>
      <c r="J654" s="252"/>
      <c r="K654" s="252"/>
      <c r="L654" s="252"/>
      <c r="M654" s="252"/>
      <c r="N654" s="252"/>
      <c r="O654" s="252"/>
      <c r="P654" s="252"/>
      <c r="Q654" s="252"/>
      <c r="R654" s="252"/>
      <c r="S654" s="252"/>
    </row>
    <row r="655" spans="1:19" x14ac:dyDescent="0.25">
      <c r="A655" s="252"/>
      <c r="B655" s="252"/>
      <c r="C655" s="252"/>
      <c r="D655" s="252"/>
      <c r="E655" s="252"/>
      <c r="F655" s="252"/>
      <c r="G655" s="252"/>
      <c r="H655" s="252"/>
      <c r="I655" s="252"/>
      <c r="J655" s="252"/>
      <c r="K655" s="252"/>
      <c r="L655" s="252"/>
      <c r="M655" s="252"/>
      <c r="N655" s="252"/>
      <c r="O655" s="252"/>
      <c r="P655" s="252"/>
      <c r="Q655" s="252"/>
      <c r="R655" s="252"/>
      <c r="S655" s="252"/>
    </row>
    <row r="656" spans="1:19" x14ac:dyDescent="0.25">
      <c r="A656" s="252"/>
      <c r="B656" s="252"/>
      <c r="C656" s="252"/>
      <c r="D656" s="252"/>
      <c r="E656" s="252"/>
      <c r="F656" s="252"/>
      <c r="G656" s="252"/>
      <c r="H656" s="252"/>
      <c r="I656" s="252"/>
      <c r="J656" s="252"/>
      <c r="K656" s="252"/>
      <c r="L656" s="252"/>
      <c r="M656" s="252"/>
      <c r="N656" s="252"/>
      <c r="O656" s="252"/>
      <c r="P656" s="252"/>
      <c r="Q656" s="252"/>
      <c r="R656" s="252"/>
      <c r="S656" s="252"/>
    </row>
    <row r="657" spans="1:19" x14ac:dyDescent="0.25">
      <c r="A657" s="252"/>
      <c r="B657" s="252"/>
      <c r="C657" s="252"/>
      <c r="D657" s="252"/>
      <c r="E657" s="252"/>
      <c r="F657" s="252"/>
      <c r="G657" s="252"/>
      <c r="H657" s="252"/>
      <c r="I657" s="252"/>
      <c r="J657" s="252"/>
      <c r="K657" s="252"/>
      <c r="L657" s="252"/>
      <c r="M657" s="252"/>
      <c r="N657" s="252"/>
      <c r="O657" s="252"/>
      <c r="P657" s="252"/>
      <c r="Q657" s="252"/>
      <c r="R657" s="252"/>
      <c r="S657" s="252"/>
    </row>
    <row r="658" spans="1:19" x14ac:dyDescent="0.25">
      <c r="A658" s="252"/>
      <c r="B658" s="252"/>
      <c r="C658" s="252"/>
      <c r="D658" s="252"/>
      <c r="E658" s="252"/>
      <c r="F658" s="252"/>
      <c r="G658" s="252"/>
      <c r="H658" s="252"/>
      <c r="I658" s="252"/>
      <c r="J658" s="252"/>
      <c r="K658" s="252"/>
      <c r="L658" s="252"/>
      <c r="M658" s="252"/>
      <c r="N658" s="252"/>
      <c r="O658" s="252"/>
      <c r="P658" s="252"/>
      <c r="Q658" s="252"/>
      <c r="R658" s="252"/>
      <c r="S658" s="252"/>
    </row>
    <row r="659" spans="1:19" x14ac:dyDescent="0.25">
      <c r="A659" s="252"/>
      <c r="B659" s="252"/>
      <c r="C659" s="252"/>
      <c r="D659" s="252"/>
      <c r="E659" s="252"/>
      <c r="F659" s="252"/>
      <c r="G659" s="252"/>
      <c r="H659" s="252"/>
      <c r="I659" s="252"/>
      <c r="J659" s="252"/>
      <c r="K659" s="252"/>
      <c r="L659" s="252"/>
      <c r="M659" s="252"/>
      <c r="N659" s="252"/>
      <c r="O659" s="252"/>
      <c r="P659" s="252"/>
      <c r="Q659" s="252"/>
      <c r="R659" s="252"/>
      <c r="S659" s="252"/>
    </row>
    <row r="660" spans="1:19" x14ac:dyDescent="0.25">
      <c r="A660" s="252"/>
      <c r="B660" s="252"/>
      <c r="C660" s="252"/>
      <c r="D660" s="252"/>
      <c r="E660" s="252"/>
      <c r="F660" s="252"/>
      <c r="G660" s="252"/>
      <c r="H660" s="252"/>
      <c r="I660" s="252"/>
      <c r="J660" s="252"/>
      <c r="K660" s="252"/>
      <c r="L660" s="252"/>
      <c r="M660" s="252"/>
      <c r="N660" s="252"/>
      <c r="O660" s="252"/>
      <c r="P660" s="252"/>
      <c r="Q660" s="252"/>
      <c r="R660" s="252"/>
      <c r="S660" s="252"/>
    </row>
    <row r="661" spans="1:19" x14ac:dyDescent="0.25">
      <c r="A661" s="252"/>
      <c r="B661" s="252"/>
      <c r="C661" s="252"/>
      <c r="D661" s="252"/>
      <c r="E661" s="252"/>
      <c r="F661" s="252"/>
      <c r="G661" s="252"/>
      <c r="H661" s="252"/>
      <c r="I661" s="252"/>
      <c r="J661" s="252"/>
      <c r="K661" s="252"/>
      <c r="L661" s="252"/>
      <c r="M661" s="252"/>
      <c r="N661" s="252"/>
      <c r="O661" s="252"/>
      <c r="P661" s="252"/>
      <c r="Q661" s="252"/>
      <c r="R661" s="252"/>
      <c r="S661" s="252"/>
    </row>
    <row r="662" spans="1:19" x14ac:dyDescent="0.25">
      <c r="A662" s="252"/>
      <c r="B662" s="252"/>
      <c r="C662" s="252"/>
      <c r="D662" s="252"/>
      <c r="E662" s="252"/>
      <c r="F662" s="252"/>
      <c r="G662" s="252"/>
      <c r="H662" s="252"/>
      <c r="I662" s="252"/>
      <c r="J662" s="252"/>
      <c r="K662" s="252"/>
      <c r="L662" s="252"/>
      <c r="M662" s="252"/>
      <c r="N662" s="252"/>
      <c r="O662" s="252"/>
      <c r="P662" s="252"/>
      <c r="Q662" s="252"/>
      <c r="R662" s="252"/>
      <c r="S662" s="252"/>
    </row>
    <row r="663" spans="1:19" x14ac:dyDescent="0.25">
      <c r="A663" s="252"/>
      <c r="B663" s="252"/>
      <c r="C663" s="252"/>
      <c r="D663" s="252"/>
      <c r="E663" s="252"/>
      <c r="F663" s="252"/>
      <c r="G663" s="252"/>
      <c r="H663" s="252"/>
      <c r="I663" s="252"/>
      <c r="J663" s="252"/>
      <c r="K663" s="252"/>
      <c r="L663" s="252"/>
      <c r="M663" s="252"/>
      <c r="N663" s="252"/>
      <c r="O663" s="252"/>
      <c r="P663" s="252"/>
      <c r="Q663" s="252"/>
      <c r="R663" s="252"/>
      <c r="S663" s="252"/>
    </row>
    <row r="664" spans="1:19" x14ac:dyDescent="0.25">
      <c r="A664" s="252"/>
      <c r="B664" s="252"/>
      <c r="C664" s="252"/>
      <c r="D664" s="252"/>
      <c r="E664" s="252"/>
      <c r="F664" s="252"/>
      <c r="G664" s="252"/>
      <c r="H664" s="252"/>
      <c r="I664" s="252"/>
      <c r="J664" s="252"/>
      <c r="K664" s="252"/>
      <c r="L664" s="252"/>
      <c r="M664" s="252"/>
      <c r="N664" s="252"/>
      <c r="O664" s="252"/>
      <c r="P664" s="252"/>
      <c r="Q664" s="252"/>
      <c r="R664" s="252"/>
      <c r="S664" s="252"/>
    </row>
    <row r="665" spans="1:19" x14ac:dyDescent="0.25">
      <c r="A665" s="252"/>
      <c r="B665" s="252"/>
      <c r="C665" s="252"/>
      <c r="D665" s="252"/>
      <c r="E665" s="252"/>
      <c r="F665" s="252"/>
      <c r="G665" s="252"/>
      <c r="H665" s="252"/>
      <c r="I665" s="252"/>
      <c r="J665" s="252"/>
      <c r="K665" s="252"/>
      <c r="L665" s="252"/>
      <c r="M665" s="252"/>
      <c r="N665" s="252"/>
      <c r="O665" s="252"/>
      <c r="P665" s="252"/>
      <c r="Q665" s="252"/>
      <c r="R665" s="252"/>
      <c r="S665" s="252"/>
    </row>
    <row r="666" spans="1:19" x14ac:dyDescent="0.25">
      <c r="A666" s="252"/>
      <c r="B666" s="252"/>
      <c r="C666" s="252"/>
      <c r="D666" s="252"/>
      <c r="E666" s="252"/>
      <c r="F666" s="252"/>
      <c r="G666" s="252"/>
      <c r="H666" s="252"/>
      <c r="I666" s="252"/>
      <c r="J666" s="252"/>
      <c r="K666" s="252"/>
      <c r="L666" s="252"/>
      <c r="M666" s="252"/>
      <c r="N666" s="252"/>
      <c r="O666" s="252"/>
      <c r="P666" s="252"/>
      <c r="Q666" s="252"/>
      <c r="R666" s="252"/>
      <c r="S666" s="252"/>
    </row>
    <row r="667" spans="1:19" x14ac:dyDescent="0.25">
      <c r="A667" s="252"/>
      <c r="B667" s="252"/>
      <c r="C667" s="252"/>
      <c r="D667" s="252"/>
      <c r="E667" s="252"/>
      <c r="F667" s="252"/>
      <c r="G667" s="252"/>
      <c r="H667" s="252"/>
      <c r="I667" s="252"/>
      <c r="J667" s="252"/>
      <c r="K667" s="252"/>
      <c r="L667" s="252"/>
      <c r="M667" s="252"/>
      <c r="N667" s="252"/>
      <c r="O667" s="252"/>
      <c r="P667" s="252"/>
      <c r="Q667" s="252"/>
      <c r="R667" s="252"/>
      <c r="S667" s="252"/>
    </row>
    <row r="668" spans="1:19" x14ac:dyDescent="0.25">
      <c r="A668" s="252"/>
      <c r="B668" s="252"/>
      <c r="C668" s="252"/>
      <c r="D668" s="252"/>
      <c r="E668" s="252"/>
      <c r="F668" s="252"/>
      <c r="G668" s="252"/>
      <c r="H668" s="252"/>
      <c r="I668" s="252"/>
      <c r="J668" s="252"/>
      <c r="K668" s="252"/>
      <c r="L668" s="252"/>
      <c r="M668" s="252"/>
      <c r="N668" s="252"/>
      <c r="O668" s="252"/>
      <c r="P668" s="252"/>
      <c r="Q668" s="252"/>
      <c r="R668" s="252"/>
      <c r="S668" s="252"/>
    </row>
    <row r="669" spans="1:19" x14ac:dyDescent="0.25">
      <c r="A669" s="252"/>
      <c r="B669" s="252"/>
      <c r="C669" s="252"/>
      <c r="D669" s="252"/>
      <c r="E669" s="252"/>
      <c r="F669" s="252"/>
      <c r="G669" s="252"/>
      <c r="H669" s="252"/>
      <c r="I669" s="252"/>
      <c r="J669" s="252"/>
      <c r="K669" s="252"/>
      <c r="L669" s="252"/>
      <c r="M669" s="252"/>
      <c r="N669" s="252"/>
      <c r="O669" s="252"/>
      <c r="P669" s="252"/>
      <c r="Q669" s="252"/>
      <c r="R669" s="252"/>
      <c r="S669" s="252"/>
    </row>
    <row r="670" spans="1:19" x14ac:dyDescent="0.25">
      <c r="A670" s="252"/>
      <c r="B670" s="252"/>
      <c r="C670" s="252"/>
      <c r="D670" s="252"/>
      <c r="E670" s="252"/>
      <c r="F670" s="252"/>
      <c r="G670" s="252"/>
      <c r="H670" s="252"/>
      <c r="I670" s="252"/>
      <c r="J670" s="252"/>
      <c r="K670" s="252"/>
      <c r="L670" s="252"/>
      <c r="M670" s="252"/>
      <c r="N670" s="252"/>
      <c r="O670" s="252"/>
      <c r="P670" s="252"/>
      <c r="Q670" s="252"/>
      <c r="R670" s="252"/>
      <c r="S670" s="252"/>
    </row>
    <row r="671" spans="1:19" x14ac:dyDescent="0.25">
      <c r="A671" s="252"/>
      <c r="B671" s="252"/>
      <c r="C671" s="252"/>
      <c r="D671" s="252"/>
      <c r="E671" s="252"/>
      <c r="F671" s="252"/>
      <c r="G671" s="252"/>
      <c r="H671" s="252"/>
      <c r="I671" s="252"/>
      <c r="J671" s="252"/>
      <c r="K671" s="252"/>
      <c r="L671" s="252"/>
      <c r="M671" s="252"/>
      <c r="N671" s="252"/>
      <c r="O671" s="252"/>
      <c r="P671" s="252"/>
      <c r="Q671" s="252"/>
      <c r="R671" s="252"/>
      <c r="S671" s="252"/>
    </row>
    <row r="672" spans="1:19" x14ac:dyDescent="0.25">
      <c r="A672" s="252"/>
      <c r="B672" s="252"/>
      <c r="C672" s="252"/>
      <c r="D672" s="252"/>
      <c r="E672" s="252"/>
      <c r="F672" s="252"/>
      <c r="G672" s="252"/>
      <c r="H672" s="252"/>
      <c r="I672" s="252"/>
      <c r="J672" s="252"/>
      <c r="K672" s="252"/>
      <c r="L672" s="252"/>
      <c r="M672" s="252"/>
      <c r="N672" s="252"/>
      <c r="O672" s="252"/>
      <c r="P672" s="252"/>
      <c r="Q672" s="252"/>
      <c r="R672" s="252"/>
      <c r="S672" s="252"/>
    </row>
    <row r="673" spans="1:19" x14ac:dyDescent="0.25">
      <c r="A673" s="252"/>
      <c r="B673" s="252"/>
      <c r="C673" s="252"/>
      <c r="D673" s="252"/>
      <c r="E673" s="252"/>
      <c r="F673" s="252"/>
      <c r="G673" s="252"/>
      <c r="H673" s="252"/>
      <c r="I673" s="252"/>
      <c r="J673" s="252"/>
      <c r="K673" s="252"/>
      <c r="L673" s="252"/>
      <c r="M673" s="252"/>
      <c r="N673" s="252"/>
      <c r="O673" s="252"/>
      <c r="P673" s="252"/>
      <c r="Q673" s="252"/>
      <c r="R673" s="252"/>
      <c r="S673" s="252"/>
    </row>
    <row r="674" spans="1:19" x14ac:dyDescent="0.25">
      <c r="A674" s="252"/>
      <c r="B674" s="252"/>
      <c r="C674" s="252"/>
      <c r="D674" s="252"/>
      <c r="E674" s="252"/>
      <c r="F674" s="252"/>
      <c r="G674" s="252"/>
      <c r="H674" s="252"/>
      <c r="I674" s="252"/>
      <c r="J674" s="252"/>
      <c r="K674" s="252"/>
      <c r="L674" s="252"/>
      <c r="M674" s="252"/>
      <c r="N674" s="252"/>
      <c r="O674" s="252"/>
      <c r="P674" s="252"/>
      <c r="Q674" s="252"/>
      <c r="R674" s="252"/>
      <c r="S674" s="252"/>
    </row>
    <row r="675" spans="1:19" x14ac:dyDescent="0.25">
      <c r="A675" s="252"/>
      <c r="B675" s="252"/>
      <c r="C675" s="252"/>
      <c r="D675" s="252"/>
      <c r="E675" s="252"/>
      <c r="F675" s="252"/>
      <c r="G675" s="252"/>
      <c r="H675" s="252"/>
      <c r="I675" s="252"/>
      <c r="J675" s="252"/>
      <c r="K675" s="252"/>
      <c r="L675" s="252"/>
      <c r="M675" s="252"/>
      <c r="N675" s="252"/>
      <c r="O675" s="252"/>
      <c r="P675" s="252"/>
      <c r="Q675" s="252"/>
      <c r="R675" s="252"/>
      <c r="S675" s="252"/>
    </row>
    <row r="676" spans="1:19" x14ac:dyDescent="0.25">
      <c r="A676" s="252"/>
      <c r="B676" s="252"/>
      <c r="C676" s="252"/>
      <c r="D676" s="252"/>
      <c r="E676" s="252"/>
      <c r="F676" s="252"/>
      <c r="G676" s="252"/>
      <c r="H676" s="252"/>
      <c r="I676" s="252"/>
      <c r="J676" s="252"/>
      <c r="K676" s="252"/>
      <c r="L676" s="252"/>
      <c r="M676" s="252"/>
      <c r="N676" s="252"/>
      <c r="O676" s="252"/>
      <c r="P676" s="252"/>
      <c r="Q676" s="252"/>
      <c r="R676" s="252"/>
      <c r="S676" s="252"/>
    </row>
    <row r="677" spans="1:19" x14ac:dyDescent="0.25">
      <c r="A677" s="252"/>
      <c r="B677" s="252"/>
      <c r="C677" s="252"/>
      <c r="D677" s="252"/>
      <c r="E677" s="252"/>
      <c r="F677" s="252"/>
      <c r="G677" s="252"/>
      <c r="H677" s="252"/>
      <c r="I677" s="252"/>
      <c r="J677" s="252"/>
      <c r="K677" s="252"/>
      <c r="L677" s="252"/>
      <c r="M677" s="252"/>
      <c r="N677" s="252"/>
      <c r="O677" s="252"/>
      <c r="P677" s="252"/>
      <c r="Q677" s="252"/>
      <c r="R677" s="252"/>
      <c r="S677" s="252"/>
    </row>
    <row r="678" spans="1:19" x14ac:dyDescent="0.25">
      <c r="A678" s="252"/>
      <c r="B678" s="252"/>
      <c r="C678" s="252"/>
      <c r="D678" s="252"/>
      <c r="E678" s="252"/>
      <c r="F678" s="252"/>
      <c r="G678" s="252"/>
      <c r="H678" s="252"/>
      <c r="I678" s="252"/>
      <c r="J678" s="252"/>
      <c r="K678" s="252"/>
      <c r="L678" s="252"/>
      <c r="M678" s="252"/>
      <c r="N678" s="252"/>
      <c r="O678" s="252"/>
      <c r="P678" s="252"/>
      <c r="Q678" s="252"/>
      <c r="R678" s="252"/>
      <c r="S678" s="252"/>
    </row>
    <row r="679" spans="1:19" x14ac:dyDescent="0.25">
      <c r="A679" s="252"/>
      <c r="B679" s="252"/>
      <c r="C679" s="252"/>
      <c r="D679" s="252"/>
      <c r="E679" s="252"/>
      <c r="F679" s="252"/>
      <c r="G679" s="252"/>
      <c r="H679" s="252"/>
      <c r="I679" s="252"/>
      <c r="J679" s="252"/>
      <c r="K679" s="252"/>
      <c r="L679" s="252"/>
      <c r="M679" s="252"/>
      <c r="N679" s="252"/>
      <c r="O679" s="252"/>
      <c r="P679" s="252"/>
      <c r="Q679" s="252"/>
      <c r="R679" s="252"/>
      <c r="S679" s="252"/>
    </row>
    <row r="680" spans="1:19" x14ac:dyDescent="0.25">
      <c r="A680" s="252"/>
      <c r="B680" s="252"/>
      <c r="C680" s="252"/>
      <c r="D680" s="252"/>
      <c r="E680" s="252"/>
      <c r="F680" s="252"/>
      <c r="G680" s="252"/>
      <c r="H680" s="252"/>
      <c r="I680" s="252"/>
      <c r="J680" s="252"/>
      <c r="K680" s="252"/>
      <c r="L680" s="252"/>
      <c r="M680" s="252"/>
      <c r="N680" s="252"/>
      <c r="O680" s="252"/>
      <c r="P680" s="252"/>
      <c r="Q680" s="252"/>
      <c r="R680" s="252"/>
      <c r="S680" s="252"/>
    </row>
    <row r="681" spans="1:19" x14ac:dyDescent="0.25">
      <c r="A681" s="252"/>
      <c r="B681" s="252"/>
      <c r="C681" s="252"/>
      <c r="D681" s="252"/>
      <c r="E681" s="252"/>
      <c r="F681" s="252"/>
      <c r="G681" s="252"/>
      <c r="H681" s="252"/>
      <c r="I681" s="252"/>
      <c r="J681" s="252"/>
      <c r="K681" s="252"/>
      <c r="L681" s="252"/>
      <c r="M681" s="252"/>
      <c r="N681" s="252"/>
      <c r="O681" s="252"/>
      <c r="P681" s="252"/>
      <c r="Q681" s="252"/>
      <c r="R681" s="252"/>
      <c r="S681" s="252"/>
    </row>
    <row r="682" spans="1:19" x14ac:dyDescent="0.25">
      <c r="A682" s="252"/>
      <c r="B682" s="252"/>
      <c r="C682" s="252"/>
      <c r="D682" s="252"/>
      <c r="E682" s="252"/>
      <c r="F682" s="252"/>
      <c r="G682" s="252"/>
      <c r="H682" s="252"/>
      <c r="I682" s="252"/>
      <c r="J682" s="252"/>
      <c r="K682" s="252"/>
      <c r="L682" s="252"/>
      <c r="M682" s="252"/>
      <c r="N682" s="252"/>
      <c r="O682" s="252"/>
      <c r="P682" s="252"/>
      <c r="Q682" s="252"/>
      <c r="R682" s="252"/>
      <c r="S682" s="252"/>
    </row>
    <row r="683" spans="1:19" ht="30" x14ac:dyDescent="0.25">
      <c r="A683" s="252"/>
      <c r="B683" s="252"/>
      <c r="C683" s="252"/>
      <c r="D683" s="252"/>
      <c r="E683" s="252"/>
      <c r="F683" s="252"/>
      <c r="G683" s="252"/>
      <c r="H683" s="252"/>
      <c r="I683" s="252"/>
      <c r="J683" s="252"/>
      <c r="K683" s="252"/>
      <c r="L683" s="252"/>
      <c r="M683" s="252"/>
      <c r="N683" s="252"/>
      <c r="O683" s="253" t="s">
        <v>626</v>
      </c>
      <c r="P683" s="252"/>
      <c r="Q683" s="252"/>
      <c r="R683" s="252"/>
      <c r="S683" s="252"/>
    </row>
    <row r="684" spans="1:19" x14ac:dyDescent="0.25">
      <c r="A684" s="252"/>
      <c r="B684" s="252"/>
      <c r="C684" s="252"/>
      <c r="D684" s="252"/>
      <c r="E684" s="252"/>
      <c r="F684" s="252"/>
      <c r="G684" s="252"/>
      <c r="H684" s="252"/>
      <c r="I684" s="252"/>
      <c r="J684" s="252"/>
      <c r="K684" s="252"/>
      <c r="L684" s="252"/>
      <c r="M684" s="252"/>
      <c r="N684" s="252"/>
      <c r="O684" s="253" t="s">
        <v>627</v>
      </c>
      <c r="P684" s="252"/>
      <c r="Q684" s="252"/>
      <c r="R684" s="252"/>
      <c r="S684" s="252"/>
    </row>
    <row r="685" spans="1:19" x14ac:dyDescent="0.25">
      <c r="A685" s="252"/>
      <c r="B685" s="252"/>
      <c r="C685" s="252"/>
      <c r="D685" s="252"/>
      <c r="E685" s="252"/>
      <c r="F685" s="252"/>
      <c r="G685" s="252"/>
      <c r="H685" s="252"/>
      <c r="I685" s="252"/>
      <c r="J685" s="252"/>
      <c r="K685" s="252"/>
      <c r="L685" s="252"/>
      <c r="M685" s="252"/>
      <c r="N685" s="252"/>
      <c r="O685" s="253" t="s">
        <v>628</v>
      </c>
      <c r="P685" s="252"/>
      <c r="Q685" s="252"/>
      <c r="R685" s="252"/>
      <c r="S685" s="252"/>
    </row>
    <row r="686" spans="1:19" ht="30" x14ac:dyDescent="0.25">
      <c r="A686" s="252"/>
      <c r="B686" s="252"/>
      <c r="C686" s="252"/>
      <c r="D686" s="252"/>
      <c r="E686" s="252"/>
      <c r="F686" s="252"/>
      <c r="G686" s="252"/>
      <c r="H686" s="252"/>
      <c r="I686" s="252"/>
      <c r="J686" s="252"/>
      <c r="K686" s="252"/>
      <c r="L686" s="252"/>
      <c r="M686" s="252"/>
      <c r="N686" s="252"/>
      <c r="O686" s="253" t="s">
        <v>629</v>
      </c>
      <c r="P686" s="252"/>
      <c r="Q686" s="252"/>
      <c r="R686" s="252"/>
      <c r="S686" s="252"/>
    </row>
    <row r="687" spans="1:19" ht="30" x14ac:dyDescent="0.25">
      <c r="A687" s="252"/>
      <c r="B687" s="252"/>
      <c r="C687" s="252"/>
      <c r="D687" s="252"/>
      <c r="E687" s="252"/>
      <c r="F687" s="252"/>
      <c r="G687" s="252"/>
      <c r="H687" s="252"/>
      <c r="I687" s="252"/>
      <c r="J687" s="252"/>
      <c r="K687" s="252"/>
      <c r="L687" s="252"/>
      <c r="M687" s="252"/>
      <c r="N687" s="252"/>
      <c r="O687" s="253" t="s">
        <v>630</v>
      </c>
      <c r="P687" s="252"/>
      <c r="Q687" s="252"/>
      <c r="R687" s="252"/>
      <c r="S687" s="252"/>
    </row>
    <row r="688" spans="1:19" ht="30" x14ac:dyDescent="0.25">
      <c r="A688" s="252"/>
      <c r="B688" s="252"/>
      <c r="C688" s="252"/>
      <c r="D688" s="252"/>
      <c r="E688" s="252"/>
      <c r="F688" s="252"/>
      <c r="G688" s="252"/>
      <c r="H688" s="252"/>
      <c r="I688" s="252"/>
      <c r="J688" s="252"/>
      <c r="K688" s="252"/>
      <c r="L688" s="252"/>
      <c r="M688" s="252"/>
      <c r="N688" s="252"/>
      <c r="O688" s="253" t="s">
        <v>631</v>
      </c>
      <c r="P688" s="252"/>
      <c r="Q688" s="252"/>
      <c r="R688" s="252"/>
      <c r="S688" s="252"/>
    </row>
    <row r="689" spans="1:19" ht="30" x14ac:dyDescent="0.25">
      <c r="A689" s="252"/>
      <c r="B689" s="252"/>
      <c r="C689" s="252"/>
      <c r="D689" s="252"/>
      <c r="E689" s="252"/>
      <c r="F689" s="252"/>
      <c r="G689" s="252"/>
      <c r="H689" s="252"/>
      <c r="I689" s="252"/>
      <c r="J689" s="252"/>
      <c r="K689" s="252"/>
      <c r="L689" s="252"/>
      <c r="M689" s="252"/>
      <c r="N689" s="252"/>
      <c r="O689" s="253" t="s">
        <v>632</v>
      </c>
      <c r="P689" s="252"/>
      <c r="Q689" s="252"/>
      <c r="R689" s="252"/>
      <c r="S689" s="252"/>
    </row>
    <row r="690" spans="1:19" ht="30" x14ac:dyDescent="0.25">
      <c r="A690" s="252"/>
      <c r="B690" s="252"/>
      <c r="C690" s="252"/>
      <c r="D690" s="252"/>
      <c r="E690" s="252"/>
      <c r="F690" s="252"/>
      <c r="G690" s="252"/>
      <c r="H690" s="252"/>
      <c r="I690" s="252"/>
      <c r="J690" s="252"/>
      <c r="K690" s="252"/>
      <c r="L690" s="252"/>
      <c r="M690" s="252"/>
      <c r="N690" s="252"/>
      <c r="O690" s="253" t="s">
        <v>633</v>
      </c>
      <c r="P690" s="252"/>
      <c r="Q690" s="252"/>
      <c r="R690" s="252"/>
      <c r="S690" s="252"/>
    </row>
    <row r="691" spans="1:19" ht="60" x14ac:dyDescent="0.25">
      <c r="A691" s="252"/>
      <c r="B691" s="252"/>
      <c r="C691" s="252"/>
      <c r="D691" s="252"/>
      <c r="E691" s="252"/>
      <c r="F691" s="252"/>
      <c r="G691" s="252"/>
      <c r="H691" s="252"/>
      <c r="I691" s="252"/>
      <c r="J691" s="252"/>
      <c r="K691" s="252"/>
      <c r="L691" s="252"/>
      <c r="M691" s="252"/>
      <c r="N691" s="252"/>
      <c r="O691" s="253" t="s">
        <v>634</v>
      </c>
      <c r="P691" s="252"/>
      <c r="Q691" s="252"/>
      <c r="R691" s="252"/>
      <c r="S691" s="252"/>
    </row>
    <row r="692" spans="1:19" x14ac:dyDescent="0.25">
      <c r="A692" s="252"/>
      <c r="B692" s="252"/>
      <c r="C692" s="252"/>
      <c r="D692" s="252"/>
      <c r="E692" s="252"/>
      <c r="F692" s="252"/>
      <c r="G692" s="252"/>
      <c r="H692" s="252"/>
      <c r="I692" s="252"/>
      <c r="J692" s="252"/>
      <c r="K692" s="252"/>
      <c r="L692" s="252"/>
      <c r="M692" s="252"/>
      <c r="N692" s="252"/>
      <c r="O692" s="253" t="s">
        <v>635</v>
      </c>
      <c r="P692" s="252"/>
      <c r="Q692" s="252"/>
      <c r="R692" s="252"/>
      <c r="S692" s="252"/>
    </row>
    <row r="693" spans="1:19" ht="30" x14ac:dyDescent="0.25">
      <c r="A693" s="252"/>
      <c r="B693" s="252"/>
      <c r="C693" s="252"/>
      <c r="D693" s="252"/>
      <c r="E693" s="252"/>
      <c r="F693" s="252"/>
      <c r="G693" s="252"/>
      <c r="H693" s="252"/>
      <c r="I693" s="252"/>
      <c r="J693" s="252"/>
      <c r="K693" s="252"/>
      <c r="L693" s="252"/>
      <c r="M693" s="252"/>
      <c r="N693" s="252"/>
      <c r="O693" s="253" t="s">
        <v>636</v>
      </c>
      <c r="P693" s="252"/>
      <c r="Q693" s="252"/>
      <c r="R693" s="252"/>
      <c r="S693" s="252"/>
    </row>
    <row r="694" spans="1:19" x14ac:dyDescent="0.25">
      <c r="A694" s="252"/>
      <c r="B694" s="252"/>
      <c r="C694" s="252"/>
      <c r="D694" s="252"/>
      <c r="E694" s="252"/>
      <c r="F694" s="252"/>
      <c r="G694" s="252"/>
      <c r="H694" s="252"/>
      <c r="I694" s="252"/>
      <c r="J694" s="252"/>
      <c r="K694" s="252"/>
      <c r="L694" s="252"/>
      <c r="M694" s="252"/>
      <c r="N694" s="252"/>
      <c r="O694" s="253" t="s">
        <v>637</v>
      </c>
      <c r="P694" s="252"/>
      <c r="Q694" s="252"/>
      <c r="R694" s="252"/>
      <c r="S694" s="252"/>
    </row>
    <row r="695" spans="1:19" x14ac:dyDescent="0.25">
      <c r="A695" s="252"/>
      <c r="B695" s="252"/>
      <c r="C695" s="252"/>
      <c r="D695" s="252"/>
      <c r="E695" s="252"/>
      <c r="F695" s="252"/>
      <c r="G695" s="252"/>
      <c r="H695" s="252"/>
      <c r="I695" s="252"/>
      <c r="J695" s="252"/>
      <c r="K695" s="252"/>
      <c r="L695" s="252"/>
      <c r="M695" s="252"/>
      <c r="N695" s="252"/>
      <c r="O695" s="253" t="s">
        <v>638</v>
      </c>
      <c r="P695" s="252"/>
      <c r="Q695" s="252"/>
      <c r="R695" s="252"/>
      <c r="S695" s="252"/>
    </row>
    <row r="696" spans="1:19" x14ac:dyDescent="0.25">
      <c r="A696" s="252"/>
      <c r="B696" s="252"/>
      <c r="C696" s="252"/>
      <c r="D696" s="252"/>
      <c r="E696" s="252"/>
      <c r="F696" s="252"/>
      <c r="G696" s="252"/>
      <c r="H696" s="252"/>
      <c r="I696" s="252"/>
      <c r="J696" s="252"/>
      <c r="K696" s="252"/>
      <c r="L696" s="252"/>
      <c r="M696" s="252"/>
      <c r="N696" s="252"/>
      <c r="O696" s="253" t="s">
        <v>639</v>
      </c>
      <c r="P696" s="252"/>
      <c r="Q696" s="252"/>
      <c r="R696" s="252"/>
      <c r="S696" s="252"/>
    </row>
    <row r="697" spans="1:19" x14ac:dyDescent="0.25">
      <c r="A697" s="252"/>
      <c r="B697" s="252"/>
      <c r="C697" s="252"/>
      <c r="D697" s="252"/>
      <c r="E697" s="252"/>
      <c r="F697" s="252"/>
      <c r="G697" s="252"/>
      <c r="H697" s="252"/>
      <c r="I697" s="252"/>
      <c r="J697" s="252"/>
      <c r="K697" s="252"/>
      <c r="L697" s="252"/>
      <c r="M697" s="252"/>
      <c r="N697" s="252"/>
      <c r="O697" s="253" t="s">
        <v>640</v>
      </c>
      <c r="P697" s="252"/>
      <c r="Q697" s="252"/>
      <c r="R697" s="252"/>
      <c r="S697" s="252"/>
    </row>
    <row r="698" spans="1:19" x14ac:dyDescent="0.25">
      <c r="A698" s="252"/>
      <c r="B698" s="252"/>
      <c r="C698" s="252"/>
      <c r="D698" s="252"/>
      <c r="E698" s="252"/>
      <c r="F698" s="252"/>
      <c r="G698" s="252"/>
      <c r="H698" s="252"/>
      <c r="I698" s="252"/>
      <c r="J698" s="252"/>
      <c r="K698" s="252"/>
      <c r="L698" s="252"/>
      <c r="M698" s="252"/>
      <c r="N698" s="252"/>
      <c r="O698" s="253" t="s">
        <v>641</v>
      </c>
      <c r="P698" s="252"/>
      <c r="Q698" s="252"/>
      <c r="R698" s="252"/>
      <c r="S698" s="252"/>
    </row>
    <row r="699" spans="1:19" x14ac:dyDescent="0.25">
      <c r="A699" s="252"/>
      <c r="B699" s="252"/>
      <c r="C699" s="252"/>
      <c r="D699" s="252"/>
      <c r="E699" s="252"/>
      <c r="F699" s="252"/>
      <c r="G699" s="252"/>
      <c r="H699" s="252"/>
      <c r="I699" s="252"/>
      <c r="J699" s="252"/>
      <c r="K699" s="252"/>
      <c r="L699" s="252"/>
      <c r="M699" s="252"/>
      <c r="N699" s="252"/>
      <c r="O699" s="253" t="s">
        <v>642</v>
      </c>
      <c r="P699" s="252"/>
      <c r="Q699" s="252"/>
      <c r="R699" s="252"/>
      <c r="S699" s="252"/>
    </row>
    <row r="700" spans="1:19" ht="30" x14ac:dyDescent="0.25">
      <c r="A700" s="252"/>
      <c r="B700" s="252"/>
      <c r="C700" s="252"/>
      <c r="D700" s="252"/>
      <c r="E700" s="252"/>
      <c r="F700" s="252"/>
      <c r="G700" s="252"/>
      <c r="H700" s="252"/>
      <c r="I700" s="252"/>
      <c r="J700" s="252"/>
      <c r="K700" s="252"/>
      <c r="L700" s="252"/>
      <c r="M700" s="252"/>
      <c r="N700" s="252"/>
      <c r="O700" s="253" t="s">
        <v>643</v>
      </c>
      <c r="P700" s="252"/>
      <c r="Q700" s="252"/>
      <c r="R700" s="252"/>
      <c r="S700" s="252"/>
    </row>
    <row r="701" spans="1:19" ht="30" x14ac:dyDescent="0.25">
      <c r="A701" s="252"/>
      <c r="B701" s="252"/>
      <c r="C701" s="252"/>
      <c r="D701" s="252"/>
      <c r="E701" s="252"/>
      <c r="F701" s="252"/>
      <c r="G701" s="252"/>
      <c r="H701" s="252"/>
      <c r="I701" s="252"/>
      <c r="J701" s="252"/>
      <c r="K701" s="252"/>
      <c r="L701" s="252"/>
      <c r="M701" s="252"/>
      <c r="N701" s="252"/>
      <c r="O701" s="253" t="s">
        <v>644</v>
      </c>
      <c r="P701" s="252"/>
      <c r="Q701" s="252"/>
      <c r="R701" s="252"/>
      <c r="S701" s="252"/>
    </row>
    <row r="702" spans="1:19" x14ac:dyDescent="0.25">
      <c r="A702" s="252"/>
      <c r="B702" s="252"/>
      <c r="C702" s="252"/>
      <c r="D702" s="252"/>
      <c r="E702" s="252"/>
      <c r="F702" s="252"/>
      <c r="G702" s="252"/>
      <c r="H702" s="252"/>
      <c r="I702" s="252"/>
      <c r="J702" s="252"/>
      <c r="K702" s="252"/>
      <c r="L702" s="252"/>
      <c r="M702" s="252"/>
      <c r="N702" s="252"/>
      <c r="O702" s="253" t="s">
        <v>645</v>
      </c>
      <c r="P702" s="252"/>
      <c r="Q702" s="252"/>
      <c r="R702" s="252"/>
      <c r="S702" s="252"/>
    </row>
    <row r="703" spans="1:19" ht="30" x14ac:dyDescent="0.25">
      <c r="A703" s="252"/>
      <c r="B703" s="252"/>
      <c r="C703" s="252"/>
      <c r="D703" s="252"/>
      <c r="E703" s="252"/>
      <c r="F703" s="252"/>
      <c r="G703" s="252"/>
      <c r="H703" s="252"/>
      <c r="I703" s="252"/>
      <c r="J703" s="252"/>
      <c r="K703" s="252"/>
      <c r="L703" s="252"/>
      <c r="M703" s="252"/>
      <c r="N703" s="252"/>
      <c r="O703" s="253" t="s">
        <v>646</v>
      </c>
      <c r="P703" s="252"/>
      <c r="Q703" s="252"/>
      <c r="R703" s="252"/>
      <c r="S703" s="252"/>
    </row>
    <row r="704" spans="1:19" ht="45" x14ac:dyDescent="0.25">
      <c r="A704" s="252"/>
      <c r="B704" s="252"/>
      <c r="C704" s="252"/>
      <c r="D704" s="252"/>
      <c r="E704" s="252"/>
      <c r="F704" s="252"/>
      <c r="G704" s="252"/>
      <c r="H704" s="252"/>
      <c r="I704" s="252"/>
      <c r="J704" s="252"/>
      <c r="K704" s="252"/>
      <c r="L704" s="252"/>
      <c r="M704" s="252"/>
      <c r="N704" s="252"/>
      <c r="O704" s="253" t="s">
        <v>647</v>
      </c>
      <c r="P704" s="252"/>
      <c r="Q704" s="252"/>
      <c r="R704" s="252"/>
      <c r="S704" s="252"/>
    </row>
    <row r="705" spans="1:19" ht="30" x14ac:dyDescent="0.25">
      <c r="A705" s="252"/>
      <c r="B705" s="252"/>
      <c r="C705" s="252"/>
      <c r="D705" s="252"/>
      <c r="E705" s="252"/>
      <c r="F705" s="252"/>
      <c r="G705" s="252"/>
      <c r="H705" s="252"/>
      <c r="I705" s="252"/>
      <c r="J705" s="252"/>
      <c r="K705" s="252"/>
      <c r="L705" s="252"/>
      <c r="M705" s="252"/>
      <c r="N705" s="252"/>
      <c r="O705" s="253" t="s">
        <v>648</v>
      </c>
      <c r="P705" s="252"/>
      <c r="Q705" s="252"/>
      <c r="R705" s="252"/>
      <c r="S705" s="252"/>
    </row>
    <row r="706" spans="1:19" ht="30" x14ac:dyDescent="0.25">
      <c r="A706" s="252"/>
      <c r="B706" s="252"/>
      <c r="C706" s="252"/>
      <c r="D706" s="252"/>
      <c r="E706" s="252"/>
      <c r="F706" s="252"/>
      <c r="G706" s="252"/>
      <c r="H706" s="252"/>
      <c r="I706" s="252"/>
      <c r="J706" s="252"/>
      <c r="K706" s="252"/>
      <c r="L706" s="252"/>
      <c r="M706" s="252"/>
      <c r="N706" s="252"/>
      <c r="O706" s="253" t="s">
        <v>649</v>
      </c>
      <c r="P706" s="252"/>
      <c r="Q706" s="252"/>
      <c r="R706" s="252"/>
      <c r="S706" s="252"/>
    </row>
    <row r="707" spans="1:19" ht="30" x14ac:dyDescent="0.25">
      <c r="A707" s="252"/>
      <c r="B707" s="252"/>
      <c r="C707" s="252"/>
      <c r="D707" s="252"/>
      <c r="E707" s="252"/>
      <c r="F707" s="252"/>
      <c r="G707" s="252"/>
      <c r="H707" s="252"/>
      <c r="I707" s="252"/>
      <c r="J707" s="252"/>
      <c r="K707" s="252"/>
      <c r="L707" s="252"/>
      <c r="M707" s="252"/>
      <c r="N707" s="252"/>
      <c r="O707" s="253" t="s">
        <v>650</v>
      </c>
      <c r="P707" s="252"/>
      <c r="Q707" s="252"/>
      <c r="R707" s="252"/>
      <c r="S707" s="252"/>
    </row>
    <row r="708" spans="1:19" ht="30" x14ac:dyDescent="0.25">
      <c r="A708" s="252"/>
      <c r="B708" s="252"/>
      <c r="C708" s="252"/>
      <c r="D708" s="252"/>
      <c r="E708" s="252"/>
      <c r="F708" s="252"/>
      <c r="G708" s="252"/>
      <c r="H708" s="252"/>
      <c r="I708" s="252"/>
      <c r="J708" s="252"/>
      <c r="K708" s="252"/>
      <c r="L708" s="252"/>
      <c r="M708" s="252"/>
      <c r="N708" s="252"/>
      <c r="O708" s="253" t="s">
        <v>651</v>
      </c>
      <c r="P708" s="252"/>
      <c r="Q708" s="252"/>
      <c r="R708" s="252"/>
      <c r="S708" s="252"/>
    </row>
    <row r="709" spans="1:19" ht="30" x14ac:dyDescent="0.25">
      <c r="A709" s="252"/>
      <c r="B709" s="252"/>
      <c r="C709" s="252"/>
      <c r="D709" s="252"/>
      <c r="E709" s="252"/>
      <c r="F709" s="252"/>
      <c r="G709" s="252"/>
      <c r="H709" s="252"/>
      <c r="I709" s="252"/>
      <c r="J709" s="252"/>
      <c r="K709" s="252"/>
      <c r="L709" s="252"/>
      <c r="M709" s="252"/>
      <c r="N709" s="252"/>
      <c r="O709" s="253" t="s">
        <v>652</v>
      </c>
      <c r="P709" s="252"/>
      <c r="Q709" s="252"/>
      <c r="R709" s="252"/>
      <c r="S709" s="252"/>
    </row>
    <row r="710" spans="1:19" ht="30" x14ac:dyDescent="0.25">
      <c r="A710" s="252"/>
      <c r="B710" s="252"/>
      <c r="C710" s="252"/>
      <c r="D710" s="252"/>
      <c r="E710" s="252"/>
      <c r="F710" s="252"/>
      <c r="G710" s="252"/>
      <c r="H710" s="252"/>
      <c r="I710" s="252"/>
      <c r="J710" s="252"/>
      <c r="K710" s="252"/>
      <c r="L710" s="252"/>
      <c r="M710" s="252"/>
      <c r="N710" s="252"/>
      <c r="O710" s="253" t="s">
        <v>653</v>
      </c>
      <c r="P710" s="252"/>
      <c r="Q710" s="252"/>
      <c r="R710" s="252"/>
      <c r="S710" s="252"/>
    </row>
    <row r="711" spans="1:19" x14ac:dyDescent="0.25">
      <c r="A711" s="252"/>
      <c r="B711" s="252"/>
      <c r="C711" s="252"/>
      <c r="D711" s="252"/>
      <c r="E711" s="252"/>
      <c r="F711" s="252"/>
      <c r="G711" s="252"/>
      <c r="H711" s="252"/>
      <c r="I711" s="252"/>
      <c r="J711" s="252"/>
      <c r="K711" s="252"/>
      <c r="L711" s="252"/>
      <c r="M711" s="252"/>
      <c r="N711" s="252"/>
      <c r="O711" s="253" t="s">
        <v>654</v>
      </c>
      <c r="P711" s="252"/>
      <c r="Q711" s="252"/>
      <c r="R711" s="252"/>
      <c r="S711" s="252"/>
    </row>
    <row r="712" spans="1:19" ht="45" x14ac:dyDescent="0.25">
      <c r="A712" s="252"/>
      <c r="B712" s="252"/>
      <c r="C712" s="252"/>
      <c r="D712" s="252"/>
      <c r="E712" s="252"/>
      <c r="F712" s="252"/>
      <c r="G712" s="252"/>
      <c r="H712" s="252"/>
      <c r="I712" s="252"/>
      <c r="J712" s="252"/>
      <c r="K712" s="252"/>
      <c r="L712" s="252"/>
      <c r="M712" s="252"/>
      <c r="N712" s="252"/>
      <c r="O712" s="253" t="s">
        <v>655</v>
      </c>
      <c r="P712" s="252"/>
      <c r="Q712" s="252"/>
      <c r="R712" s="252"/>
      <c r="S712" s="252"/>
    </row>
    <row r="713" spans="1:19" ht="30" x14ac:dyDescent="0.25">
      <c r="A713" s="252"/>
      <c r="B713" s="252"/>
      <c r="C713" s="252"/>
      <c r="D713" s="252"/>
      <c r="E713" s="252"/>
      <c r="F713" s="252"/>
      <c r="G713" s="252"/>
      <c r="H713" s="252"/>
      <c r="I713" s="252"/>
      <c r="J713" s="252"/>
      <c r="K713" s="252"/>
      <c r="L713" s="252"/>
      <c r="M713" s="252"/>
      <c r="N713" s="252"/>
      <c r="O713" s="253" t="s">
        <v>656</v>
      </c>
      <c r="P713" s="252"/>
      <c r="Q713" s="252"/>
      <c r="R713" s="252"/>
      <c r="S713" s="252"/>
    </row>
    <row r="714" spans="1:19" ht="30" x14ac:dyDescent="0.25">
      <c r="A714" s="252"/>
      <c r="B714" s="252"/>
      <c r="C714" s="252"/>
      <c r="D714" s="252"/>
      <c r="E714" s="252"/>
      <c r="F714" s="252"/>
      <c r="G714" s="252"/>
      <c r="H714" s="252"/>
      <c r="I714" s="252"/>
      <c r="J714" s="252"/>
      <c r="K714" s="252"/>
      <c r="L714" s="252"/>
      <c r="M714" s="252"/>
      <c r="N714" s="252"/>
      <c r="O714" s="253" t="s">
        <v>657</v>
      </c>
      <c r="P714" s="252"/>
      <c r="Q714" s="252"/>
      <c r="R714" s="252"/>
      <c r="S714" s="252"/>
    </row>
    <row r="715" spans="1:19" ht="30" x14ac:dyDescent="0.25">
      <c r="A715" s="252"/>
      <c r="B715" s="252"/>
      <c r="C715" s="252"/>
      <c r="D715" s="252"/>
      <c r="E715" s="252"/>
      <c r="F715" s="252"/>
      <c r="G715" s="252"/>
      <c r="H715" s="252"/>
      <c r="I715" s="252"/>
      <c r="J715" s="252"/>
      <c r="K715" s="252"/>
      <c r="L715" s="252"/>
      <c r="M715" s="252"/>
      <c r="N715" s="252"/>
      <c r="O715" s="253" t="s">
        <v>658</v>
      </c>
      <c r="P715" s="252"/>
      <c r="Q715" s="252"/>
      <c r="R715" s="252"/>
      <c r="S715" s="252"/>
    </row>
    <row r="716" spans="1:19" ht="45" x14ac:dyDescent="0.25">
      <c r="A716" s="252"/>
      <c r="B716" s="252"/>
      <c r="C716" s="252"/>
      <c r="D716" s="252"/>
      <c r="E716" s="252"/>
      <c r="F716" s="252"/>
      <c r="G716" s="252"/>
      <c r="H716" s="252"/>
      <c r="I716" s="252"/>
      <c r="J716" s="252"/>
      <c r="K716" s="252"/>
      <c r="L716" s="252"/>
      <c r="M716" s="252"/>
      <c r="N716" s="252"/>
      <c r="O716" s="253" t="s">
        <v>659</v>
      </c>
      <c r="P716" s="252"/>
      <c r="Q716" s="252"/>
      <c r="R716" s="252"/>
      <c r="S716" s="252"/>
    </row>
    <row r="717" spans="1:19" ht="30" x14ac:dyDescent="0.25">
      <c r="A717" s="252"/>
      <c r="B717" s="252"/>
      <c r="C717" s="252"/>
      <c r="D717" s="252"/>
      <c r="E717" s="252"/>
      <c r="F717" s="252"/>
      <c r="G717" s="252"/>
      <c r="H717" s="252"/>
      <c r="I717" s="252"/>
      <c r="J717" s="252"/>
      <c r="K717" s="252"/>
      <c r="L717" s="252"/>
      <c r="M717" s="252"/>
      <c r="N717" s="252"/>
      <c r="O717" s="253" t="s">
        <v>660</v>
      </c>
      <c r="P717" s="252"/>
      <c r="Q717" s="252"/>
      <c r="R717" s="252"/>
      <c r="S717" s="252"/>
    </row>
    <row r="718" spans="1:19" x14ac:dyDescent="0.25">
      <c r="A718" s="252"/>
      <c r="B718" s="252"/>
      <c r="C718" s="252"/>
      <c r="D718" s="252"/>
      <c r="E718" s="252"/>
      <c r="F718" s="252"/>
      <c r="G718" s="252"/>
      <c r="H718" s="252"/>
      <c r="I718" s="252"/>
      <c r="J718" s="252"/>
      <c r="K718" s="252"/>
      <c r="L718" s="252"/>
      <c r="M718" s="252"/>
      <c r="N718" s="252"/>
      <c r="O718" s="253" t="s">
        <v>661</v>
      </c>
      <c r="P718" s="252"/>
      <c r="Q718" s="252"/>
      <c r="R718" s="252"/>
      <c r="S718" s="252"/>
    </row>
    <row r="719" spans="1:19" ht="30" x14ac:dyDescent="0.25">
      <c r="A719" s="252"/>
      <c r="B719" s="252"/>
      <c r="C719" s="252"/>
      <c r="D719" s="252"/>
      <c r="E719" s="252"/>
      <c r="F719" s="252"/>
      <c r="G719" s="252"/>
      <c r="H719" s="252"/>
      <c r="I719" s="252"/>
      <c r="J719" s="252"/>
      <c r="K719" s="252"/>
      <c r="L719" s="252"/>
      <c r="M719" s="252"/>
      <c r="N719" s="252"/>
      <c r="O719" s="253" t="s">
        <v>662</v>
      </c>
      <c r="P719" s="252"/>
      <c r="Q719" s="252"/>
      <c r="R719" s="252"/>
      <c r="S719" s="252"/>
    </row>
    <row r="720" spans="1:19" x14ac:dyDescent="0.25">
      <c r="A720" s="252"/>
      <c r="B720" s="252"/>
      <c r="C720" s="252"/>
      <c r="D720" s="252"/>
      <c r="E720" s="252"/>
      <c r="F720" s="252"/>
      <c r="G720" s="252"/>
      <c r="H720" s="252"/>
      <c r="I720" s="252"/>
      <c r="J720" s="252"/>
      <c r="K720" s="252"/>
      <c r="L720" s="252"/>
      <c r="M720" s="252"/>
      <c r="N720" s="252"/>
      <c r="O720" s="253" t="s">
        <v>663</v>
      </c>
      <c r="P720" s="252"/>
      <c r="Q720" s="252"/>
      <c r="R720" s="252"/>
      <c r="S720" s="252"/>
    </row>
    <row r="721" spans="1:19" ht="30" x14ac:dyDescent="0.25">
      <c r="A721" s="252"/>
      <c r="B721" s="252"/>
      <c r="C721" s="252"/>
      <c r="D721" s="252"/>
      <c r="E721" s="252"/>
      <c r="F721" s="252"/>
      <c r="G721" s="252"/>
      <c r="H721" s="252"/>
      <c r="I721" s="252"/>
      <c r="J721" s="252"/>
      <c r="K721" s="252"/>
      <c r="L721" s="252"/>
      <c r="M721" s="252"/>
      <c r="N721" s="252"/>
      <c r="O721" s="253" t="s">
        <v>664</v>
      </c>
      <c r="P721" s="252"/>
      <c r="Q721" s="252"/>
      <c r="R721" s="252"/>
      <c r="S721" s="252"/>
    </row>
    <row r="722" spans="1:19" ht="30" x14ac:dyDescent="0.25">
      <c r="A722" s="252"/>
      <c r="B722" s="252"/>
      <c r="C722" s="252"/>
      <c r="D722" s="252"/>
      <c r="E722" s="252"/>
      <c r="F722" s="252"/>
      <c r="G722" s="252"/>
      <c r="H722" s="252"/>
      <c r="I722" s="252"/>
      <c r="J722" s="252"/>
      <c r="K722" s="252"/>
      <c r="L722" s="252"/>
      <c r="M722" s="252"/>
      <c r="N722" s="252"/>
      <c r="O722" s="253" t="s">
        <v>665</v>
      </c>
      <c r="P722" s="252"/>
      <c r="Q722" s="252"/>
      <c r="R722" s="252"/>
      <c r="S722" s="252"/>
    </row>
    <row r="723" spans="1:19" ht="45" x14ac:dyDescent="0.25">
      <c r="A723" s="252"/>
      <c r="B723" s="252"/>
      <c r="C723" s="252"/>
      <c r="D723" s="252"/>
      <c r="E723" s="252"/>
      <c r="F723" s="252"/>
      <c r="G723" s="252"/>
      <c r="H723" s="252"/>
      <c r="I723" s="252"/>
      <c r="J723" s="252"/>
      <c r="K723" s="252"/>
      <c r="L723" s="252"/>
      <c r="M723" s="252"/>
      <c r="N723" s="252"/>
      <c r="O723" s="253" t="s">
        <v>666</v>
      </c>
      <c r="P723" s="252"/>
      <c r="Q723" s="252"/>
      <c r="R723" s="252"/>
      <c r="S723" s="252"/>
    </row>
    <row r="724" spans="1:19" ht="30" x14ac:dyDescent="0.25">
      <c r="A724" s="252"/>
      <c r="B724" s="252"/>
      <c r="C724" s="252"/>
      <c r="D724" s="252"/>
      <c r="E724" s="252"/>
      <c r="F724" s="252"/>
      <c r="G724" s="252"/>
      <c r="H724" s="252"/>
      <c r="I724" s="252"/>
      <c r="J724" s="252"/>
      <c r="K724" s="252"/>
      <c r="L724" s="252"/>
      <c r="M724" s="252"/>
      <c r="N724" s="252"/>
      <c r="O724" s="253" t="s">
        <v>667</v>
      </c>
      <c r="P724" s="252"/>
      <c r="Q724" s="252"/>
      <c r="R724" s="252"/>
      <c r="S724" s="252"/>
    </row>
    <row r="725" spans="1:19" ht="30" x14ac:dyDescent="0.25">
      <c r="A725" s="252"/>
      <c r="B725" s="252"/>
      <c r="C725" s="252"/>
      <c r="D725" s="252"/>
      <c r="E725" s="252"/>
      <c r="F725" s="252"/>
      <c r="G725" s="252"/>
      <c r="H725" s="252"/>
      <c r="I725" s="252"/>
      <c r="J725" s="252"/>
      <c r="K725" s="252"/>
      <c r="L725" s="252"/>
      <c r="M725" s="252"/>
      <c r="N725" s="252"/>
      <c r="O725" s="253" t="s">
        <v>668</v>
      </c>
      <c r="P725" s="252"/>
      <c r="Q725" s="252"/>
      <c r="R725" s="252"/>
      <c r="S725" s="252"/>
    </row>
    <row r="726" spans="1:19" x14ac:dyDescent="0.25">
      <c r="A726" s="252"/>
      <c r="B726" s="252"/>
      <c r="C726" s="252"/>
      <c r="D726" s="252"/>
      <c r="E726" s="252"/>
      <c r="F726" s="252"/>
      <c r="G726" s="252"/>
      <c r="H726" s="252"/>
      <c r="I726" s="252"/>
      <c r="J726" s="252"/>
      <c r="K726" s="252"/>
      <c r="L726" s="252"/>
      <c r="M726" s="252"/>
      <c r="N726" s="252"/>
      <c r="O726" s="253" t="s">
        <v>669</v>
      </c>
      <c r="P726" s="252"/>
      <c r="Q726" s="252"/>
      <c r="R726" s="252"/>
      <c r="S726" s="252"/>
    </row>
    <row r="727" spans="1:19" x14ac:dyDescent="0.25">
      <c r="A727" s="252"/>
      <c r="B727" s="252"/>
      <c r="C727" s="252"/>
      <c r="D727" s="252"/>
      <c r="E727" s="252"/>
      <c r="F727" s="252"/>
      <c r="G727" s="252"/>
      <c r="H727" s="252"/>
      <c r="I727" s="252"/>
      <c r="J727" s="252"/>
      <c r="K727" s="252"/>
      <c r="L727" s="252"/>
      <c r="M727" s="252"/>
      <c r="N727" s="252"/>
      <c r="O727" s="253" t="s">
        <v>670</v>
      </c>
      <c r="P727" s="252"/>
      <c r="Q727" s="252"/>
      <c r="R727" s="252"/>
      <c r="S727" s="252"/>
    </row>
    <row r="728" spans="1:19" ht="30" x14ac:dyDescent="0.25">
      <c r="A728" s="252"/>
      <c r="B728" s="252"/>
      <c r="C728" s="252"/>
      <c r="D728" s="252"/>
      <c r="E728" s="252"/>
      <c r="F728" s="252"/>
      <c r="G728" s="252"/>
      <c r="H728" s="252"/>
      <c r="I728" s="252"/>
      <c r="J728" s="252"/>
      <c r="K728" s="252"/>
      <c r="L728" s="252"/>
      <c r="M728" s="252"/>
      <c r="N728" s="252"/>
      <c r="O728" s="253" t="s">
        <v>671</v>
      </c>
      <c r="P728" s="252"/>
      <c r="Q728" s="252"/>
      <c r="R728" s="252"/>
      <c r="S728" s="252"/>
    </row>
    <row r="729" spans="1:19" x14ac:dyDescent="0.25">
      <c r="A729" s="252"/>
      <c r="B729" s="252"/>
      <c r="C729" s="252"/>
      <c r="D729" s="252"/>
      <c r="E729" s="252"/>
      <c r="F729" s="252"/>
      <c r="G729" s="252"/>
      <c r="H729" s="252"/>
      <c r="I729" s="252"/>
      <c r="J729" s="252"/>
      <c r="K729" s="252"/>
      <c r="L729" s="252"/>
      <c r="M729" s="252"/>
      <c r="N729" s="252"/>
      <c r="O729" s="253" t="s">
        <v>672</v>
      </c>
      <c r="P729" s="252"/>
      <c r="Q729" s="252"/>
      <c r="R729" s="252"/>
      <c r="S729" s="252"/>
    </row>
    <row r="730" spans="1:19" ht="30" x14ac:dyDescent="0.25">
      <c r="A730" s="252"/>
      <c r="B730" s="252"/>
      <c r="C730" s="252"/>
      <c r="D730" s="252"/>
      <c r="E730" s="252"/>
      <c r="F730" s="252"/>
      <c r="G730" s="252"/>
      <c r="H730" s="252"/>
      <c r="I730" s="252"/>
      <c r="J730" s="252"/>
      <c r="K730" s="252"/>
      <c r="L730" s="252"/>
      <c r="M730" s="252"/>
      <c r="N730" s="252"/>
      <c r="O730" s="253" t="s">
        <v>673</v>
      </c>
      <c r="P730" s="252"/>
      <c r="Q730" s="252"/>
      <c r="R730" s="252"/>
      <c r="S730" s="252"/>
    </row>
    <row r="731" spans="1:19" ht="30" x14ac:dyDescent="0.25">
      <c r="A731" s="252"/>
      <c r="B731" s="252"/>
      <c r="C731" s="252"/>
      <c r="D731" s="252"/>
      <c r="E731" s="252"/>
      <c r="F731" s="252"/>
      <c r="G731" s="252"/>
      <c r="H731" s="252"/>
      <c r="I731" s="252"/>
      <c r="J731" s="252"/>
      <c r="K731" s="252"/>
      <c r="L731" s="252"/>
      <c r="M731" s="252"/>
      <c r="N731" s="252"/>
      <c r="O731" s="253" t="s">
        <v>674</v>
      </c>
      <c r="P731" s="252"/>
      <c r="Q731" s="252"/>
      <c r="R731" s="252"/>
      <c r="S731" s="252"/>
    </row>
    <row r="732" spans="1:19" ht="30" x14ac:dyDescent="0.25">
      <c r="A732" s="252"/>
      <c r="B732" s="252"/>
      <c r="C732" s="252"/>
      <c r="D732" s="252"/>
      <c r="E732" s="252"/>
      <c r="F732" s="252"/>
      <c r="G732" s="252"/>
      <c r="H732" s="252"/>
      <c r="I732" s="252"/>
      <c r="J732" s="252"/>
      <c r="K732" s="252"/>
      <c r="L732" s="252"/>
      <c r="M732" s="252"/>
      <c r="N732" s="252"/>
      <c r="O732" s="253" t="s">
        <v>675</v>
      </c>
      <c r="P732" s="252"/>
      <c r="Q732" s="252"/>
      <c r="R732" s="252"/>
      <c r="S732" s="252"/>
    </row>
    <row r="733" spans="1:19" ht="30" x14ac:dyDescent="0.25">
      <c r="A733" s="252"/>
      <c r="B733" s="252"/>
      <c r="C733" s="252"/>
      <c r="D733" s="252"/>
      <c r="E733" s="252"/>
      <c r="F733" s="252"/>
      <c r="G733" s="252"/>
      <c r="H733" s="252"/>
      <c r="I733" s="252"/>
      <c r="J733" s="252"/>
      <c r="K733" s="252"/>
      <c r="L733" s="252"/>
      <c r="M733" s="252"/>
      <c r="N733" s="252"/>
      <c r="O733" s="253" t="s">
        <v>676</v>
      </c>
      <c r="P733" s="252"/>
      <c r="Q733" s="252"/>
      <c r="R733" s="252"/>
      <c r="S733" s="252"/>
    </row>
  </sheetData>
  <sheetProtection password="DFD3" sheet="1" objects="1" scenarios="1"/>
  <pageMargins left="0.7" right="0.7" top="0.75" bottom="0.75" header="0.3" footer="0.3"/>
  <pageSetup orientation="portrait" horizontalDpi="4294967293" verticalDpi="0"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O352"/>
  <sheetViews>
    <sheetView workbookViewId="0">
      <selection activeCell="AC1" sqref="AC1"/>
    </sheetView>
  </sheetViews>
  <sheetFormatPr defaultRowHeight="15" x14ac:dyDescent="0.25"/>
  <cols>
    <col min="1" max="1" width="140.42578125" style="225" customWidth="1"/>
    <col min="2" max="2" width="36.85546875" customWidth="1"/>
    <col min="3" max="3" width="13.7109375" customWidth="1"/>
    <col min="4" max="4" width="14.85546875" customWidth="1"/>
    <col min="5" max="5" width="13.42578125" customWidth="1"/>
    <col min="6" max="6" width="13.140625" customWidth="1"/>
    <col min="7" max="7" width="14.85546875" customWidth="1"/>
    <col min="8" max="8" width="19.5703125" customWidth="1"/>
    <col min="9" max="9" width="18.85546875" customWidth="1"/>
    <col min="10" max="10" width="20.42578125" customWidth="1"/>
    <col min="11" max="12" width="12.7109375" customWidth="1"/>
    <col min="13" max="13" width="18.5703125" customWidth="1"/>
    <col min="14" max="14" width="22.5703125" customWidth="1"/>
    <col min="15" max="15" width="19" customWidth="1"/>
    <col min="16" max="17" width="18.5703125" bestFit="1" customWidth="1"/>
    <col min="18" max="22" width="20.140625" bestFit="1" customWidth="1"/>
    <col min="24" max="24" width="12.7109375" bestFit="1" customWidth="1"/>
    <col min="27" max="27" width="14.7109375" customWidth="1"/>
    <col min="28" max="28" width="13.7109375" customWidth="1"/>
    <col min="32" max="32" width="38.42578125" customWidth="1"/>
  </cols>
  <sheetData>
    <row r="1" spans="1:24" ht="18.75" x14ac:dyDescent="0.3">
      <c r="A1" s="217"/>
      <c r="B1" s="386"/>
      <c r="D1" t="str">
        <f>ProjectData!B13</f>
        <v>IDAHO</v>
      </c>
      <c r="F1">
        <f>ProjectData!B31</f>
        <v>2010</v>
      </c>
    </row>
    <row r="2" spans="1:24" ht="15.75" x14ac:dyDescent="0.25">
      <c r="A2" s="217"/>
      <c r="B2" s="401" t="s">
        <v>125</v>
      </c>
      <c r="C2" t="s">
        <v>32</v>
      </c>
      <c r="D2" t="s">
        <v>753</v>
      </c>
      <c r="F2" t="s">
        <v>32</v>
      </c>
      <c r="G2" t="s">
        <v>804</v>
      </c>
      <c r="I2" s="423" t="s">
        <v>929</v>
      </c>
      <c r="J2" s="423" t="s">
        <v>928</v>
      </c>
      <c r="K2" s="423" t="s">
        <v>926</v>
      </c>
      <c r="L2" s="423" t="s">
        <v>927</v>
      </c>
      <c r="M2" s="423" t="s">
        <v>952</v>
      </c>
      <c r="N2" s="423" t="s">
        <v>624</v>
      </c>
      <c r="V2" s="523"/>
      <c r="X2" s="300"/>
    </row>
    <row r="3" spans="1:24" x14ac:dyDescent="0.25">
      <c r="A3" s="217"/>
      <c r="B3" s="99" t="s">
        <v>734</v>
      </c>
      <c r="C3" s="300">
        <f>IF(ProjectData!$B$11="Simple",'Default Data'!M35,ProjectData!D36)</f>
        <v>100000</v>
      </c>
      <c r="D3" s="650">
        <f>IF(ProjectData!$B$11="Simple",'Default Data'!H35,ProjectData!F36)</f>
        <v>0</v>
      </c>
      <c r="F3" s="300">
        <f>D3*C3</f>
        <v>0</v>
      </c>
      <c r="G3" s="300">
        <f>IF(ProjectData!B$11="Simple",F3*(1+'Rates &amp; Misc'!C$6),F3*(1+ProjectData!B$29))</f>
        <v>0</v>
      </c>
      <c r="H3" s="300">
        <f t="shared" ref="H3:H14" si="0">G3-F3</f>
        <v>0</v>
      </c>
      <c r="I3" s="300">
        <f>IF('Default Data'!AM35&gt;0,(('Default Data'!AM35/'Default Data'!$AG35)*$G3),0)</f>
        <v>0</v>
      </c>
      <c r="J3" s="300">
        <f>IF('Default Data'!AN35&gt;0,(('Default Data'!AN35/'Default Data'!$AG35)*$G3),0)</f>
        <v>0</v>
      </c>
      <c r="K3" s="300">
        <f>IF('Default Data'!AO35&gt;0,(('Default Data'!AO35/'Default Data'!$AG35)*$G3),0)</f>
        <v>0</v>
      </c>
      <c r="L3" s="300">
        <f>IF('Default Data'!AP35&gt;0,(('Default Data'!AP35/'Default Data'!$AG35)*$G3),0)</f>
        <v>0</v>
      </c>
      <c r="M3" s="300">
        <f>IF('Default Data'!AQ35&gt;0,(('Default Data'!AQ35/'Default Data'!$AG35)*$G3),0)</f>
        <v>0</v>
      </c>
      <c r="N3" s="300">
        <f>SUM(I3:M3)</f>
        <v>0</v>
      </c>
      <c r="V3" s="527"/>
      <c r="X3" s="300"/>
    </row>
    <row r="4" spans="1:24" x14ac:dyDescent="0.25">
      <c r="A4" s="217"/>
      <c r="B4" s="99" t="s">
        <v>735</v>
      </c>
      <c r="C4" s="300">
        <f>IF(ProjectData!$B$11="Simple",'Default Data'!M36,ProjectData!D37)</f>
        <v>200000</v>
      </c>
      <c r="D4" s="650">
        <f>IF(ProjectData!$B$11="Simple",'Default Data'!H36,ProjectData!F37)</f>
        <v>0</v>
      </c>
      <c r="F4" s="300">
        <f>D4*C4</f>
        <v>0</v>
      </c>
      <c r="G4" s="300">
        <f>IF(ProjectData!B$11="Simple",F4*(1+'Rates &amp; Misc'!C$6),F4*(1+ProjectData!B$29))</f>
        <v>0</v>
      </c>
      <c r="H4" s="300">
        <f t="shared" si="0"/>
        <v>0</v>
      </c>
      <c r="I4" s="300">
        <f>IF('Default Data'!AM36&gt;0,(('Default Data'!AM36/'Default Data'!$AG36)*$G4),0)</f>
        <v>0</v>
      </c>
      <c r="J4" s="300">
        <f>IF('Default Data'!AN36&gt;0,(('Default Data'!AN36/'Default Data'!$AG36)*$G4),0)</f>
        <v>0</v>
      </c>
      <c r="K4" s="300">
        <f>IF('Default Data'!AO36&gt;0,(('Default Data'!AO36/'Default Data'!$AG36)*$G4),0)</f>
        <v>0</v>
      </c>
      <c r="L4" s="300">
        <f>IF('Default Data'!AP36&gt;0,(('Default Data'!AP36/'Default Data'!$AG36)*$G4),0)</f>
        <v>0</v>
      </c>
      <c r="M4" s="300">
        <f>IF('Default Data'!AQ36&gt;0,(('Default Data'!AQ36/'Default Data'!$AG36)*$G4),0)</f>
        <v>0</v>
      </c>
      <c r="N4" s="300">
        <f t="shared" ref="N4:N14" si="1">SUM(I4:M4)</f>
        <v>0</v>
      </c>
      <c r="P4" t="s">
        <v>858</v>
      </c>
      <c r="R4" t="s">
        <v>1036</v>
      </c>
      <c r="V4" s="831"/>
    </row>
    <row r="5" spans="1:24" ht="23.25" x14ac:dyDescent="0.35">
      <c r="A5" s="221" t="s">
        <v>591</v>
      </c>
      <c r="B5" s="99" t="s">
        <v>736</v>
      </c>
      <c r="C5" s="300">
        <f>IF(ProjectData!$B$11="Simple",'Default Data'!M37,ProjectData!D38)</f>
        <v>0</v>
      </c>
      <c r="D5" s="650">
        <f>IF(ProjectData!$B$11="Simple",'Default Data'!H37,ProjectData!F38)</f>
        <v>0</v>
      </c>
      <c r="F5" s="300">
        <f>D5*C5</f>
        <v>0</v>
      </c>
      <c r="G5" s="300">
        <f>IF(ProjectData!B$11="Simple",F5*(1+'Rates &amp; Misc'!C$6),F5*(1+ProjectData!B$29))</f>
        <v>0</v>
      </c>
      <c r="H5" s="300">
        <f t="shared" si="0"/>
        <v>0</v>
      </c>
      <c r="I5" s="300">
        <f>IF('Default Data'!AM37&gt;0,(('Default Data'!AM37/'Default Data'!$AG37)*$G5),0)</f>
        <v>0</v>
      </c>
      <c r="J5" s="300">
        <f>IF('Default Data'!AN37&gt;0,(('Default Data'!AN37/'Default Data'!$AG37)*$G5),0)</f>
        <v>0</v>
      </c>
      <c r="K5" s="300">
        <f>IF('Default Data'!AO37&gt;0,(('Default Data'!AO37/'Default Data'!$AG37)*$G5),0)</f>
        <v>0</v>
      </c>
      <c r="L5" s="300">
        <f>IF('Default Data'!AP37&gt;0,(('Default Data'!AP37/'Default Data'!$AG37)*$G5),0)</f>
        <v>0</v>
      </c>
      <c r="M5" s="300">
        <f>IF('Default Data'!AQ37&gt;0,(('Default Data'!AQ37/'Default Data'!$AG37)*$G5),0)</f>
        <v>0</v>
      </c>
      <c r="N5" s="300">
        <f t="shared" si="1"/>
        <v>0</v>
      </c>
      <c r="P5" t="s">
        <v>1093</v>
      </c>
      <c r="Q5" t="s">
        <v>1092</v>
      </c>
      <c r="R5" t="s">
        <v>1093</v>
      </c>
      <c r="S5" t="s">
        <v>1092</v>
      </c>
      <c r="V5" s="832"/>
      <c r="X5" s="300"/>
    </row>
    <row r="6" spans="1:24" x14ac:dyDescent="0.25">
      <c r="A6" s="217"/>
      <c r="B6" s="99" t="s">
        <v>737</v>
      </c>
      <c r="C6" s="300">
        <f>IF(ProjectData!$B$11="Simple",'Default Data'!M38,ProjectData!D39)</f>
        <v>771980</v>
      </c>
      <c r="D6" s="650">
        <f>IF(ProjectData!$B$11="Simple",'Default Data'!H38,ProjectData!F39)</f>
        <v>0</v>
      </c>
      <c r="F6" s="300">
        <f>D6*C6</f>
        <v>0</v>
      </c>
      <c r="G6" s="300">
        <f>IF(ProjectData!B$11="Simple",F6*(1+'Rates &amp; Misc'!C$6),F6*(1+ProjectData!B$29))</f>
        <v>0</v>
      </c>
      <c r="H6" s="300">
        <f t="shared" si="0"/>
        <v>0</v>
      </c>
      <c r="I6" s="300">
        <f>IF('Default Data'!AM38&gt;0,(('Default Data'!AM38/'Default Data'!$AG38)*$G6),0)</f>
        <v>0</v>
      </c>
      <c r="J6" s="300">
        <f>IF('Default Data'!AN38&gt;0,(('Default Data'!AN38/'Default Data'!$AG38)*$G6),0)</f>
        <v>0</v>
      </c>
      <c r="K6" s="300">
        <f>IF('Default Data'!AO38&gt;0,(('Default Data'!AO38/'Default Data'!$AG38)*$G6),0)</f>
        <v>0</v>
      </c>
      <c r="L6" s="300">
        <f>IF('Default Data'!AP38&gt;0,(('Default Data'!AP38/'Default Data'!$AG38)*$G6),0)</f>
        <v>0</v>
      </c>
      <c r="M6" s="300">
        <f>IF('Default Data'!AQ38&gt;0,(('Default Data'!AQ38/'Default Data'!$AG38)*$G6),0)</f>
        <v>0</v>
      </c>
      <c r="N6" s="300">
        <f t="shared" si="1"/>
        <v>0</v>
      </c>
      <c r="P6" s="300">
        <f>IF('Default Data'!$C232="H",Calculations!$N6,0)</f>
        <v>0</v>
      </c>
      <c r="Q6" s="300">
        <f>IF('Default Data'!$C232="P",Calculations!$N6,0)</f>
        <v>0</v>
      </c>
      <c r="R6" s="300">
        <f>IF(ProjectData!$B187="H",Calculations!$N6,0)</f>
        <v>0</v>
      </c>
      <c r="S6" s="300">
        <f>IF(ProjectData!$B187="P",Calculations!$N6,0)</f>
        <v>0</v>
      </c>
      <c r="V6" s="832"/>
    </row>
    <row r="7" spans="1:24" ht="15.75" x14ac:dyDescent="0.25">
      <c r="A7" s="223" t="s">
        <v>594</v>
      </c>
      <c r="B7" s="390" t="s">
        <v>120</v>
      </c>
      <c r="C7" s="300"/>
      <c r="H7" s="300">
        <f t="shared" si="0"/>
        <v>0</v>
      </c>
      <c r="I7" s="300">
        <f>IF('Default Data'!AM39&gt;0,(('Default Data'!AM39/'Default Data'!$AG39)*$G7),0)</f>
        <v>0</v>
      </c>
      <c r="J7" s="300">
        <f>IF('Default Data'!AN39&gt;0,(('Default Data'!AN39/'Default Data'!$AG39)*$G7),0)</f>
        <v>0</v>
      </c>
      <c r="K7" s="300">
        <f>IF('Default Data'!AO39&gt;0,(('Default Data'!AO39/'Default Data'!$AG39)*$G7),0)</f>
        <v>0</v>
      </c>
      <c r="L7" s="300">
        <f>IF('Default Data'!AP39&gt;0,(('Default Data'!AP39/'Default Data'!$AG39)*$G7),0)</f>
        <v>0</v>
      </c>
      <c r="M7" s="300">
        <f>IF('Default Data'!AQ39&gt;0,(('Default Data'!AQ39/'Default Data'!$AG39)*$G7),0)</f>
        <v>0</v>
      </c>
      <c r="N7" s="300">
        <f t="shared" si="1"/>
        <v>0</v>
      </c>
      <c r="P7" s="300">
        <f>IF(ProjectData!$B$11="Simple",P6,R6)</f>
        <v>0</v>
      </c>
      <c r="R7" s="300">
        <f>IF(ProjectData!$B$11="Simple",Q6,S6)</f>
        <v>0</v>
      </c>
      <c r="V7" s="832"/>
    </row>
    <row r="8" spans="1:24" ht="15.75" x14ac:dyDescent="0.25">
      <c r="A8" s="224"/>
      <c r="B8" s="99" t="s">
        <v>738</v>
      </c>
      <c r="C8" s="300">
        <f>IF(ProjectData!$B$11="Simple",'Default Data'!M40,ProjectData!D41)</f>
        <v>100000</v>
      </c>
      <c r="D8" s="650">
        <f>IF(ProjectData!$B$11="Simple",'Default Data'!H40,ProjectData!F41)</f>
        <v>1</v>
      </c>
      <c r="F8" s="300">
        <f t="shared" ref="F8:F14" si="2">D8*C8</f>
        <v>100000</v>
      </c>
      <c r="G8" s="300">
        <f>IF(ProjectData!B$11="Simple",F8*(1+'Rates &amp; Misc'!C$6),F8*(1+ProjectData!B$29))</f>
        <v>105000</v>
      </c>
      <c r="H8" s="300">
        <f t="shared" si="0"/>
        <v>5000</v>
      </c>
      <c r="I8" s="300">
        <f>IF('Default Data'!AM40&gt;0,(('Default Data'!AM40/'Default Data'!$AG40)*$G8),0)</f>
        <v>105000</v>
      </c>
      <c r="J8" s="300">
        <f>IF('Default Data'!AN40&gt;0,(('Default Data'!AN40/'Default Data'!$AG40)*$G8),0)</f>
        <v>0</v>
      </c>
      <c r="K8" s="300">
        <f>IF('Default Data'!AO40&gt;0,(('Default Data'!AO40/'Default Data'!$AG40)*$G8),0)</f>
        <v>0</v>
      </c>
      <c r="L8" s="300">
        <f>IF('Default Data'!AP40&gt;0,(('Default Data'!AP40/'Default Data'!$AG40)*$G8),0)</f>
        <v>0</v>
      </c>
      <c r="M8" s="300">
        <f>IF('Default Data'!AQ40&gt;0,(('Default Data'!AQ40/'Default Data'!$AG40)*$G8),0)</f>
        <v>0</v>
      </c>
      <c r="N8" s="300">
        <f t="shared" si="1"/>
        <v>105000</v>
      </c>
      <c r="V8" s="832"/>
      <c r="X8" s="300"/>
    </row>
    <row r="9" spans="1:24" ht="15.75" x14ac:dyDescent="0.25">
      <c r="A9" s="223" t="s">
        <v>597</v>
      </c>
      <c r="B9" s="99" t="s">
        <v>739</v>
      </c>
      <c r="C9" s="300">
        <f>IF(ProjectData!$B$11="Simple",'Default Data'!M41,ProjectData!D42)</f>
        <v>80000</v>
      </c>
      <c r="D9" s="650">
        <f>IF(ProjectData!$B$11="Simple",'Default Data'!H41,ProjectData!F42)</f>
        <v>0</v>
      </c>
      <c r="F9" s="300">
        <f t="shared" si="2"/>
        <v>0</v>
      </c>
      <c r="G9" s="300">
        <f>IF(ProjectData!B$11="Simple",F9*(1+'Rates &amp; Misc'!C$6),F9*(1+ProjectData!B$29))</f>
        <v>0</v>
      </c>
      <c r="H9" s="300">
        <f t="shared" si="0"/>
        <v>0</v>
      </c>
      <c r="I9" s="300">
        <f>IF('Default Data'!AM41&gt;0,(('Default Data'!AM41/'Default Data'!$AG41)*$G9),0)</f>
        <v>0</v>
      </c>
      <c r="J9" s="300">
        <f>IF('Default Data'!AN41&gt;0,(('Default Data'!AN41/'Default Data'!$AG41)*$G9),0)</f>
        <v>0</v>
      </c>
      <c r="K9" s="300">
        <f>IF('Default Data'!AO41&gt;0,(('Default Data'!AO41/'Default Data'!$AG41)*$G9),0)</f>
        <v>0</v>
      </c>
      <c r="L9" s="300">
        <f>IF('Default Data'!AP41&gt;0,(('Default Data'!AP41/'Default Data'!$AG41)*$G9),0)</f>
        <v>0</v>
      </c>
      <c r="M9" s="300">
        <f>IF('Default Data'!AQ41&gt;0,(('Default Data'!AQ41/'Default Data'!$AG41)*$G9),0)</f>
        <v>0</v>
      </c>
      <c r="N9" s="300">
        <f t="shared" si="1"/>
        <v>0</v>
      </c>
      <c r="V9" s="832"/>
      <c r="X9" s="300"/>
    </row>
    <row r="10" spans="1:24" ht="15.75" x14ac:dyDescent="0.25">
      <c r="A10" s="223"/>
      <c r="B10" s="99" t="s">
        <v>740</v>
      </c>
      <c r="C10" s="300">
        <f>IF(ProjectData!$B$11="Simple",'Default Data'!M42,ProjectData!D43)</f>
        <v>50000</v>
      </c>
      <c r="D10" s="650">
        <f>IF(ProjectData!$B$11="Simple",'Default Data'!H42,ProjectData!F43)</f>
        <v>0</v>
      </c>
      <c r="F10" s="300">
        <f t="shared" si="2"/>
        <v>0</v>
      </c>
      <c r="G10" s="300">
        <f>IF(ProjectData!B$11="Simple",F10*(1+'Rates &amp; Misc'!C$6),F10*(1+ProjectData!B$29))</f>
        <v>0</v>
      </c>
      <c r="H10" s="300">
        <f t="shared" si="0"/>
        <v>0</v>
      </c>
      <c r="I10" s="300">
        <f>IF('Default Data'!AM42&gt;0,(('Default Data'!AM42/'Default Data'!$AG42)*$G10),0)</f>
        <v>0</v>
      </c>
      <c r="J10" s="300">
        <f>IF('Default Data'!AN42&gt;0,(('Default Data'!AN42/'Default Data'!$AG42)*$G10),0)</f>
        <v>0</v>
      </c>
      <c r="K10" s="300">
        <f>IF('Default Data'!AO42&gt;0,(('Default Data'!AO42/'Default Data'!$AG42)*$G10),0)</f>
        <v>0</v>
      </c>
      <c r="L10" s="300">
        <f>IF('Default Data'!AP42&gt;0,(('Default Data'!AP42/'Default Data'!$AG42)*$G10),0)</f>
        <v>0</v>
      </c>
      <c r="M10" s="300">
        <f>IF('Default Data'!AQ42&gt;0,(('Default Data'!AQ42/'Default Data'!$AG42)*$G10),0)</f>
        <v>0</v>
      </c>
      <c r="N10" s="300">
        <f t="shared" si="1"/>
        <v>0</v>
      </c>
      <c r="V10" s="832"/>
    </row>
    <row r="11" spans="1:24" ht="15.75" x14ac:dyDescent="0.25">
      <c r="A11" s="223" t="s">
        <v>600</v>
      </c>
      <c r="B11" s="99" t="s">
        <v>741</v>
      </c>
      <c r="C11" s="300">
        <f>IF(ProjectData!$B$11="Simple",'Default Data'!M43,ProjectData!D44)</f>
        <v>75000</v>
      </c>
      <c r="D11" s="650">
        <f>IF(ProjectData!$B$11="Simple",'Default Data'!H43,ProjectData!F44)</f>
        <v>0</v>
      </c>
      <c r="F11" s="300">
        <f t="shared" si="2"/>
        <v>0</v>
      </c>
      <c r="G11" s="300">
        <f>IF(ProjectData!B$11="Simple",F11*(1+'Rates &amp; Misc'!C$6),F11*(1+ProjectData!B$29))</f>
        <v>0</v>
      </c>
      <c r="H11" s="300">
        <f t="shared" si="0"/>
        <v>0</v>
      </c>
      <c r="I11" s="300">
        <f>IF('Default Data'!AM43&gt;0,(('Default Data'!AM43/'Default Data'!$AG43)*$G11),0)</f>
        <v>0</v>
      </c>
      <c r="J11" s="300">
        <f>IF('Default Data'!AN43&gt;0,(('Default Data'!AN43/'Default Data'!$AG43)*$G11),0)</f>
        <v>0</v>
      </c>
      <c r="K11" s="300">
        <f>IF('Default Data'!AO43&gt;0,(('Default Data'!AO43/'Default Data'!$AG43)*$G11),0)</f>
        <v>0</v>
      </c>
      <c r="L11" s="300">
        <f>IF('Default Data'!AP43&gt;0,(('Default Data'!AP43/'Default Data'!$AG43)*$G11),0)</f>
        <v>0</v>
      </c>
      <c r="M11" s="300">
        <f>IF('Default Data'!AQ43&gt;0,(('Default Data'!AQ43/'Default Data'!$AG43)*$G11),0)</f>
        <v>0</v>
      </c>
      <c r="N11" s="300">
        <f t="shared" si="1"/>
        <v>0</v>
      </c>
      <c r="V11" s="832"/>
    </row>
    <row r="12" spans="1:24" x14ac:dyDescent="0.25">
      <c r="A12" s="217"/>
      <c r="B12" s="99" t="s">
        <v>742</v>
      </c>
      <c r="C12" s="300">
        <f>IF(ProjectData!$B$11="Simple",'Default Data'!M44,ProjectData!D45)</f>
        <v>50000</v>
      </c>
      <c r="D12" s="650">
        <f>IF(ProjectData!$B$11="Simple",'Default Data'!H44,ProjectData!F45)</f>
        <v>0</v>
      </c>
      <c r="F12" s="300">
        <f t="shared" si="2"/>
        <v>0</v>
      </c>
      <c r="G12" s="300">
        <f>IF(ProjectData!B$11="Simple",F12*(1+'Rates &amp; Misc'!C$6),F12*(1+ProjectData!B$29))</f>
        <v>0</v>
      </c>
      <c r="H12" s="300">
        <f t="shared" si="0"/>
        <v>0</v>
      </c>
      <c r="I12" s="300">
        <f>IF('Default Data'!AM44&gt;0,(('Default Data'!AM44/'Default Data'!$AG44)*$G12),0)</f>
        <v>0</v>
      </c>
      <c r="J12" s="300">
        <f>IF('Default Data'!AN44&gt;0,(('Default Data'!AN44/'Default Data'!$AG44)*$G12),0)</f>
        <v>0</v>
      </c>
      <c r="K12" s="300">
        <f>IF('Default Data'!AO44&gt;0,(('Default Data'!AO44/'Default Data'!$AG44)*$G12),0)</f>
        <v>0</v>
      </c>
      <c r="L12" s="300">
        <f>IF('Default Data'!AP44&gt;0,(('Default Data'!AP44/'Default Data'!$AG44)*$G12),0)</f>
        <v>0</v>
      </c>
      <c r="M12" s="300">
        <f>IF('Default Data'!AQ44&gt;0,(('Default Data'!AQ44/'Default Data'!$AG44)*$G12),0)</f>
        <v>0</v>
      </c>
      <c r="N12" s="300">
        <f t="shared" si="1"/>
        <v>0</v>
      </c>
      <c r="V12" s="832"/>
    </row>
    <row r="13" spans="1:24" x14ac:dyDescent="0.25">
      <c r="A13" s="217"/>
      <c r="B13" s="99" t="s">
        <v>743</v>
      </c>
      <c r="C13" s="300">
        <f>IF(ProjectData!$B$11="Simple",'Default Data'!M45,ProjectData!D46)</f>
        <v>0</v>
      </c>
      <c r="D13" s="650">
        <f>IF(ProjectData!$B$11="Simple",'Default Data'!H45,ProjectData!F46)</f>
        <v>0</v>
      </c>
      <c r="F13" s="300">
        <f t="shared" si="2"/>
        <v>0</v>
      </c>
      <c r="G13" s="300">
        <f>IF(ProjectData!B$11="Simple",F13*(1+'Rates &amp; Misc'!C$6),F13*(1+ProjectData!B$29))</f>
        <v>0</v>
      </c>
      <c r="H13" s="300">
        <f t="shared" si="0"/>
        <v>0</v>
      </c>
      <c r="I13" s="300">
        <f>IF('Default Data'!AM45&gt;0,(('Default Data'!AM45/'Default Data'!$AG45)*$G13),0)</f>
        <v>0</v>
      </c>
      <c r="J13" s="300">
        <f>IF('Default Data'!AN45&gt;0,(('Default Data'!AN45/'Default Data'!$AG45)*$G13),0)</f>
        <v>0</v>
      </c>
      <c r="K13" s="300">
        <f>IF('Default Data'!AO45&gt;0,(('Default Data'!AO45/'Default Data'!$AG45)*$G13),0)</f>
        <v>0</v>
      </c>
      <c r="L13" s="300">
        <f>IF('Default Data'!AP45&gt;0,(('Default Data'!AP45/'Default Data'!$AG45)*$G13),0)</f>
        <v>0</v>
      </c>
      <c r="M13" s="300">
        <f>IF('Default Data'!AQ45&gt;0,(('Default Data'!AQ45/'Default Data'!$AG45)*$G13),0)</f>
        <v>0</v>
      </c>
      <c r="N13" s="300">
        <f t="shared" si="1"/>
        <v>0</v>
      </c>
      <c r="V13" s="832"/>
    </row>
    <row r="14" spans="1:24" ht="15.75" thickBot="1" x14ac:dyDescent="0.3">
      <c r="A14" s="217"/>
      <c r="B14" s="99" t="s">
        <v>744</v>
      </c>
      <c r="C14" s="300">
        <f>IF(ProjectData!$B$11="Simple",'Default Data'!M46,ProjectData!D47)</f>
        <v>1000000</v>
      </c>
      <c r="D14" s="650">
        <f>IF(ProjectData!$B$11="Simple",'Default Data'!H46,ProjectData!F47)</f>
        <v>0</v>
      </c>
      <c r="F14" s="300">
        <f t="shared" si="2"/>
        <v>0</v>
      </c>
      <c r="G14" s="300">
        <f>IF(ProjectData!B$11="Simple",F14*(1+'Rates &amp; Misc'!C$6),F14*(1+ProjectData!B$29))</f>
        <v>0</v>
      </c>
      <c r="H14" s="300">
        <f t="shared" si="0"/>
        <v>0</v>
      </c>
      <c r="I14" s="300">
        <f>IF('Default Data'!AM46&gt;0,(('Default Data'!AM46/'Default Data'!$AG46)*$G14),0)</f>
        <v>0</v>
      </c>
      <c r="J14" s="300">
        <f>IF('Default Data'!AN46&gt;0,(('Default Data'!AN46/'Default Data'!$AG46)*$G14),0)</f>
        <v>0</v>
      </c>
      <c r="K14" s="300">
        <f>IF('Default Data'!AO46&gt;0,(('Default Data'!AO46/'Default Data'!$AG46)*$G14),0)</f>
        <v>0</v>
      </c>
      <c r="L14" s="300">
        <f>IF('Default Data'!AP46&gt;0,(('Default Data'!AP46/'Default Data'!$AG46)*$G14),0)</f>
        <v>0</v>
      </c>
      <c r="M14" s="300">
        <f>IF('Default Data'!AQ46&gt;0,(('Default Data'!AQ46/'Default Data'!$AG46)*$G14),0)</f>
        <v>0</v>
      </c>
      <c r="N14" s="300">
        <f t="shared" si="1"/>
        <v>0</v>
      </c>
      <c r="V14" s="832"/>
    </row>
    <row r="15" spans="1:24" x14ac:dyDescent="0.25">
      <c r="A15" s="217"/>
      <c r="B15" s="398" t="s">
        <v>788</v>
      </c>
      <c r="C15" s="551">
        <f>SUM(C3:C14)</f>
        <v>2426980</v>
      </c>
      <c r="D15" s="33"/>
      <c r="E15" s="33"/>
      <c r="F15" s="551">
        <f t="shared" ref="F15:N15" si="3">SUM(F3:F14)</f>
        <v>100000</v>
      </c>
      <c r="G15" s="551">
        <f t="shared" si="3"/>
        <v>105000</v>
      </c>
      <c r="H15" s="300">
        <f t="shared" si="3"/>
        <v>5000</v>
      </c>
      <c r="I15" s="300">
        <f t="shared" si="3"/>
        <v>105000</v>
      </c>
      <c r="J15" s="300">
        <f t="shared" si="3"/>
        <v>0</v>
      </c>
      <c r="K15" s="300">
        <f t="shared" si="3"/>
        <v>0</v>
      </c>
      <c r="L15" s="300">
        <f t="shared" si="3"/>
        <v>0</v>
      </c>
      <c r="M15" s="300">
        <f t="shared" si="3"/>
        <v>0</v>
      </c>
      <c r="N15" s="300">
        <f t="shared" si="3"/>
        <v>105000</v>
      </c>
    </row>
    <row r="16" spans="1:24" x14ac:dyDescent="0.25">
      <c r="A16" s="217"/>
      <c r="B16" s="358"/>
      <c r="C16" s="300"/>
      <c r="F16" s="300"/>
      <c r="G16" s="300"/>
    </row>
    <row r="17" spans="1:14" ht="15.75" x14ac:dyDescent="0.25">
      <c r="A17" s="217"/>
      <c r="B17" s="390" t="s">
        <v>113</v>
      </c>
      <c r="C17" s="300"/>
      <c r="I17" s="423" t="s">
        <v>929</v>
      </c>
      <c r="J17" s="423" t="s">
        <v>928</v>
      </c>
      <c r="K17" s="423" t="s">
        <v>926</v>
      </c>
      <c r="L17" s="423" t="s">
        <v>927</v>
      </c>
      <c r="M17" s="423" t="s">
        <v>952</v>
      </c>
    </row>
    <row r="18" spans="1:14" x14ac:dyDescent="0.25">
      <c r="A18" s="217"/>
      <c r="B18" s="99" t="s">
        <v>738</v>
      </c>
      <c r="C18" s="300">
        <f>IF(ProjectData!$B$11="Simple",'Default Data'!M50,ProjectData!D51)</f>
        <v>55862.781081081077</v>
      </c>
      <c r="D18" s="650">
        <f>IF(ProjectData!$B$11="Simple",'Default Data'!H50,ProjectData!F51)</f>
        <v>1</v>
      </c>
      <c r="F18" s="300">
        <f t="shared" ref="F18:F35" si="4">D18*C18</f>
        <v>55862.781081081077</v>
      </c>
      <c r="G18" s="300">
        <f>IF(ProjectData!B$11="Simple",F18*(1+'Rates &amp; Misc'!C$6),F18*(1+ProjectData!B$29))</f>
        <v>58655.920135135137</v>
      </c>
      <c r="H18" s="300">
        <f t="shared" ref="H18:H35" si="5">G18-F18</f>
        <v>2793.1390540540597</v>
      </c>
      <c r="I18" s="300">
        <f>IF('Default Data'!AM50&gt;0,(('Default Data'!AM50/'Default Data'!$AG50)*$G18),0)</f>
        <v>58655.920135135137</v>
      </c>
      <c r="J18" s="300">
        <f>IF('Default Data'!AN50&gt;0,(('Default Data'!AN50/'Default Data'!$AG50)*$G18),0)</f>
        <v>0</v>
      </c>
      <c r="K18" s="300">
        <f>IF('Default Data'!AO50&gt;0,(('Default Data'!AO50/'Default Data'!$AG50)*$G18),0)</f>
        <v>0</v>
      </c>
      <c r="L18" s="300">
        <f>IF('Default Data'!AP50&gt;0,(('Default Data'!AP50/'Default Data'!$AG50)*$G18),0)</f>
        <v>0</v>
      </c>
      <c r="M18" s="300">
        <f>IF('Default Data'!AQ50&gt;0,(('Default Data'!AQ50/'Default Data'!$AG50)*$G18),0)</f>
        <v>0</v>
      </c>
      <c r="N18" s="300">
        <f t="shared" ref="N18:N35" si="6">SUM(I18:M18)</f>
        <v>58655.920135135137</v>
      </c>
    </row>
    <row r="19" spans="1:14" x14ac:dyDescent="0.25">
      <c r="A19" s="217"/>
      <c r="B19" s="99" t="s">
        <v>777</v>
      </c>
      <c r="C19" s="300">
        <f>IF(ProjectData!$B$11="Simple",'Default Data'!M51,ProjectData!D52)</f>
        <v>63843.178378378376</v>
      </c>
      <c r="D19" s="650">
        <f>IF(ProjectData!$B$11="Simple",'Default Data'!H51,ProjectData!F52)</f>
        <v>0</v>
      </c>
      <c r="F19" s="300">
        <f t="shared" si="4"/>
        <v>0</v>
      </c>
      <c r="G19" s="300">
        <f>IF(ProjectData!B$11="Simple",F19*(1+'Rates &amp; Misc'!C$6),F19*(1+ProjectData!B$29))</f>
        <v>0</v>
      </c>
      <c r="H19" s="300">
        <f t="shared" si="5"/>
        <v>0</v>
      </c>
      <c r="I19" s="300">
        <f>IF('Default Data'!AM51&gt;0,(('Default Data'!AM51/'Default Data'!$AG51)*$G19),0)</f>
        <v>0</v>
      </c>
      <c r="J19" s="300">
        <f>IF('Default Data'!AN51&gt;0,(('Default Data'!AN51/'Default Data'!$AG51)*$G19),0)</f>
        <v>0</v>
      </c>
      <c r="K19" s="300">
        <f>IF('Default Data'!AO51&gt;0,(('Default Data'!AO51/'Default Data'!$AG51)*$G19),0)</f>
        <v>0</v>
      </c>
      <c r="L19" s="300">
        <f>IF('Default Data'!AP51&gt;0,(('Default Data'!AP51/'Default Data'!$AG51)*$G19),0)</f>
        <v>0</v>
      </c>
      <c r="M19" s="300">
        <f>IF('Default Data'!AQ51&gt;0,(('Default Data'!AQ51/'Default Data'!$AG51)*$G19),0)</f>
        <v>0</v>
      </c>
      <c r="N19" s="300">
        <f t="shared" si="6"/>
        <v>0</v>
      </c>
    </row>
    <row r="20" spans="1:14" ht="15.75" x14ac:dyDescent="0.25">
      <c r="A20" s="223" t="s">
        <v>608</v>
      </c>
      <c r="B20" s="99" t="s">
        <v>778</v>
      </c>
      <c r="C20" s="300">
        <f>IF(ProjectData!$B$11="Simple",'Default Data'!M52,ProjectData!D53)</f>
        <v>474833.63918918918</v>
      </c>
      <c r="D20" s="650">
        <f>IF(ProjectData!$B$11="Simple",'Default Data'!H52,ProjectData!F53)</f>
        <v>0</v>
      </c>
      <c r="F20" s="300">
        <f t="shared" si="4"/>
        <v>0</v>
      </c>
      <c r="G20" s="300">
        <f>IF(ProjectData!B$11="Simple",F20*(1+'Rates &amp; Misc'!C$6),F20*(1+ProjectData!B$29))</f>
        <v>0</v>
      </c>
      <c r="H20" s="300">
        <f t="shared" si="5"/>
        <v>0</v>
      </c>
      <c r="I20" s="300">
        <f>IF('Default Data'!AM52&gt;0,(('Default Data'!AM52/'Default Data'!$AG52)*$G20),0)</f>
        <v>0</v>
      </c>
      <c r="J20" s="300">
        <f>IF('Default Data'!AN52&gt;0,(('Default Data'!AN52/'Default Data'!$AG52)*$G20),0)</f>
        <v>0</v>
      </c>
      <c r="K20" s="300">
        <f>IF('Default Data'!AO52&gt;0,(('Default Data'!AO52/'Default Data'!$AG52)*$G20),0)</f>
        <v>0</v>
      </c>
      <c r="L20" s="300">
        <f>IF('Default Data'!AP52&gt;0,(('Default Data'!AP52/'Default Data'!$AG52)*$G20),0)</f>
        <v>0</v>
      </c>
      <c r="M20" s="300">
        <f>IF('Default Data'!AQ52&gt;0,(('Default Data'!AQ52/'Default Data'!$AG52)*$G20),0)</f>
        <v>0</v>
      </c>
      <c r="N20" s="300">
        <f t="shared" si="6"/>
        <v>0</v>
      </c>
    </row>
    <row r="21" spans="1:14" x14ac:dyDescent="0.25">
      <c r="A21" s="217"/>
      <c r="B21" s="99" t="s">
        <v>779</v>
      </c>
      <c r="C21" s="300">
        <f>IF(ProjectData!$B$11="Simple",'Default Data'!M53,ProjectData!D54)</f>
        <v>126888.31702702699</v>
      </c>
      <c r="D21" s="650">
        <f>IF(ProjectData!$B$11="Simple",'Default Data'!H53,ProjectData!F54)</f>
        <v>0</v>
      </c>
      <c r="F21" s="300">
        <f t="shared" si="4"/>
        <v>0</v>
      </c>
      <c r="G21" s="300">
        <f>IF(ProjectData!B$11="Simple",F21*(1+'Rates &amp; Misc'!C$6),F21*(1+ProjectData!B$29))</f>
        <v>0</v>
      </c>
      <c r="H21" s="300">
        <f t="shared" si="5"/>
        <v>0</v>
      </c>
      <c r="I21" s="300">
        <f>IF('Default Data'!AM53&gt;0,(('Default Data'!AM53/'Default Data'!$AG53)*$G21),0)</f>
        <v>0</v>
      </c>
      <c r="J21" s="300">
        <f>IF('Default Data'!AN53&gt;0,(('Default Data'!AN53/'Default Data'!$AG53)*$G21),0)</f>
        <v>0</v>
      </c>
      <c r="K21" s="300">
        <f>IF('Default Data'!AO53&gt;0,(('Default Data'!AO53/'Default Data'!$AG53)*$G21),0)</f>
        <v>0</v>
      </c>
      <c r="L21" s="300">
        <f>IF('Default Data'!AP53&gt;0,(('Default Data'!AP53/'Default Data'!$AG53)*$G21),0)</f>
        <v>0</v>
      </c>
      <c r="M21" s="300">
        <f>IF('Default Data'!AQ53&gt;0,(('Default Data'!AQ53/'Default Data'!$AG53)*$G21),0)</f>
        <v>0</v>
      </c>
      <c r="N21" s="300">
        <f t="shared" si="6"/>
        <v>0</v>
      </c>
    </row>
    <row r="22" spans="1:14" x14ac:dyDescent="0.25">
      <c r="A22" s="217"/>
      <c r="B22" s="99" t="s">
        <v>780</v>
      </c>
      <c r="C22" s="300">
        <f>IF(ProjectData!$B$11="Simple",'Default Data'!M54,ProjectData!D55)</f>
        <v>376259.77177297295</v>
      </c>
      <c r="D22" s="650">
        <f>IF(ProjectData!$B$11="Simple",'Default Data'!H54,ProjectData!F55)</f>
        <v>0</v>
      </c>
      <c r="F22" s="300">
        <f t="shared" si="4"/>
        <v>0</v>
      </c>
      <c r="G22" s="300">
        <f>IF(ProjectData!B$11="Simple",F22*(1+'Rates &amp; Misc'!C$6),F22*(1+ProjectData!B$29))</f>
        <v>0</v>
      </c>
      <c r="H22" s="300">
        <f t="shared" si="5"/>
        <v>0</v>
      </c>
      <c r="I22" s="300">
        <f>IF('Default Data'!AM54&gt;0,(('Default Data'!AM54/'Default Data'!$AG54)*$G22),0)</f>
        <v>0</v>
      </c>
      <c r="J22" s="300">
        <f>IF('Default Data'!AN54&gt;0,(('Default Data'!AN54/'Default Data'!$AG54)*$G22),0)</f>
        <v>0</v>
      </c>
      <c r="K22" s="300">
        <f>IF('Default Data'!AO54&gt;0,(('Default Data'!AO54/'Default Data'!$AG54)*$G22),0)</f>
        <v>0</v>
      </c>
      <c r="L22" s="300">
        <f>IF('Default Data'!AP54&gt;0,(('Default Data'!AP54/'Default Data'!$AG54)*$G22),0)</f>
        <v>0</v>
      </c>
      <c r="M22" s="300">
        <f>IF('Default Data'!AQ54&gt;0,(('Default Data'!AQ54/'Default Data'!$AG54)*$G22),0)</f>
        <v>0</v>
      </c>
      <c r="N22" s="300">
        <f t="shared" si="6"/>
        <v>0</v>
      </c>
    </row>
    <row r="23" spans="1:14" x14ac:dyDescent="0.25">
      <c r="A23" s="217"/>
      <c r="B23" s="99" t="s">
        <v>781</v>
      </c>
      <c r="C23" s="300">
        <f>IF(ProjectData!$B$11="Simple",'Default Data'!M55,ProjectData!D56)</f>
        <v>131441.83783783784</v>
      </c>
      <c r="D23" s="650">
        <f>IF(ProjectData!$B$11="Simple",'Default Data'!H55,ProjectData!F56)</f>
        <v>0</v>
      </c>
      <c r="F23" s="300">
        <f t="shared" si="4"/>
        <v>0</v>
      </c>
      <c r="G23" s="300">
        <f>IF(ProjectData!B$11="Simple",F23*(1+'Rates &amp; Misc'!C$6),F23*(1+ProjectData!B$29))</f>
        <v>0</v>
      </c>
      <c r="H23" s="300">
        <f t="shared" si="5"/>
        <v>0</v>
      </c>
      <c r="I23" s="300">
        <f>IF('Default Data'!AM55&gt;0,(('Default Data'!AM55/'Default Data'!$AG55)*$G23),0)</f>
        <v>0</v>
      </c>
      <c r="J23" s="300">
        <f>IF('Default Data'!AN55&gt;0,(('Default Data'!AN55/'Default Data'!$AG55)*$G23),0)</f>
        <v>0</v>
      </c>
      <c r="K23" s="300">
        <f>IF('Default Data'!AO55&gt;0,(('Default Data'!AO55/'Default Data'!$AG55)*$G23),0)</f>
        <v>0</v>
      </c>
      <c r="L23" s="300">
        <f>IF('Default Data'!AP55&gt;0,(('Default Data'!AP55/'Default Data'!$AG55)*$G23),0)</f>
        <v>0</v>
      </c>
      <c r="M23" s="300">
        <f>IF('Default Data'!AQ55&gt;0,(('Default Data'!AQ55/'Default Data'!$AG55)*$G23),0)</f>
        <v>0</v>
      </c>
      <c r="N23" s="300">
        <f t="shared" si="6"/>
        <v>0</v>
      </c>
    </row>
    <row r="24" spans="1:14" x14ac:dyDescent="0.25">
      <c r="A24" s="217"/>
      <c r="B24" s="99" t="s">
        <v>782</v>
      </c>
      <c r="C24" s="300">
        <f>IF(ProjectData!$B$11="Simple",'Default Data'!M56,ProjectData!D57)</f>
        <v>1197059.5945945946</v>
      </c>
      <c r="D24" s="650">
        <f>IF(ProjectData!$B$11="Simple",'Default Data'!H56,ProjectData!F57)</f>
        <v>0</v>
      </c>
      <c r="F24" s="300">
        <f t="shared" si="4"/>
        <v>0</v>
      </c>
      <c r="G24" s="300">
        <f>IF(ProjectData!B$11="Simple",F24*(1+'Rates &amp; Misc'!C$6),F24*(1+ProjectData!B$29))</f>
        <v>0</v>
      </c>
      <c r="H24" s="300">
        <f t="shared" si="5"/>
        <v>0</v>
      </c>
      <c r="I24" s="300">
        <f>IF('Default Data'!AM56&gt;0,(('Default Data'!AM56/'Default Data'!$AG56)*$G24),0)</f>
        <v>0</v>
      </c>
      <c r="J24" s="300">
        <f>IF('Default Data'!AN56&gt;0,(('Default Data'!AN56/'Default Data'!$AG56)*$G24),0)</f>
        <v>0</v>
      </c>
      <c r="K24" s="300">
        <f>IF('Default Data'!AO56&gt;0,(('Default Data'!AO56/'Default Data'!$AG56)*$G24),0)</f>
        <v>0</v>
      </c>
      <c r="L24" s="300">
        <f>IF('Default Data'!AP56&gt;0,(('Default Data'!AP56/'Default Data'!$AG56)*$G24),0)</f>
        <v>0</v>
      </c>
      <c r="M24" s="300">
        <f>IF('Default Data'!AQ56&gt;0,(('Default Data'!AQ56/'Default Data'!$AG56)*$G24),0)</f>
        <v>0</v>
      </c>
      <c r="N24" s="300">
        <f t="shared" si="6"/>
        <v>0</v>
      </c>
    </row>
    <row r="25" spans="1:14" x14ac:dyDescent="0.25">
      <c r="A25" s="217"/>
      <c r="B25" s="99" t="s">
        <v>783</v>
      </c>
      <c r="C25" s="300">
        <f>IF(ProjectData!$B$11="Simple",'Default Data'!M57,ProjectData!D58)</f>
        <v>183868.35372972972</v>
      </c>
      <c r="D25" s="650">
        <f>IF(ProjectData!$B$11="Simple",'Default Data'!H57,ProjectData!F58)</f>
        <v>0</v>
      </c>
      <c r="F25" s="300">
        <f t="shared" si="4"/>
        <v>0</v>
      </c>
      <c r="G25" s="300">
        <f>IF(ProjectData!B$11="Simple",F25*(1+'Rates &amp; Misc'!C$6),F25*(1+ProjectData!B$29))</f>
        <v>0</v>
      </c>
      <c r="H25" s="300">
        <f t="shared" si="5"/>
        <v>0</v>
      </c>
      <c r="I25" s="300">
        <f>IF('Default Data'!AM57&gt;0,(('Default Data'!AM57/'Default Data'!$AG57)*$G25),0)</f>
        <v>0</v>
      </c>
      <c r="J25" s="300">
        <f>IF('Default Data'!AN57&gt;0,(('Default Data'!AN57/'Default Data'!$AG57)*$G25),0)</f>
        <v>0</v>
      </c>
      <c r="K25" s="300">
        <f>IF('Default Data'!AO57&gt;0,(('Default Data'!AO57/'Default Data'!$AG57)*$G25),0)</f>
        <v>0</v>
      </c>
      <c r="L25" s="300">
        <f>IF('Default Data'!AP57&gt;0,(('Default Data'!AP57/'Default Data'!$AG57)*$G25),0)</f>
        <v>0</v>
      </c>
      <c r="M25" s="300">
        <f>IF('Default Data'!AQ57&gt;0,(('Default Data'!AQ57/'Default Data'!$AG57)*$G25),0)</f>
        <v>0</v>
      </c>
      <c r="N25" s="300">
        <f t="shared" si="6"/>
        <v>0</v>
      </c>
    </row>
    <row r="26" spans="1:14" x14ac:dyDescent="0.25">
      <c r="A26" s="217"/>
      <c r="B26" s="99" t="s">
        <v>98</v>
      </c>
      <c r="C26" s="300">
        <f>IF(ProjectData!$B$11="Simple",'Default Data'!M58,ProjectData!D59)</f>
        <v>10000</v>
      </c>
      <c r="D26" s="650">
        <f>IF(ProjectData!$B$11="Simple",'Default Data'!H58,ProjectData!F59)</f>
        <v>0</v>
      </c>
      <c r="F26" s="300">
        <f t="shared" si="4"/>
        <v>0</v>
      </c>
      <c r="G26" s="300">
        <f>IF(ProjectData!B$11="Simple",F26*(1+'Rates &amp; Misc'!C$6),F26*(1+ProjectData!B$29))</f>
        <v>0</v>
      </c>
      <c r="H26" s="300">
        <f t="shared" si="5"/>
        <v>0</v>
      </c>
      <c r="I26" s="300">
        <f>IF('Default Data'!AM58&gt;0,(('Default Data'!AM58/'Default Data'!$AG58)*$G26),0)</f>
        <v>0</v>
      </c>
      <c r="J26" s="300">
        <f>IF('Default Data'!AN58&gt;0,(('Default Data'!AN58/'Default Data'!$AG58)*$G26),0)</f>
        <v>0</v>
      </c>
      <c r="K26" s="300">
        <f>IF('Default Data'!AO58&gt;0,(('Default Data'!AO58/'Default Data'!$AG58)*$G26),0)</f>
        <v>0</v>
      </c>
      <c r="L26" s="300">
        <f>IF('Default Data'!AP58&gt;0,(('Default Data'!AP58/'Default Data'!$AG58)*$G26),0)</f>
        <v>0</v>
      </c>
      <c r="M26" s="300">
        <f>IF('Default Data'!AQ58&gt;0,(('Default Data'!AQ58/'Default Data'!$AG58)*$G26),0)</f>
        <v>0</v>
      </c>
      <c r="N26" s="300">
        <f t="shared" si="6"/>
        <v>0</v>
      </c>
    </row>
    <row r="27" spans="1:14" x14ac:dyDescent="0.25">
      <c r="A27" s="217"/>
      <c r="B27" s="99" t="s">
        <v>334</v>
      </c>
      <c r="C27" s="300">
        <f>IF(ProjectData!$B$11="Simple",'Default Data'!M59,ProjectData!D60)</f>
        <v>250000</v>
      </c>
      <c r="D27" s="650">
        <f>IF(ProjectData!$B$11="Simple",'Default Data'!H59,ProjectData!F60)</f>
        <v>1</v>
      </c>
      <c r="F27" s="300">
        <f t="shared" si="4"/>
        <v>250000</v>
      </c>
      <c r="G27" s="300">
        <f>IF(ProjectData!B$11="Simple",F27*(1+'Rates &amp; Misc'!C$6),F27*(1+ProjectData!B$29))</f>
        <v>262500</v>
      </c>
      <c r="H27" s="300">
        <f t="shared" si="5"/>
        <v>12500</v>
      </c>
      <c r="I27" s="300">
        <f>IF('Default Data'!AM59&gt;0,(('Default Data'!AM59/'Default Data'!$AG59)*$G27),0)</f>
        <v>0</v>
      </c>
      <c r="J27" s="300">
        <f>IF('Default Data'!AN59&gt;0,(('Default Data'!AN59/'Default Data'!$AG59)*$G27),0)</f>
        <v>42000</v>
      </c>
      <c r="K27" s="300">
        <f>IF('Default Data'!AO59&gt;0,(('Default Data'!AO59/'Default Data'!$AG59)*$G27),0)</f>
        <v>0</v>
      </c>
      <c r="L27" s="300">
        <f>IF('Default Data'!AP59&gt;0,(('Default Data'!AP59/'Default Data'!$AG59)*$G27),0)</f>
        <v>220500</v>
      </c>
      <c r="M27" s="300">
        <f>IF('Default Data'!AQ59&gt;0,(('Default Data'!AQ59/'Default Data'!$AG59)*$G27),0)</f>
        <v>0</v>
      </c>
      <c r="N27" s="300">
        <f t="shared" si="6"/>
        <v>262500</v>
      </c>
    </row>
    <row r="28" spans="1:14" x14ac:dyDescent="0.25">
      <c r="A28" s="217"/>
      <c r="B28" s="99" t="s">
        <v>387</v>
      </c>
      <c r="C28" s="300">
        <f>IF(ProjectData!$B$11="Simple",'Default Data'!M60,ProjectData!D61)</f>
        <v>1956206.2500000005</v>
      </c>
      <c r="D28" s="650">
        <f>IF(ProjectData!$B$11="Simple",'Default Data'!H60,ProjectData!F61)</f>
        <v>1</v>
      </c>
      <c r="F28" s="300">
        <f t="shared" si="4"/>
        <v>1956206.2500000005</v>
      </c>
      <c r="G28" s="300">
        <f>IF(ProjectData!B$11="Simple",F28*(1+'Rates &amp; Misc'!C$6),F28*(1+ProjectData!B$29))</f>
        <v>2054016.5625000005</v>
      </c>
      <c r="H28" s="300">
        <f t="shared" si="5"/>
        <v>97810.3125</v>
      </c>
      <c r="I28" s="300">
        <f>IF('Default Data'!AM60&gt;0,(('Default Data'!AM60/'Default Data'!$AG60)*$G28),0)</f>
        <v>0</v>
      </c>
      <c r="J28" s="300">
        <f>IF('Default Data'!AN60&gt;0,(('Default Data'!AN60/'Default Data'!$AG60)*$G28),0)</f>
        <v>328642.65000000008</v>
      </c>
      <c r="K28" s="300">
        <f>IF('Default Data'!AO60&gt;0,(('Default Data'!AO60/'Default Data'!$AG60)*$G28),0)</f>
        <v>0</v>
      </c>
      <c r="L28" s="300">
        <f>IF('Default Data'!AP60&gt;0,(('Default Data'!AP60/'Default Data'!$AG60)*$G28),0)</f>
        <v>1725373.9125000006</v>
      </c>
      <c r="M28" s="300">
        <f>IF('Default Data'!AQ60&gt;0,(('Default Data'!AQ60/'Default Data'!$AG60)*$G28),0)</f>
        <v>0</v>
      </c>
      <c r="N28" s="300">
        <f t="shared" si="6"/>
        <v>2054016.5625000007</v>
      </c>
    </row>
    <row r="29" spans="1:14" x14ac:dyDescent="0.25">
      <c r="A29" s="217"/>
      <c r="B29" s="99" t="s">
        <v>335</v>
      </c>
      <c r="C29" s="300">
        <f>IF(ProjectData!$B$11="Simple",'Default Data'!M61,ProjectData!D62)</f>
        <v>250000</v>
      </c>
      <c r="D29" s="650">
        <f>IF(ProjectData!$B$11="Simple",'Default Data'!H61,ProjectData!F62)</f>
        <v>0</v>
      </c>
      <c r="F29" s="300">
        <f t="shared" si="4"/>
        <v>0</v>
      </c>
      <c r="G29" s="300">
        <f>IF(ProjectData!B$11="Simple",F29*(1+'Rates &amp; Misc'!C$6),F29*(1+ProjectData!B$29))</f>
        <v>0</v>
      </c>
      <c r="H29" s="300">
        <f t="shared" si="5"/>
        <v>0</v>
      </c>
      <c r="I29" s="300">
        <f>IF('Default Data'!AM61&gt;0,(('Default Data'!AM61/'Default Data'!$AG61)*$G29),0)</f>
        <v>0</v>
      </c>
      <c r="J29" s="300">
        <f>IF('Default Data'!AN61&gt;0,(('Default Data'!AN61/'Default Data'!$AG61)*$G29),0)</f>
        <v>0</v>
      </c>
      <c r="K29" s="300">
        <f>IF('Default Data'!AO61&gt;0,(('Default Data'!AO61/'Default Data'!$AG61)*$G29),0)</f>
        <v>0</v>
      </c>
      <c r="L29" s="300">
        <f>IF('Default Data'!AP61&gt;0,(('Default Data'!AP61/'Default Data'!$AG61)*$G29),0)</f>
        <v>0</v>
      </c>
      <c r="M29" s="300">
        <f>IF('Default Data'!AQ61&gt;0,(('Default Data'!AQ61/'Default Data'!$AG61)*$G29),0)</f>
        <v>0</v>
      </c>
      <c r="N29" s="300">
        <f t="shared" si="6"/>
        <v>0</v>
      </c>
    </row>
    <row r="30" spans="1:14" x14ac:dyDescent="0.25">
      <c r="A30" s="217"/>
      <c r="B30" s="99" t="s">
        <v>338</v>
      </c>
      <c r="C30" s="300">
        <f>IF(ProjectData!$B$11="Simple",'Default Data'!M62,ProjectData!D63)</f>
        <v>450000</v>
      </c>
      <c r="D30" s="650">
        <f>IF(ProjectData!$B$11="Simple",'Default Data'!H62,ProjectData!F63)</f>
        <v>0</v>
      </c>
      <c r="F30" s="300">
        <f t="shared" si="4"/>
        <v>0</v>
      </c>
      <c r="G30" s="300">
        <f>IF(ProjectData!B$11="Simple",F30*(1+'Rates &amp; Misc'!C$6),F30*(1+ProjectData!B$29))</f>
        <v>0</v>
      </c>
      <c r="H30" s="300">
        <f t="shared" si="5"/>
        <v>0</v>
      </c>
      <c r="I30" s="300">
        <f>IF('Default Data'!AM62&gt;0,(('Default Data'!AM62/'Default Data'!$AG62)*$G30),0)</f>
        <v>0</v>
      </c>
      <c r="J30" s="300">
        <f>IF('Default Data'!AN62&gt;0,(('Default Data'!AN62/'Default Data'!$AG62)*$G30),0)</f>
        <v>0</v>
      </c>
      <c r="K30" s="300">
        <f>IF('Default Data'!AO62&gt;0,(('Default Data'!AO62/'Default Data'!$AG62)*$G30),0)</f>
        <v>0</v>
      </c>
      <c r="L30" s="300">
        <f>IF('Default Data'!AP62&gt;0,(('Default Data'!AP62/'Default Data'!$AG62)*$G30),0)</f>
        <v>0</v>
      </c>
      <c r="M30" s="300">
        <f>IF('Default Data'!AQ62&gt;0,(('Default Data'!AQ62/'Default Data'!$AG62)*$G30),0)</f>
        <v>0</v>
      </c>
      <c r="N30" s="300">
        <f t="shared" si="6"/>
        <v>0</v>
      </c>
    </row>
    <row r="31" spans="1:14" x14ac:dyDescent="0.25">
      <c r="A31" s="217"/>
      <c r="B31" s="99" t="s">
        <v>336</v>
      </c>
      <c r="C31" s="300">
        <f>IF(ProjectData!$B$11="Simple",'Default Data'!M63,ProjectData!D64)</f>
        <v>500000</v>
      </c>
      <c r="D31" s="650">
        <f>IF(ProjectData!$B$11="Simple",'Default Data'!H63,ProjectData!F64)</f>
        <v>1</v>
      </c>
      <c r="F31" s="300">
        <f t="shared" si="4"/>
        <v>500000</v>
      </c>
      <c r="G31" s="300">
        <f>IF(ProjectData!B$11="Simple",F31*(1+'Rates &amp; Misc'!C$6),F31*(1+ProjectData!B$29))</f>
        <v>525000</v>
      </c>
      <c r="H31" s="300">
        <f t="shared" si="5"/>
        <v>25000</v>
      </c>
      <c r="I31" s="300">
        <f>IF('Default Data'!AM63&gt;0,(('Default Data'!AM63/'Default Data'!$AG63)*$G31),0)</f>
        <v>0</v>
      </c>
      <c r="J31" s="300">
        <f>IF('Default Data'!AN63&gt;0,(('Default Data'!AN63/'Default Data'!$AG63)*$G31),0)</f>
        <v>0</v>
      </c>
      <c r="K31" s="300">
        <f>IF('Default Data'!AO63&gt;0,(('Default Data'!AO63/'Default Data'!$AG63)*$G31),0)</f>
        <v>262500</v>
      </c>
      <c r="L31" s="300">
        <f>IF('Default Data'!AP63&gt;0,(('Default Data'!AP63/'Default Data'!$AG63)*$G31),0)</f>
        <v>262500</v>
      </c>
      <c r="M31" s="300">
        <f>IF('Default Data'!AQ63&gt;0,(('Default Data'!AQ63/'Default Data'!$AG63)*$G31),0)</f>
        <v>0</v>
      </c>
      <c r="N31" s="300">
        <f t="shared" si="6"/>
        <v>525000</v>
      </c>
    </row>
    <row r="32" spans="1:14" x14ac:dyDescent="0.25">
      <c r="A32" s="217"/>
      <c r="B32" s="99" t="s">
        <v>339</v>
      </c>
      <c r="C32" s="300">
        <f>IF(ProjectData!$B$11="Simple",'Default Data'!M64,ProjectData!D65)</f>
        <v>100000</v>
      </c>
      <c r="D32" s="650">
        <f>IF(ProjectData!$B$11="Simple",'Default Data'!H64,ProjectData!F65)</f>
        <v>1</v>
      </c>
      <c r="F32" s="300">
        <f t="shared" si="4"/>
        <v>100000</v>
      </c>
      <c r="G32" s="300">
        <f>IF(ProjectData!B$11="Simple",F32*(1+'Rates &amp; Misc'!C$6),F32*(1+ProjectData!B$29))</f>
        <v>105000</v>
      </c>
      <c r="H32" s="300">
        <f t="shared" si="5"/>
        <v>5000</v>
      </c>
      <c r="I32" s="300">
        <f>IF('Default Data'!AM64&gt;0,(('Default Data'!AM64/'Default Data'!$AG64)*$G32),0)</f>
        <v>0</v>
      </c>
      <c r="J32" s="300">
        <f>IF('Default Data'!AN64&gt;0,(('Default Data'!AN64/'Default Data'!$AG64)*$G32),0)</f>
        <v>0</v>
      </c>
      <c r="K32" s="300">
        <f>IF('Default Data'!AO64&gt;0,(('Default Data'!AO64/'Default Data'!$AG64)*$G32),0)</f>
        <v>52500</v>
      </c>
      <c r="L32" s="300">
        <f>IF('Default Data'!AP64&gt;0,(('Default Data'!AP64/'Default Data'!$AG64)*$G32),0)</f>
        <v>52500</v>
      </c>
      <c r="M32" s="300">
        <f>IF('Default Data'!AQ64&gt;0,(('Default Data'!AQ64/'Default Data'!$AG64)*$G32),0)</f>
        <v>0</v>
      </c>
      <c r="N32" s="300">
        <f t="shared" si="6"/>
        <v>105000</v>
      </c>
    </row>
    <row r="33" spans="1:14" x14ac:dyDescent="0.25">
      <c r="A33" s="217"/>
      <c r="B33" s="99" t="s">
        <v>29</v>
      </c>
      <c r="C33" s="300">
        <f>IF(ProjectData!$B$11="Simple",'Default Data'!M65,ProjectData!D66)</f>
        <v>250000</v>
      </c>
      <c r="D33" s="650">
        <f>IF(ProjectData!$B$11="Simple",'Default Data'!H65,ProjectData!F66)</f>
        <v>1</v>
      </c>
      <c r="F33" s="300">
        <f t="shared" si="4"/>
        <v>250000</v>
      </c>
      <c r="G33" s="300">
        <f>IF(ProjectData!B$11="Simple",F33*(1+'Rates &amp; Misc'!C$6),F33*(1+ProjectData!B$29))</f>
        <v>262500</v>
      </c>
      <c r="H33" s="300">
        <f t="shared" si="5"/>
        <v>12500</v>
      </c>
      <c r="I33" s="300">
        <f>IF('Default Data'!AM65&gt;0,(('Default Data'!AM65/'Default Data'!$AG65)*$G33),0)</f>
        <v>0</v>
      </c>
      <c r="J33" s="300">
        <f>IF('Default Data'!AN65&gt;0,(('Default Data'!AN65/'Default Data'!$AG65)*$G33),0)</f>
        <v>42000</v>
      </c>
      <c r="K33" s="300">
        <f>IF('Default Data'!AO65&gt;0,(('Default Data'!AO65/'Default Data'!$AG65)*$G33),0)</f>
        <v>0</v>
      </c>
      <c r="L33" s="300">
        <f>IF('Default Data'!AP65&gt;0,(('Default Data'!AP65/'Default Data'!$AG65)*$G33),0)</f>
        <v>220500</v>
      </c>
      <c r="M33" s="300">
        <f>IF('Default Data'!AQ65&gt;0,(('Default Data'!AQ65/'Default Data'!$AG65)*$G33),0)</f>
        <v>0</v>
      </c>
      <c r="N33" s="300">
        <f t="shared" si="6"/>
        <v>262500</v>
      </c>
    </row>
    <row r="34" spans="1:14" x14ac:dyDescent="0.25">
      <c r="A34" s="217"/>
      <c r="B34" s="99" t="s">
        <v>340</v>
      </c>
      <c r="C34" s="300">
        <f>IF(ProjectData!$B$11="Simple",'Default Data'!M66,ProjectData!D67)</f>
        <v>50000</v>
      </c>
      <c r="D34" s="650">
        <f>IF(ProjectData!$B$11="Simple",'Default Data'!H66,ProjectData!F67)</f>
        <v>1</v>
      </c>
      <c r="F34" s="300">
        <f t="shared" si="4"/>
        <v>50000</v>
      </c>
      <c r="G34" s="300">
        <f>IF(ProjectData!B$11="Simple",F34*(1+'Rates &amp; Misc'!C$6),F34*(1+ProjectData!B$29))</f>
        <v>52500</v>
      </c>
      <c r="H34" s="300">
        <f t="shared" si="5"/>
        <v>2500</v>
      </c>
      <c r="I34" s="300">
        <f>IF('Default Data'!AM66&gt;0,(('Default Data'!AM66/'Default Data'!$AG66)*$G34),0)</f>
        <v>0</v>
      </c>
      <c r="J34" s="300">
        <f>IF('Default Data'!AN66&gt;0,(('Default Data'!AN66/'Default Data'!$AG66)*$G34),0)</f>
        <v>8400</v>
      </c>
      <c r="K34" s="300">
        <f>IF('Default Data'!AO66&gt;0,(('Default Data'!AO66/'Default Data'!$AG66)*$G34),0)</f>
        <v>0</v>
      </c>
      <c r="L34" s="300">
        <f>IF('Default Data'!AP66&gt;0,(('Default Data'!AP66/'Default Data'!$AG66)*$G34),0)</f>
        <v>44100</v>
      </c>
      <c r="M34" s="300">
        <f>IF('Default Data'!AQ66&gt;0,(('Default Data'!AQ66/'Default Data'!$AG66)*$G34),0)</f>
        <v>0</v>
      </c>
      <c r="N34" s="300">
        <f t="shared" si="6"/>
        <v>52500</v>
      </c>
    </row>
    <row r="35" spans="1:14" ht="15.75" thickBot="1" x14ac:dyDescent="0.3">
      <c r="A35" s="217"/>
      <c r="B35" s="99" t="s">
        <v>473</v>
      </c>
      <c r="C35" s="300">
        <f>IF(ProjectData!$B$11="Simple",'Default Data'!M67,ProjectData!D68)</f>
        <v>0</v>
      </c>
      <c r="D35" s="650">
        <f>IF(ProjectData!$B$11="Simple",'Default Data'!H67,ProjectData!F68)</f>
        <v>0</v>
      </c>
      <c r="F35" s="300">
        <f t="shared" si="4"/>
        <v>0</v>
      </c>
      <c r="G35" s="300">
        <f>IF(ProjectData!B$11="Simple",F35*(1+'Rates &amp; Misc'!C$6),F35*(1+ProjectData!B$29))</f>
        <v>0</v>
      </c>
      <c r="H35" s="300">
        <f t="shared" si="5"/>
        <v>0</v>
      </c>
      <c r="I35" s="300">
        <f>IF('Default Data'!AM67&gt;0,(('Default Data'!AM67/'Default Data'!$AG67)*$G35),0)</f>
        <v>0</v>
      </c>
      <c r="J35" s="300">
        <f>IF('Default Data'!AN67&gt;0,(('Default Data'!AN67/'Default Data'!$AG67)*$G35),0)</f>
        <v>0</v>
      </c>
      <c r="K35" s="300">
        <f>IF('Default Data'!AO67&gt;0,(('Default Data'!AO67/'Default Data'!$AG67)*$G35),0)</f>
        <v>0</v>
      </c>
      <c r="L35" s="300">
        <f>IF('Default Data'!AP67&gt;0,(('Default Data'!AP67/'Default Data'!$AG67)*$G35),0)</f>
        <v>0</v>
      </c>
      <c r="M35" s="300">
        <f>IF('Default Data'!AQ67&gt;0,(('Default Data'!AQ67/'Default Data'!$AG67)*$G35),0)</f>
        <v>0</v>
      </c>
      <c r="N35" s="300">
        <f t="shared" si="6"/>
        <v>0</v>
      </c>
    </row>
    <row r="36" spans="1:14" x14ac:dyDescent="0.25">
      <c r="A36" s="217"/>
      <c r="B36" s="397" t="s">
        <v>333</v>
      </c>
      <c r="C36" s="551">
        <f>SUM(C18:C35)-C25</f>
        <v>6242395.3698810814</v>
      </c>
      <c r="D36" s="33"/>
      <c r="E36" s="33"/>
      <c r="F36" s="551">
        <f>SUM(F18:F35)-F25</f>
        <v>3162069.0310810814</v>
      </c>
      <c r="G36" s="551">
        <f>SUM(G18:G35)-G25</f>
        <v>3320172.4826351358</v>
      </c>
      <c r="H36" s="300">
        <f t="shared" ref="H36:N36" si="7">SUM(H18:H35)</f>
        <v>158103.45155405405</v>
      </c>
      <c r="I36" s="300">
        <f t="shared" si="7"/>
        <v>58655.920135135137</v>
      </c>
      <c r="J36" s="300">
        <f t="shared" si="7"/>
        <v>421042.65000000008</v>
      </c>
      <c r="K36" s="300">
        <f t="shared" si="7"/>
        <v>315000</v>
      </c>
      <c r="L36" s="300">
        <f t="shared" si="7"/>
        <v>2525473.9125000006</v>
      </c>
      <c r="M36" s="300">
        <f t="shared" si="7"/>
        <v>0</v>
      </c>
      <c r="N36" s="300">
        <f t="shared" si="7"/>
        <v>3320172.4826351358</v>
      </c>
    </row>
    <row r="37" spans="1:14" x14ac:dyDescent="0.25">
      <c r="A37" s="217"/>
      <c r="B37" s="358"/>
      <c r="C37" s="300"/>
    </row>
    <row r="38" spans="1:14" ht="15.75" x14ac:dyDescent="0.25">
      <c r="A38" s="217"/>
      <c r="B38" s="401" t="s">
        <v>112</v>
      </c>
      <c r="C38" s="300"/>
    </row>
    <row r="39" spans="1:14" x14ac:dyDescent="0.25">
      <c r="A39" s="217"/>
      <c r="B39" s="391" t="s">
        <v>119</v>
      </c>
      <c r="C39" s="300">
        <f>IF(ProjectData!$B$11="Simple",'Default Data'!M71,ProjectData!D72)</f>
        <v>78095.191786368247</v>
      </c>
      <c r="D39" s="650">
        <f>IF(ProjectData!$B$11="Simple",'Default Data'!H71,ProjectData!F72)</f>
        <v>1</v>
      </c>
      <c r="F39" s="300">
        <f t="shared" ref="F39:F56" si="8">D39*C39</f>
        <v>78095.191786368247</v>
      </c>
      <c r="G39" s="300">
        <f>IF(ProjectData!B$11="Simple",F39*(1+'Rates &amp; Misc'!C$6),F39*(1+ProjectData!B$29))</f>
        <v>81999.951375686665</v>
      </c>
      <c r="H39" s="300">
        <f t="shared" ref="H39:H56" si="9">G39-F39</f>
        <v>3904.7595893184189</v>
      </c>
      <c r="I39" s="300">
        <f>IF('Default Data'!AM71&gt;0,(('Default Data'!AM71/'Default Data'!$AG71)*$G39),0)</f>
        <v>81999.951375686665</v>
      </c>
      <c r="J39" s="300">
        <f>IF('Default Data'!AN71&gt;0,(('Default Data'!AN71/'Default Data'!$AG71)*$G39),0)</f>
        <v>0</v>
      </c>
      <c r="K39" s="300">
        <f>IF('Default Data'!AO71&gt;0,(('Default Data'!AO71/'Default Data'!$AG71)*$G39),0)</f>
        <v>0</v>
      </c>
      <c r="L39" s="300">
        <f>IF('Default Data'!AP71&gt;0,(('Default Data'!AP71/'Default Data'!$AG71)*$G39),0)</f>
        <v>0</v>
      </c>
      <c r="M39" s="300">
        <f>IF('Default Data'!AQ71&gt;0,(('Default Data'!AQ71/'Default Data'!$AG71)*$G39),0)</f>
        <v>0</v>
      </c>
      <c r="N39" s="300">
        <f t="shared" ref="N39:N56" si="10">SUM(I39:M39)</f>
        <v>81999.951375686665</v>
      </c>
    </row>
    <row r="40" spans="1:14" x14ac:dyDescent="0.25">
      <c r="A40" s="217"/>
      <c r="B40" s="391" t="s">
        <v>326</v>
      </c>
      <c r="C40" s="300">
        <f>IF(ProjectData!$B$11="Simple",'Default Data'!M72,ProjectData!D73)</f>
        <v>89251.647755849423</v>
      </c>
      <c r="D40" s="650">
        <f>IF(ProjectData!$B$11="Simple",'Default Data'!H72,ProjectData!F73)</f>
        <v>0</v>
      </c>
      <c r="F40" s="300">
        <f t="shared" si="8"/>
        <v>0</v>
      </c>
      <c r="G40" s="300">
        <f>IF(ProjectData!B$11="Simple",F40*(1+'Rates &amp; Misc'!C$6),F40*(1+ProjectData!B$29))</f>
        <v>0</v>
      </c>
      <c r="H40" s="300">
        <f t="shared" si="9"/>
        <v>0</v>
      </c>
      <c r="I40" s="300">
        <f>IF('Default Data'!AM72&gt;0,(('Default Data'!AM72/'Default Data'!$AG72)*$G40),0)</f>
        <v>0</v>
      </c>
      <c r="J40" s="300">
        <f>IF('Default Data'!AN72&gt;0,(('Default Data'!AN72/'Default Data'!$AG72)*$G40),0)</f>
        <v>0</v>
      </c>
      <c r="K40" s="300">
        <f>IF('Default Data'!AO72&gt;0,(('Default Data'!AO72/'Default Data'!$AG72)*$G40),0)</f>
        <v>0</v>
      </c>
      <c r="L40" s="300">
        <f>IF('Default Data'!AP72&gt;0,(('Default Data'!AP72/'Default Data'!$AG72)*$G40),0)</f>
        <v>0</v>
      </c>
      <c r="M40" s="300">
        <f>IF('Default Data'!AQ72&gt;0,(('Default Data'!AQ72/'Default Data'!$AG72)*$G40),0)</f>
        <v>0</v>
      </c>
      <c r="N40" s="300">
        <f t="shared" si="10"/>
        <v>0</v>
      </c>
    </row>
    <row r="41" spans="1:14" x14ac:dyDescent="0.25">
      <c r="A41" s="217"/>
      <c r="B41" s="99" t="s">
        <v>337</v>
      </c>
      <c r="C41" s="300">
        <f>IF(ProjectData!$B$11="Simple",'Default Data'!M73,ProjectData!D74)</f>
        <v>663809.13018413016</v>
      </c>
      <c r="D41" s="650">
        <f>IF(ProjectData!$B$11="Simple",'Default Data'!H73,ProjectData!F74)</f>
        <v>0</v>
      </c>
      <c r="F41" s="300">
        <f t="shared" si="8"/>
        <v>0</v>
      </c>
      <c r="G41" s="300">
        <f>IF(ProjectData!B$11="Simple",F41*(1+'Rates &amp; Misc'!C$6),F41*(1+ProjectData!B$29))</f>
        <v>0</v>
      </c>
      <c r="H41" s="300">
        <f t="shared" si="9"/>
        <v>0</v>
      </c>
      <c r="I41" s="300">
        <f>IF('Default Data'!AM73&gt;0,(('Default Data'!AM73/'Default Data'!$AG73)*$G41),0)</f>
        <v>0</v>
      </c>
      <c r="J41" s="300">
        <f>IF('Default Data'!AN73&gt;0,(('Default Data'!AN73/'Default Data'!$AG73)*$G41),0)</f>
        <v>0</v>
      </c>
      <c r="K41" s="300">
        <f>IF('Default Data'!AO73&gt;0,(('Default Data'!AO73/'Default Data'!$AG73)*$G41),0)</f>
        <v>0</v>
      </c>
      <c r="L41" s="300">
        <f>IF('Default Data'!AP73&gt;0,(('Default Data'!AP73/'Default Data'!$AG73)*$G41),0)</f>
        <v>0</v>
      </c>
      <c r="M41" s="300">
        <f>IF('Default Data'!AQ73&gt;0,(('Default Data'!AQ73/'Default Data'!$AG73)*$G41),0)</f>
        <v>0</v>
      </c>
      <c r="N41" s="300">
        <f t="shared" si="10"/>
        <v>0</v>
      </c>
    </row>
    <row r="42" spans="1:14" x14ac:dyDescent="0.25">
      <c r="A42" s="217"/>
      <c r="B42" s="99" t="s">
        <v>755</v>
      </c>
      <c r="C42" s="300">
        <f>IF(ProjectData!$B$11="Simple",'Default Data'!M74,ProjectData!D75)</f>
        <v>177387.64991475068</v>
      </c>
      <c r="D42" s="650">
        <f>IF(ProjectData!$B$11="Simple",'Default Data'!H74,ProjectData!F75)</f>
        <v>0</v>
      </c>
      <c r="F42" s="300">
        <f t="shared" si="8"/>
        <v>0</v>
      </c>
      <c r="G42" s="300">
        <f>IF(ProjectData!B$11="Simple",F42*(1+'Rates &amp; Misc'!C$6),F42*(1+ProjectData!B$29))</f>
        <v>0</v>
      </c>
      <c r="H42" s="300">
        <f t="shared" si="9"/>
        <v>0</v>
      </c>
      <c r="I42" s="300">
        <f>IF('Default Data'!AM74&gt;0,(('Default Data'!AM74/'Default Data'!$AG74)*$G42),0)</f>
        <v>0</v>
      </c>
      <c r="J42" s="300">
        <f>IF('Default Data'!AN74&gt;0,(('Default Data'!AN74/'Default Data'!$AG74)*$G42),0)</f>
        <v>0</v>
      </c>
      <c r="K42" s="300">
        <f>IF('Default Data'!AO74&gt;0,(('Default Data'!AO74/'Default Data'!$AG74)*$G42),0)</f>
        <v>0</v>
      </c>
      <c r="L42" s="300">
        <f>IF('Default Data'!AP74&gt;0,(('Default Data'!AP74/'Default Data'!$AG74)*$G42),0)</f>
        <v>0</v>
      </c>
      <c r="M42" s="300">
        <f>IF('Default Data'!AQ74&gt;0,(('Default Data'!AQ74/'Default Data'!$AG74)*$G42),0)</f>
        <v>0</v>
      </c>
      <c r="N42" s="300">
        <f t="shared" si="10"/>
        <v>0</v>
      </c>
    </row>
    <row r="43" spans="1:14" x14ac:dyDescent="0.25">
      <c r="A43" s="217"/>
      <c r="B43" s="99" t="s">
        <v>754</v>
      </c>
      <c r="C43" s="300">
        <f>IF(ProjectData!$B$11="Simple",'Default Data'!M75,ProjectData!D76)</f>
        <v>526004.58604909852</v>
      </c>
      <c r="D43" s="650">
        <f>IF(ProjectData!$B$11="Simple",'Default Data'!H75,ProjectData!F76)</f>
        <v>0</v>
      </c>
      <c r="F43" s="300">
        <f t="shared" si="8"/>
        <v>0</v>
      </c>
      <c r="G43" s="300">
        <f>IF(ProjectData!B$11="Simple",F43*(1+'Rates &amp; Misc'!C$6),F43*(1+ProjectData!B$29))</f>
        <v>0</v>
      </c>
      <c r="H43" s="300">
        <f t="shared" si="9"/>
        <v>0</v>
      </c>
      <c r="I43" s="300">
        <f>IF('Default Data'!AM75&gt;0,(('Default Data'!AM75/'Default Data'!$AG75)*$G43),0)</f>
        <v>0</v>
      </c>
      <c r="J43" s="300">
        <f>IF('Default Data'!AN75&gt;0,(('Default Data'!AN75/'Default Data'!$AG75)*$G43),0)</f>
        <v>0</v>
      </c>
      <c r="K43" s="300">
        <f>IF('Default Data'!AO75&gt;0,(('Default Data'!AO75/'Default Data'!$AG75)*$G43),0)</f>
        <v>0</v>
      </c>
      <c r="L43" s="300">
        <f>IF('Default Data'!AP75&gt;0,(('Default Data'!AP75/'Default Data'!$AG75)*$G43),0)</f>
        <v>0</v>
      </c>
      <c r="M43" s="300">
        <f>IF('Default Data'!AQ75&gt;0,(('Default Data'!AQ75/'Default Data'!$AG75)*$G43),0)</f>
        <v>0</v>
      </c>
      <c r="N43" s="300">
        <f t="shared" si="10"/>
        <v>0</v>
      </c>
    </row>
    <row r="44" spans="1:14" x14ac:dyDescent="0.25">
      <c r="A44" s="217"/>
      <c r="B44" s="99" t="s">
        <v>111</v>
      </c>
      <c r="C44" s="300">
        <f>IF(ProjectData!$B$11="Simple",'Default Data'!M76,ProjectData!D77)</f>
        <v>183753.39243851352</v>
      </c>
      <c r="D44" s="650">
        <f>IF(ProjectData!$B$11="Simple",'Default Data'!H76,ProjectData!F77)</f>
        <v>0</v>
      </c>
      <c r="F44" s="300">
        <f t="shared" si="8"/>
        <v>0</v>
      </c>
      <c r="G44" s="300">
        <f>IF(ProjectData!B$11="Simple",F44*(1+'Rates &amp; Misc'!C$6),F44*(1+ProjectData!B$29))</f>
        <v>0</v>
      </c>
      <c r="H44" s="300">
        <f t="shared" si="9"/>
        <v>0</v>
      </c>
      <c r="I44" s="300">
        <f>IF('Default Data'!AM76&gt;0,(('Default Data'!AM76/'Default Data'!$AG76)*$G44),0)</f>
        <v>0</v>
      </c>
      <c r="J44" s="300">
        <f>IF('Default Data'!AN76&gt;0,(('Default Data'!AN76/'Default Data'!$AG76)*$G44),0)</f>
        <v>0</v>
      </c>
      <c r="K44" s="300">
        <f>IF('Default Data'!AO76&gt;0,(('Default Data'!AO76/'Default Data'!$AG76)*$G44),0)</f>
        <v>0</v>
      </c>
      <c r="L44" s="300">
        <f>IF('Default Data'!AP76&gt;0,(('Default Data'!AP76/'Default Data'!$AG76)*$G44),0)</f>
        <v>0</v>
      </c>
      <c r="M44" s="300">
        <f>IF('Default Data'!AQ76&gt;0,(('Default Data'!AQ76/'Default Data'!$AG76)*$G44),0)</f>
        <v>0</v>
      </c>
      <c r="N44" s="300">
        <f t="shared" si="10"/>
        <v>0</v>
      </c>
    </row>
    <row r="45" spans="1:14" x14ac:dyDescent="0.25">
      <c r="A45" s="217"/>
      <c r="B45" s="99" t="s">
        <v>332</v>
      </c>
      <c r="C45" s="300">
        <f>IF(ProjectData!$B$11="Simple",'Default Data'!M77,ProjectData!D78)</f>
        <v>1673468.3954221767</v>
      </c>
      <c r="D45" s="650">
        <f>IF(ProjectData!$B$11="Simple",'Default Data'!H77,ProjectData!F78)</f>
        <v>0</v>
      </c>
      <c r="F45" s="300">
        <f t="shared" si="8"/>
        <v>0</v>
      </c>
      <c r="G45" s="300">
        <f>IF(ProjectData!B$11="Simple",F45*(1+'Rates &amp; Misc'!C$6),F45*(1+ProjectData!B$29))</f>
        <v>0</v>
      </c>
      <c r="H45" s="300">
        <f t="shared" si="9"/>
        <v>0</v>
      </c>
      <c r="I45" s="300">
        <f>IF('Default Data'!AM77&gt;0,(('Default Data'!AM77/'Default Data'!$AG77)*$G45),0)</f>
        <v>0</v>
      </c>
      <c r="J45" s="300">
        <f>IF('Default Data'!AN77&gt;0,(('Default Data'!AN77/'Default Data'!$AG77)*$G45),0)</f>
        <v>0</v>
      </c>
      <c r="K45" s="300">
        <f>IF('Default Data'!AO77&gt;0,(('Default Data'!AO77/'Default Data'!$AG77)*$G45),0)</f>
        <v>0</v>
      </c>
      <c r="L45" s="300">
        <f>IF('Default Data'!AP77&gt;0,(('Default Data'!AP77/'Default Data'!$AG77)*$G45),0)</f>
        <v>0</v>
      </c>
      <c r="M45" s="300">
        <f>IF('Default Data'!AQ77&gt;0,(('Default Data'!AQ77/'Default Data'!$AG77)*$G45),0)</f>
        <v>0</v>
      </c>
      <c r="N45" s="300">
        <f t="shared" si="10"/>
        <v>0</v>
      </c>
    </row>
    <row r="46" spans="1:14" x14ac:dyDescent="0.25">
      <c r="A46" s="217"/>
      <c r="B46" s="99" t="s">
        <v>341</v>
      </c>
      <c r="C46" s="300">
        <f>IF(ProjectData!$B$11="Simple",'Default Data'!M78,ProjectData!D79)</f>
        <v>257044.74553684634</v>
      </c>
      <c r="D46" s="650">
        <f>IF(ProjectData!$B$11="Simple",'Default Data'!H78,ProjectData!F79)</f>
        <v>0</v>
      </c>
      <c r="F46" s="300">
        <f t="shared" si="8"/>
        <v>0</v>
      </c>
      <c r="G46" s="300">
        <f>IF(ProjectData!B$11="Simple",F46*(1+'Rates &amp; Misc'!C$6),F46*(1+ProjectData!B$29))</f>
        <v>0</v>
      </c>
      <c r="H46" s="300">
        <f t="shared" si="9"/>
        <v>0</v>
      </c>
      <c r="I46" s="300">
        <f>IF('Default Data'!AM78&gt;0,(('Default Data'!AM78/'Default Data'!$AG78)*$G46),0)</f>
        <v>0</v>
      </c>
      <c r="J46" s="300">
        <f>IF('Default Data'!AN78&gt;0,(('Default Data'!AN78/'Default Data'!$AG78)*$G46),0)</f>
        <v>0</v>
      </c>
      <c r="K46" s="300">
        <f>IF('Default Data'!AO78&gt;0,(('Default Data'!AO78/'Default Data'!$AG78)*$G46),0)</f>
        <v>0</v>
      </c>
      <c r="L46" s="300">
        <f>IF('Default Data'!AP78&gt;0,(('Default Data'!AP78/'Default Data'!$AG78)*$G46),0)</f>
        <v>0</v>
      </c>
      <c r="M46" s="300">
        <f>IF('Default Data'!AQ78&gt;0,(('Default Data'!AQ78/'Default Data'!$AG78)*$G46),0)</f>
        <v>0</v>
      </c>
      <c r="N46" s="300">
        <f t="shared" si="10"/>
        <v>0</v>
      </c>
    </row>
    <row r="47" spans="1:14" x14ac:dyDescent="0.25">
      <c r="A47" s="217"/>
      <c r="B47" s="99" t="s">
        <v>98</v>
      </c>
      <c r="C47" s="300">
        <f>IF(ProjectData!$B$11="Simple",'Default Data'!M79,ProjectData!D80)</f>
        <v>13979.82525664419</v>
      </c>
      <c r="D47" s="650">
        <f>IF(ProjectData!$B$11="Simple",'Default Data'!H79,ProjectData!F80)</f>
        <v>0</v>
      </c>
      <c r="F47" s="300">
        <f t="shared" si="8"/>
        <v>0</v>
      </c>
      <c r="G47" s="300">
        <f>IF(ProjectData!B$11="Simple",F47*(1+'Rates &amp; Misc'!C$6),F47*(1+ProjectData!B$29))</f>
        <v>0</v>
      </c>
      <c r="H47" s="300">
        <f t="shared" si="9"/>
        <v>0</v>
      </c>
      <c r="I47" s="300">
        <f>IF('Default Data'!AM79&gt;0,(('Default Data'!AM79/'Default Data'!$AG79)*$G47),0)</f>
        <v>0</v>
      </c>
      <c r="J47" s="300">
        <f>IF('Default Data'!AN79&gt;0,(('Default Data'!AN79/'Default Data'!$AG79)*$G47),0)</f>
        <v>0</v>
      </c>
      <c r="K47" s="300">
        <f>IF('Default Data'!AO79&gt;0,(('Default Data'!AO79/'Default Data'!$AG79)*$G47),0)</f>
        <v>0</v>
      </c>
      <c r="L47" s="300">
        <f>IF('Default Data'!AP79&gt;0,(('Default Data'!AP79/'Default Data'!$AG79)*$G47),0)</f>
        <v>0</v>
      </c>
      <c r="M47" s="300">
        <f>IF('Default Data'!AQ79&gt;0,(('Default Data'!AQ79/'Default Data'!$AG79)*$G47),0)</f>
        <v>0</v>
      </c>
      <c r="N47" s="300">
        <f t="shared" si="10"/>
        <v>0</v>
      </c>
    </row>
    <row r="48" spans="1:14" x14ac:dyDescent="0.25">
      <c r="A48" s="217"/>
      <c r="B48" s="99" t="s">
        <v>334</v>
      </c>
      <c r="C48" s="300">
        <f>IF(ProjectData!$B$11="Simple",'Default Data'!M80,ProjectData!D81)</f>
        <v>349495.63141610473</v>
      </c>
      <c r="D48" s="650">
        <f>IF(ProjectData!$B$11="Simple",'Default Data'!H80,ProjectData!F81)</f>
        <v>1</v>
      </c>
      <c r="F48" s="300">
        <f t="shared" si="8"/>
        <v>349495.63141610473</v>
      </c>
      <c r="G48" s="300">
        <f>IF(ProjectData!B$11="Simple",F48*(1+'Rates &amp; Misc'!C$6),F48*(1+ProjectData!B$29))</f>
        <v>366970.41298690997</v>
      </c>
      <c r="H48" s="300">
        <f t="shared" si="9"/>
        <v>17474.781570805237</v>
      </c>
      <c r="I48" s="300">
        <f>IF('Default Data'!AM80&gt;0,(('Default Data'!AM80/'Default Data'!$AG80)*$G48),0)</f>
        <v>0</v>
      </c>
      <c r="J48" s="300">
        <f>IF('Default Data'!AN80&gt;0,(('Default Data'!AN80/'Default Data'!$AG80)*$G48),0)</f>
        <v>58715.266077905595</v>
      </c>
      <c r="K48" s="300">
        <f>IF('Default Data'!AO80&gt;0,(('Default Data'!AO80/'Default Data'!$AG80)*$G48),0)</f>
        <v>0</v>
      </c>
      <c r="L48" s="300">
        <f>IF('Default Data'!AP80&gt;0,(('Default Data'!AP80/'Default Data'!$AG80)*$G48),0)</f>
        <v>308255.14690900437</v>
      </c>
      <c r="M48" s="300">
        <f>IF('Default Data'!AQ80&gt;0,(('Default Data'!AQ80/'Default Data'!$AG80)*$G48),0)</f>
        <v>0</v>
      </c>
      <c r="N48" s="300">
        <f t="shared" si="10"/>
        <v>366970.41298690997</v>
      </c>
    </row>
    <row r="49" spans="1:14" x14ac:dyDescent="0.25">
      <c r="A49" s="217"/>
      <c r="B49" s="99" t="s">
        <v>389</v>
      </c>
      <c r="C49" s="300">
        <f>IF(ProjectData!$B$11="Simple",'Default Data'!M81,ProjectData!D82)</f>
        <v>2734742.1540955226</v>
      </c>
      <c r="D49" s="650">
        <f>IF(ProjectData!$B$11="Simple",'Default Data'!H81,ProjectData!F82)</f>
        <v>1</v>
      </c>
      <c r="F49" s="300">
        <f t="shared" si="8"/>
        <v>2734742.1540955226</v>
      </c>
      <c r="G49" s="300">
        <f>IF(ProjectData!B$11="Simple",F49*(1+'Rates &amp; Misc'!C$6),F49*(1+ProjectData!B$29))</f>
        <v>2871479.2618002989</v>
      </c>
      <c r="H49" s="300">
        <f t="shared" si="9"/>
        <v>136737.10770477634</v>
      </c>
      <c r="I49" s="300">
        <f>IF('Default Data'!AM81&gt;0,(('Default Data'!AM81/'Default Data'!$AG81)*$G49),0)</f>
        <v>0</v>
      </c>
      <c r="J49" s="300">
        <f>IF('Default Data'!AN81&gt;0,(('Default Data'!AN81/'Default Data'!$AG81)*$G49),0)</f>
        <v>459436.68188804784</v>
      </c>
      <c r="K49" s="300">
        <f>IF('Default Data'!AO81&gt;0,(('Default Data'!AO81/'Default Data'!$AG81)*$G49),0)</f>
        <v>0</v>
      </c>
      <c r="L49" s="300">
        <f>IF('Default Data'!AP81&gt;0,(('Default Data'!AP81/'Default Data'!$AG81)*$G49),0)</f>
        <v>2412042.5799122509</v>
      </c>
      <c r="M49" s="300">
        <f>IF('Default Data'!AQ81&gt;0,(('Default Data'!AQ81/'Default Data'!$AG81)*$G49),0)</f>
        <v>0</v>
      </c>
      <c r="N49" s="300">
        <f t="shared" si="10"/>
        <v>2871479.2618002985</v>
      </c>
    </row>
    <row r="50" spans="1:14" x14ac:dyDescent="0.25">
      <c r="A50" s="217"/>
      <c r="B50" s="99" t="s">
        <v>335</v>
      </c>
      <c r="C50" s="300">
        <f>IF(ProjectData!$B$11="Simple",'Default Data'!M82,ProjectData!D83)</f>
        <v>349495.63141610473</v>
      </c>
      <c r="D50" s="650">
        <f>IF(ProjectData!$B$11="Simple",'Default Data'!H82,ProjectData!F83)</f>
        <v>0</v>
      </c>
      <c r="F50" s="300">
        <f t="shared" si="8"/>
        <v>0</v>
      </c>
      <c r="G50" s="300">
        <f>IF(ProjectData!B$11="Simple",F50*(1+'Rates &amp; Misc'!C$6),F50*(1+ProjectData!B$29))</f>
        <v>0</v>
      </c>
      <c r="H50" s="300">
        <f t="shared" si="9"/>
        <v>0</v>
      </c>
      <c r="I50" s="300">
        <f>IF('Default Data'!AM82&gt;0,(('Default Data'!AM82/'Default Data'!$AG82)*$G50),0)</f>
        <v>0</v>
      </c>
      <c r="J50" s="300">
        <f>IF('Default Data'!AN82&gt;0,(('Default Data'!AN82/'Default Data'!$AG82)*$G50),0)</f>
        <v>0</v>
      </c>
      <c r="K50" s="300">
        <f>IF('Default Data'!AO82&gt;0,(('Default Data'!AO82/'Default Data'!$AG82)*$G50),0)</f>
        <v>0</v>
      </c>
      <c r="L50" s="300">
        <f>IF('Default Data'!AP82&gt;0,(('Default Data'!AP82/'Default Data'!$AG82)*$G50),0)</f>
        <v>0</v>
      </c>
      <c r="M50" s="300">
        <f>IF('Default Data'!AQ82&gt;0,(('Default Data'!AQ82/'Default Data'!$AG82)*$G50),0)</f>
        <v>0</v>
      </c>
      <c r="N50" s="300">
        <f t="shared" si="10"/>
        <v>0</v>
      </c>
    </row>
    <row r="51" spans="1:14" x14ac:dyDescent="0.25">
      <c r="A51" s="217"/>
      <c r="B51" s="99" t="s">
        <v>338</v>
      </c>
      <c r="C51" s="300">
        <f>IF(ProjectData!$B$11="Simple",'Default Data'!M83,ProjectData!D84)</f>
        <v>629092.13654898852</v>
      </c>
      <c r="D51" s="650">
        <f>IF(ProjectData!$B$11="Simple",'Default Data'!H83,ProjectData!F84)</f>
        <v>0</v>
      </c>
      <c r="F51" s="300">
        <f t="shared" si="8"/>
        <v>0</v>
      </c>
      <c r="G51" s="300">
        <f>IF(ProjectData!B$11="Simple",F51*(1+'Rates &amp; Misc'!C$6),F51*(1+ProjectData!B$29))</f>
        <v>0</v>
      </c>
      <c r="H51" s="300">
        <f t="shared" si="9"/>
        <v>0</v>
      </c>
      <c r="I51" s="300">
        <f>IF('Default Data'!AM83&gt;0,(('Default Data'!AM83/'Default Data'!$AG83)*$G51),0)</f>
        <v>0</v>
      </c>
      <c r="J51" s="300">
        <f>IF('Default Data'!AN83&gt;0,(('Default Data'!AN83/'Default Data'!$AG83)*$G51),0)</f>
        <v>0</v>
      </c>
      <c r="K51" s="300">
        <f>IF('Default Data'!AO83&gt;0,(('Default Data'!AO83/'Default Data'!$AG83)*$G51),0)</f>
        <v>0</v>
      </c>
      <c r="L51" s="300">
        <f>IF('Default Data'!AP83&gt;0,(('Default Data'!AP83/'Default Data'!$AG83)*$G51),0)</f>
        <v>0</v>
      </c>
      <c r="M51" s="300">
        <f>IF('Default Data'!AQ83&gt;0,(('Default Data'!AQ83/'Default Data'!$AG83)*$G51),0)</f>
        <v>0</v>
      </c>
      <c r="N51" s="300">
        <f t="shared" si="10"/>
        <v>0</v>
      </c>
    </row>
    <row r="52" spans="1:14" x14ac:dyDescent="0.25">
      <c r="B52" s="99" t="s">
        <v>336</v>
      </c>
      <c r="C52" s="300">
        <f>IF(ProjectData!$B$11="Simple",'Default Data'!M84,ProjectData!D85)</f>
        <v>698991.26283220947</v>
      </c>
      <c r="D52" s="650">
        <f>IF(ProjectData!$B$11="Simple",'Default Data'!H84,ProjectData!F85)</f>
        <v>1</v>
      </c>
      <c r="F52" s="300">
        <f t="shared" si="8"/>
        <v>698991.26283220947</v>
      </c>
      <c r="G52" s="300">
        <f>IF(ProjectData!B$11="Simple",F52*(1+'Rates &amp; Misc'!C$6),F52*(1+ProjectData!B$29))</f>
        <v>733940.82597381994</v>
      </c>
      <c r="H52" s="300">
        <f t="shared" si="9"/>
        <v>34949.563141610473</v>
      </c>
      <c r="I52" s="300">
        <f>IF('Default Data'!AM84&gt;0,(('Default Data'!AM84/'Default Data'!$AG84)*$G52),0)</f>
        <v>0</v>
      </c>
      <c r="J52" s="300">
        <f>IF('Default Data'!AN84&gt;0,(('Default Data'!AN84/'Default Data'!$AG84)*$G52),0)</f>
        <v>0</v>
      </c>
      <c r="K52" s="300">
        <f>IF('Default Data'!AO84&gt;0,(('Default Data'!AO84/'Default Data'!$AG84)*$G52),0)</f>
        <v>366970.41298690997</v>
      </c>
      <c r="L52" s="300">
        <f>IF('Default Data'!AP84&gt;0,(('Default Data'!AP84/'Default Data'!$AG84)*$G52),0)</f>
        <v>366970.41298690997</v>
      </c>
      <c r="M52" s="300">
        <f>IF('Default Data'!AQ84&gt;0,(('Default Data'!AQ84/'Default Data'!$AG84)*$G52),0)</f>
        <v>0</v>
      </c>
      <c r="N52" s="300">
        <f t="shared" si="10"/>
        <v>733940.82597381994</v>
      </c>
    </row>
    <row r="53" spans="1:14" x14ac:dyDescent="0.25">
      <c r="B53" s="99" t="s">
        <v>339</v>
      </c>
      <c r="C53" s="300">
        <f>IF(ProjectData!$B$11="Simple",'Default Data'!M85,ProjectData!D86)</f>
        <v>139798.25256644189</v>
      </c>
      <c r="D53" s="650">
        <f>IF(ProjectData!$B$11="Simple",'Default Data'!H85,ProjectData!F86)</f>
        <v>1</v>
      </c>
      <c r="F53" s="300">
        <f t="shared" si="8"/>
        <v>139798.25256644189</v>
      </c>
      <c r="G53" s="300">
        <f>IF(ProjectData!B$11="Simple",F53*(1+'Rates &amp; Misc'!C$6),F53*(1+ProjectData!B$29))</f>
        <v>146788.16519476401</v>
      </c>
      <c r="H53" s="300">
        <f t="shared" si="9"/>
        <v>6989.9126283221121</v>
      </c>
      <c r="I53" s="300">
        <f>IF('Default Data'!AM85&gt;0,(('Default Data'!AM85/'Default Data'!$AG85)*$G53),0)</f>
        <v>0</v>
      </c>
      <c r="J53" s="300">
        <f>IF('Default Data'!AN85&gt;0,(('Default Data'!AN85/'Default Data'!$AG85)*$G53),0)</f>
        <v>0</v>
      </c>
      <c r="K53" s="300">
        <f>IF('Default Data'!AO85&gt;0,(('Default Data'!AO85/'Default Data'!$AG85)*$G53),0)</f>
        <v>73394.082597382003</v>
      </c>
      <c r="L53" s="300">
        <f>IF('Default Data'!AP85&gt;0,(('Default Data'!AP85/'Default Data'!$AG85)*$G53),0)</f>
        <v>73394.082597382003</v>
      </c>
      <c r="M53" s="300">
        <f>IF('Default Data'!AQ85&gt;0,(('Default Data'!AQ85/'Default Data'!$AG85)*$G53),0)</f>
        <v>0</v>
      </c>
      <c r="N53" s="300">
        <f t="shared" si="10"/>
        <v>146788.16519476401</v>
      </c>
    </row>
    <row r="54" spans="1:14" x14ac:dyDescent="0.25">
      <c r="B54" s="99" t="s">
        <v>29</v>
      </c>
      <c r="C54" s="300">
        <f>IF(ProjectData!$B$11="Simple",'Default Data'!M86,ProjectData!D87)</f>
        <v>349495.63141610473</v>
      </c>
      <c r="D54" s="650">
        <f>IF(ProjectData!$B$11="Simple",'Default Data'!H86,ProjectData!F87)</f>
        <v>1</v>
      </c>
      <c r="F54" s="300">
        <f t="shared" si="8"/>
        <v>349495.63141610473</v>
      </c>
      <c r="G54" s="300">
        <f>IF(ProjectData!B$11="Simple",F54*(1+'Rates &amp; Misc'!C$6),F54*(1+ProjectData!B$29))</f>
        <v>366970.41298690997</v>
      </c>
      <c r="H54" s="300">
        <f t="shared" si="9"/>
        <v>17474.781570805237</v>
      </c>
      <c r="I54" s="300">
        <f>IF('Default Data'!AM86&gt;0,(('Default Data'!AM86/'Default Data'!$AG86)*$G54),0)</f>
        <v>0</v>
      </c>
      <c r="J54" s="300">
        <f>IF('Default Data'!AN86&gt;0,(('Default Data'!AN86/'Default Data'!$AG86)*$G54),0)</f>
        <v>58715.266077905595</v>
      </c>
      <c r="K54" s="300">
        <f>IF('Default Data'!AO86&gt;0,(('Default Data'!AO86/'Default Data'!$AG86)*$G54),0)</f>
        <v>0</v>
      </c>
      <c r="L54" s="300">
        <f>IF('Default Data'!AP86&gt;0,(('Default Data'!AP86/'Default Data'!$AG86)*$G54),0)</f>
        <v>308255.14690900437</v>
      </c>
      <c r="M54" s="300">
        <f>IF('Default Data'!AQ86&gt;0,(('Default Data'!AQ86/'Default Data'!$AG86)*$G54),0)</f>
        <v>0</v>
      </c>
      <c r="N54" s="300">
        <f t="shared" si="10"/>
        <v>366970.41298690997</v>
      </c>
    </row>
    <row r="55" spans="1:14" x14ac:dyDescent="0.25">
      <c r="B55" s="99" t="s">
        <v>340</v>
      </c>
      <c r="C55" s="300">
        <f>IF(ProjectData!$B$11="Simple",'Default Data'!M87,ProjectData!D88)</f>
        <v>69899.126283220947</v>
      </c>
      <c r="D55" s="650">
        <f>IF(ProjectData!$B$11="Simple",'Default Data'!H87,ProjectData!F88)</f>
        <v>1</v>
      </c>
      <c r="F55" s="300">
        <f t="shared" si="8"/>
        <v>69899.126283220947</v>
      </c>
      <c r="G55" s="300">
        <f>IF(ProjectData!B$11="Simple",F55*(1+'Rates &amp; Misc'!C$6),F55*(1+ProjectData!B$29))</f>
        <v>73394.082597382003</v>
      </c>
      <c r="H55" s="300">
        <f t="shared" si="9"/>
        <v>3494.9563141610561</v>
      </c>
      <c r="I55" s="300">
        <f>IF('Default Data'!AM87&gt;0,(('Default Data'!AM87/'Default Data'!$AG87)*$G55),0)</f>
        <v>0</v>
      </c>
      <c r="J55" s="300">
        <f>IF('Default Data'!AN87&gt;0,(('Default Data'!AN87/'Default Data'!$AG87)*$G55),0)</f>
        <v>11743.053215581122</v>
      </c>
      <c r="K55" s="300">
        <f>IF('Default Data'!AO87&gt;0,(('Default Data'!AO87/'Default Data'!$AG87)*$G55),0)</f>
        <v>0</v>
      </c>
      <c r="L55" s="300">
        <f>IF('Default Data'!AP87&gt;0,(('Default Data'!AP87/'Default Data'!$AG87)*$G55),0)</f>
        <v>61651.029381800879</v>
      </c>
      <c r="M55" s="300">
        <f>IF('Default Data'!AQ87&gt;0,(('Default Data'!AQ87/'Default Data'!$AG87)*$G55),0)</f>
        <v>0</v>
      </c>
      <c r="N55" s="300">
        <f t="shared" si="10"/>
        <v>73394.082597382003</v>
      </c>
    </row>
    <row r="56" spans="1:14" ht="15.75" thickBot="1" x14ac:dyDescent="0.3">
      <c r="B56" s="99" t="s">
        <v>473</v>
      </c>
      <c r="C56" s="300">
        <f>IF(ProjectData!$B$11="Simple",'Default Data'!M88,ProjectData!D89)</f>
        <v>2795965.0513288379</v>
      </c>
      <c r="D56" s="650">
        <f>IF(ProjectData!$B$11="Simple",'Default Data'!H88,ProjectData!F89)</f>
        <v>0</v>
      </c>
      <c r="F56" s="300">
        <f t="shared" si="8"/>
        <v>0</v>
      </c>
      <c r="G56" s="300">
        <f>IF(ProjectData!B$11="Simple",F56*(1+'Rates &amp; Misc'!C$6),F56*(1+ProjectData!B$29))</f>
        <v>0</v>
      </c>
      <c r="H56" s="300">
        <f t="shared" si="9"/>
        <v>0</v>
      </c>
      <c r="I56" s="300">
        <f>IF('Default Data'!AM88&gt;0,(('Default Data'!AM88/'Default Data'!$AG88)*$G56),0)</f>
        <v>0</v>
      </c>
      <c r="J56" s="300">
        <f>IF('Default Data'!AN88&gt;0,(('Default Data'!AN88/'Default Data'!$AG88)*$G56),0)</f>
        <v>0</v>
      </c>
      <c r="K56" s="300">
        <f>IF('Default Data'!AO88&gt;0,(('Default Data'!AO88/'Default Data'!$AG88)*$G56),0)</f>
        <v>0</v>
      </c>
      <c r="L56" s="300">
        <f>IF('Default Data'!AP88&gt;0,(('Default Data'!AP88/'Default Data'!$AG88)*$G56),0)</f>
        <v>0</v>
      </c>
      <c r="M56" s="300">
        <f>IF('Default Data'!AQ88&gt;0,(('Default Data'!AQ88/'Default Data'!$AG88)*$G56),0)</f>
        <v>0</v>
      </c>
      <c r="N56" s="300">
        <f t="shared" si="10"/>
        <v>0</v>
      </c>
    </row>
    <row r="57" spans="1:14" x14ac:dyDescent="0.25">
      <c r="B57" s="469" t="s">
        <v>333</v>
      </c>
      <c r="C57" s="551">
        <f>SUM(C39:C56)-C46</f>
        <v>11522724.696711065</v>
      </c>
      <c r="D57" s="33"/>
      <c r="E57" s="33"/>
      <c r="F57" s="551">
        <f>SUM(F39:F56)-F46</f>
        <v>4420517.2503959723</v>
      </c>
      <c r="G57" s="551">
        <f>SUM(G39:G56)-G46</f>
        <v>4641543.112915772</v>
      </c>
      <c r="H57" s="551">
        <f>SUM(H39:H56)-H46</f>
        <v>221025.86251979886</v>
      </c>
      <c r="I57" s="300">
        <f t="shared" ref="I57:N57" si="11">SUM(I39:I56)</f>
        <v>81999.951375686665</v>
      </c>
      <c r="J57" s="300">
        <f t="shared" si="11"/>
        <v>588610.26725944015</v>
      </c>
      <c r="K57" s="300">
        <f t="shared" si="11"/>
        <v>440364.49558429199</v>
      </c>
      <c r="L57" s="300">
        <f t="shared" si="11"/>
        <v>3530568.3986963527</v>
      </c>
      <c r="M57" s="300">
        <f t="shared" si="11"/>
        <v>0</v>
      </c>
      <c r="N57" s="300">
        <f t="shared" si="11"/>
        <v>4641543.1129157711</v>
      </c>
    </row>
    <row r="58" spans="1:14" x14ac:dyDescent="0.25">
      <c r="B58" s="389"/>
      <c r="C58" s="300"/>
      <c r="F58" s="300"/>
      <c r="G58" s="300"/>
    </row>
    <row r="59" spans="1:14" ht="15.75" x14ac:dyDescent="0.25">
      <c r="B59" s="401" t="s">
        <v>871</v>
      </c>
      <c r="C59" s="300"/>
      <c r="F59" s="300"/>
      <c r="G59" s="300"/>
    </row>
    <row r="60" spans="1:14" x14ac:dyDescent="0.25">
      <c r="B60" s="362" t="s">
        <v>809</v>
      </c>
      <c r="C60" s="300"/>
      <c r="D60" s="650"/>
      <c r="F60" s="300"/>
      <c r="G60" s="300"/>
    </row>
    <row r="61" spans="1:14" x14ac:dyDescent="0.25">
      <c r="B61" s="99" t="s">
        <v>935</v>
      </c>
      <c r="C61" s="300">
        <f>IF(ProjectData!$B$11="Simple",'Default Data'!M93,ProjectData!D94)</f>
        <v>0</v>
      </c>
      <c r="D61" s="650">
        <f>IF(ProjectData!$B$11="Simple",'Default Data'!H93,ProjectData!F94)</f>
        <v>1</v>
      </c>
      <c r="F61" s="300">
        <f t="shared" ref="F61:F73" si="12">D61*C61</f>
        <v>0</v>
      </c>
      <c r="G61" s="300">
        <f>IF(ProjectData!B$11="Simple",F61*(1+'Rates &amp; Misc'!C$6),F61*(1+ProjectData!B$29))</f>
        <v>0</v>
      </c>
      <c r="H61" s="300">
        <f t="shared" ref="H61:H68" si="13">G61-F61</f>
        <v>0</v>
      </c>
      <c r="I61" s="300">
        <f>IF('Default Data'!AM93&gt;0,(('Default Data'!AM93/'Default Data'!$AG93)*$G61),0)</f>
        <v>0</v>
      </c>
      <c r="J61" s="300">
        <f>IF('Default Data'!AN93&gt;0,(('Default Data'!AN93/'Default Data'!$AG93)*$G61),0)</f>
        <v>0</v>
      </c>
      <c r="K61" s="300">
        <f>IF('Default Data'!AO93&gt;0,(('Default Data'!AO93/'Default Data'!$AG93)*$G61),0)</f>
        <v>0</v>
      </c>
      <c r="L61" s="300">
        <f>IF('Default Data'!AP93&gt;0,(('Default Data'!AP93/'Default Data'!$AG93)*$G61),0)</f>
        <v>0</v>
      </c>
      <c r="M61" s="300">
        <f>IF('Default Data'!AQ93&gt;0,(('Default Data'!AQ93/'Default Data'!$AG93)*$G61),0)</f>
        <v>0</v>
      </c>
      <c r="N61" s="300">
        <f t="shared" ref="N61:N74" si="14">SUM(I61:M61)</f>
        <v>0</v>
      </c>
    </row>
    <row r="62" spans="1:14" x14ac:dyDescent="0.25">
      <c r="B62" s="99" t="s">
        <v>909</v>
      </c>
      <c r="C62" s="300">
        <f>IF(ProjectData!$B$11="Simple",'Default Data'!M94,ProjectData!D95)</f>
        <v>0</v>
      </c>
      <c r="D62" s="650">
        <f>IF(ProjectData!$B$11="Simple",'Default Data'!H94,ProjectData!F95)</f>
        <v>1</v>
      </c>
      <c r="F62" s="300">
        <f t="shared" si="12"/>
        <v>0</v>
      </c>
      <c r="G62" s="300">
        <f>IF(ProjectData!B$11="Simple",F62*(1+'Rates &amp; Misc'!C$6),F62*(1+ProjectData!B$29))</f>
        <v>0</v>
      </c>
      <c r="H62" s="300">
        <f t="shared" si="13"/>
        <v>0</v>
      </c>
      <c r="I62" s="300">
        <f>IF('Default Data'!AM94&gt;0,(('Default Data'!AM94/'Default Data'!$AG94)*$G62),0)</f>
        <v>0</v>
      </c>
      <c r="J62" s="300">
        <f>IF('Default Data'!AN94&gt;0,(('Default Data'!AN94/'Default Data'!$AG94)*$G62),0)</f>
        <v>0</v>
      </c>
      <c r="K62" s="300">
        <f>IF('Default Data'!AO94&gt;0,(('Default Data'!AO94/'Default Data'!$AG94)*$G62),0)</f>
        <v>0</v>
      </c>
      <c r="L62" s="300">
        <f>IF('Default Data'!AP94&gt;0,(('Default Data'!AP94/'Default Data'!$AG94)*$G62),0)</f>
        <v>0</v>
      </c>
      <c r="M62" s="300">
        <f>IF('Default Data'!AQ94&gt;0,(('Default Data'!AQ94/'Default Data'!$AG94)*$G62),0)</f>
        <v>0</v>
      </c>
      <c r="N62" s="300">
        <f t="shared" si="14"/>
        <v>0</v>
      </c>
    </row>
    <row r="63" spans="1:14" x14ac:dyDescent="0.25">
      <c r="B63" s="99" t="s">
        <v>118</v>
      </c>
      <c r="C63" s="300">
        <f>IF(ProjectData!$B$11="Simple",'Default Data'!M95,ProjectData!D96)</f>
        <v>0</v>
      </c>
      <c r="D63" s="650">
        <f>IF(ProjectData!$B$11="Simple",'Default Data'!H95,ProjectData!F96)</f>
        <v>0</v>
      </c>
      <c r="F63" s="300">
        <f t="shared" si="12"/>
        <v>0</v>
      </c>
      <c r="G63" s="300">
        <f>IF(ProjectData!B$11="Simple",F63*(1+'Rates &amp; Misc'!C$6),F63*(1+ProjectData!B$29))</f>
        <v>0</v>
      </c>
      <c r="H63" s="300">
        <f t="shared" si="13"/>
        <v>0</v>
      </c>
      <c r="I63" s="300">
        <f>IF('Default Data'!AM95&gt;0,(('Default Data'!AM95/'Default Data'!$AG95)*$G63),0)</f>
        <v>0</v>
      </c>
      <c r="J63" s="300">
        <f>IF('Default Data'!AN95&gt;0,(('Default Data'!AN95/'Default Data'!$AG95)*$G63),0)</f>
        <v>0</v>
      </c>
      <c r="K63" s="300">
        <f>IF('Default Data'!AO95&gt;0,(('Default Data'!AO95/'Default Data'!$AG95)*$G63),0)</f>
        <v>0</v>
      </c>
      <c r="L63" s="300">
        <f>IF('Default Data'!AP95&gt;0,(('Default Data'!AP95/'Default Data'!$AG95)*$G63),0)</f>
        <v>0</v>
      </c>
      <c r="M63" s="300">
        <f>IF('Default Data'!AQ95&gt;0,(('Default Data'!AQ95/'Default Data'!$AG95)*$G63),0)</f>
        <v>0</v>
      </c>
      <c r="N63" s="300">
        <f t="shared" si="14"/>
        <v>0</v>
      </c>
    </row>
    <row r="64" spans="1:14" x14ac:dyDescent="0.25">
      <c r="B64" s="99" t="s">
        <v>934</v>
      </c>
      <c r="C64" s="300">
        <f>IF(ProjectData!$B$11="Simple",'Default Data'!M96,ProjectData!D97)</f>
        <v>0</v>
      </c>
      <c r="D64" s="650">
        <f>IF(ProjectData!$B$11="Simple",'Default Data'!H96,ProjectData!F97)</f>
        <v>0</v>
      </c>
      <c r="F64" s="300">
        <f t="shared" si="12"/>
        <v>0</v>
      </c>
      <c r="G64" s="300">
        <f>IF(ProjectData!B$11="Simple",F64*(1+'Rates &amp; Misc'!C$6),F64*(1+ProjectData!B$29))</f>
        <v>0</v>
      </c>
      <c r="H64" s="300">
        <f t="shared" si="13"/>
        <v>0</v>
      </c>
      <c r="I64" s="300">
        <f>IF('Default Data'!AM96&gt;0,(('Default Data'!AM96/'Default Data'!$AG96)*$G64),0)</f>
        <v>0</v>
      </c>
      <c r="J64" s="300">
        <f>IF('Default Data'!AN96&gt;0,(('Default Data'!AN96/'Default Data'!$AG96)*$G64),0)</f>
        <v>0</v>
      </c>
      <c r="K64" s="300">
        <f>IF('Default Data'!AO96&gt;0,(('Default Data'!AO96/'Default Data'!$AG96)*$G64),0)</f>
        <v>0</v>
      </c>
      <c r="L64" s="300">
        <f>IF('Default Data'!AP96&gt;0,(('Default Data'!AP96/'Default Data'!$AG96)*$G64),0)</f>
        <v>0</v>
      </c>
      <c r="M64" s="300">
        <f>IF('Default Data'!AQ96&gt;0,(('Default Data'!AQ96/'Default Data'!$AG96)*$G64),0)</f>
        <v>0</v>
      </c>
      <c r="N64" s="300">
        <f t="shared" si="14"/>
        <v>0</v>
      </c>
    </row>
    <row r="65" spans="2:14" x14ac:dyDescent="0.25">
      <c r="B65" s="99" t="s">
        <v>922</v>
      </c>
      <c r="C65" s="300">
        <f>IF(ProjectData!$B$11="Simple",'Default Data'!M97,ProjectData!D98)</f>
        <v>0</v>
      </c>
      <c r="D65" s="650">
        <f>IF(ProjectData!$B$11="Simple",'Default Data'!H97,ProjectData!F98)</f>
        <v>0</v>
      </c>
      <c r="F65" s="300">
        <f t="shared" si="12"/>
        <v>0</v>
      </c>
      <c r="G65" s="300">
        <f>IF(ProjectData!B$11="Simple",F65*(1+'Rates &amp; Misc'!C$6),F65*(1+ProjectData!B$29))</f>
        <v>0</v>
      </c>
      <c r="H65" s="300">
        <f t="shared" si="13"/>
        <v>0</v>
      </c>
      <c r="I65" s="300">
        <f>IF('Default Data'!AM97&gt;0,(('Default Data'!AM97/'Default Data'!$AG97)*$G65),0)</f>
        <v>0</v>
      </c>
      <c r="J65" s="300">
        <f>IF('Default Data'!AN97&gt;0,(('Default Data'!AN97/'Default Data'!$AG97)*$G65),0)</f>
        <v>0</v>
      </c>
      <c r="K65" s="300">
        <f>IF('Default Data'!AO97&gt;0,(('Default Data'!AO97/'Default Data'!$AG97)*$G65),0)</f>
        <v>0</v>
      </c>
      <c r="L65" s="300">
        <f>IF('Default Data'!AP97&gt;0,(('Default Data'!AP97/'Default Data'!$AG97)*$G65),0)</f>
        <v>0</v>
      </c>
      <c r="M65" s="300">
        <f>IF('Default Data'!AQ97&gt;0,(('Default Data'!AQ97/'Default Data'!$AG97)*$G65),0)</f>
        <v>0</v>
      </c>
      <c r="N65" s="300">
        <f t="shared" si="14"/>
        <v>0</v>
      </c>
    </row>
    <row r="66" spans="2:14" x14ac:dyDescent="0.25">
      <c r="B66" s="99" t="s">
        <v>923</v>
      </c>
      <c r="C66" s="300">
        <f>IF(ProjectData!$B$11="Simple",'Default Data'!M98,ProjectData!D99)</f>
        <v>0</v>
      </c>
      <c r="D66" s="650">
        <f>IF(ProjectData!$B$11="Simple",'Default Data'!H98,ProjectData!F99)</f>
        <v>1</v>
      </c>
      <c r="F66" s="300">
        <f t="shared" si="12"/>
        <v>0</v>
      </c>
      <c r="G66" s="300">
        <f>IF(ProjectData!B$11="Simple",F66*(1+'Rates &amp; Misc'!C$6),F66*(1+ProjectData!B$29))</f>
        <v>0</v>
      </c>
      <c r="H66" s="300">
        <f t="shared" si="13"/>
        <v>0</v>
      </c>
      <c r="I66" s="300">
        <f>IF('Default Data'!AM98&gt;0,(('Default Data'!AM98/'Default Data'!$AG98)*$G66),0)</f>
        <v>0</v>
      </c>
      <c r="J66" s="300">
        <f>IF('Default Data'!AN98&gt;0,(('Default Data'!AN98/'Default Data'!$AG98)*$G66),0)</f>
        <v>0</v>
      </c>
      <c r="K66" s="300">
        <f>IF('Default Data'!AO98&gt;0,(('Default Data'!AO98/'Default Data'!$AG98)*$G66),0)</f>
        <v>0</v>
      </c>
      <c r="L66" s="300">
        <f>IF('Default Data'!AP98&gt;0,(('Default Data'!AP98/'Default Data'!$AG98)*$G66),0)</f>
        <v>0</v>
      </c>
      <c r="M66" s="300">
        <f>IF('Default Data'!AQ98&gt;0,(('Default Data'!AQ98/'Default Data'!$AG98)*$G66),0)</f>
        <v>0</v>
      </c>
      <c r="N66" s="300">
        <f t="shared" si="14"/>
        <v>0</v>
      </c>
    </row>
    <row r="67" spans="2:14" x14ac:dyDescent="0.25">
      <c r="B67" s="99" t="s">
        <v>29</v>
      </c>
      <c r="C67" s="300">
        <f>IF(ProjectData!$B$11="Simple",'Default Data'!M99,ProjectData!D100)</f>
        <v>0</v>
      </c>
      <c r="D67" s="650">
        <f>IF(ProjectData!$B$11="Simple",'Default Data'!H99,ProjectData!F100)</f>
        <v>1</v>
      </c>
      <c r="F67" s="300">
        <f t="shared" si="12"/>
        <v>0</v>
      </c>
      <c r="G67" s="300">
        <f>IF(ProjectData!B$11="Simple",F67*(1+'Rates &amp; Misc'!C$6),F67*(1+ProjectData!B$29))</f>
        <v>0</v>
      </c>
      <c r="H67" s="300">
        <f t="shared" si="13"/>
        <v>0</v>
      </c>
      <c r="I67" s="300">
        <f>IF('Default Data'!AM99&gt;0,(('Default Data'!AM99/'Default Data'!$AG99)*$G67),0)</f>
        <v>0</v>
      </c>
      <c r="J67" s="300">
        <f>IF('Default Data'!AN99&gt;0,(('Default Data'!AN99/'Default Data'!$AG99)*$G67),0)</f>
        <v>0</v>
      </c>
      <c r="K67" s="300">
        <f>IF('Default Data'!AO99&gt;0,(('Default Data'!AO99/'Default Data'!$AG99)*$G67),0)</f>
        <v>0</v>
      </c>
      <c r="L67" s="300">
        <f>IF('Default Data'!AP99&gt;0,(('Default Data'!AP99/'Default Data'!$AG99)*$G67),0)</f>
        <v>0</v>
      </c>
      <c r="M67" s="300">
        <f>IF('Default Data'!AQ99&gt;0,(('Default Data'!AQ99/'Default Data'!$AG99)*$G67),0)</f>
        <v>0</v>
      </c>
      <c r="N67" s="300">
        <f t="shared" si="14"/>
        <v>0</v>
      </c>
    </row>
    <row r="68" spans="2:14" x14ac:dyDescent="0.25">
      <c r="B68" s="358" t="s">
        <v>825</v>
      </c>
      <c r="C68" s="300">
        <f>SUM(C60:C67)-C65</f>
        <v>0</v>
      </c>
      <c r="D68" s="650"/>
      <c r="F68" s="300">
        <f>SUM(F60:F67)-F65</f>
        <v>0</v>
      </c>
      <c r="G68" s="300">
        <f>IF(ProjectData!B$11="Simple",F68*(1+'Rates &amp; Misc'!C$6),F68*(1+ProjectData!B$29))</f>
        <v>0</v>
      </c>
      <c r="H68" s="300">
        <f t="shared" si="13"/>
        <v>0</v>
      </c>
      <c r="I68" s="300">
        <f>IF($F68&gt;0,(('Default Data'!AM100/$F68)*$H68)+'Default Data'!AM100,0)</f>
        <v>0</v>
      </c>
      <c r="J68" s="300">
        <f>IF($F68&gt;0,(('Default Data'!AN100/$F68)*$H68)+'Default Data'!AN100,0)</f>
        <v>0</v>
      </c>
      <c r="K68" s="300">
        <f>IF($F68&gt;0,(('Default Data'!AO100/$F68)*$H68)+'Default Data'!AO100,0)</f>
        <v>0</v>
      </c>
      <c r="L68" s="300">
        <f>IF($F68&gt;0,(('Default Data'!AP100/$F68)*$H68)+'Default Data'!AP100,0)</f>
        <v>0</v>
      </c>
      <c r="M68" s="300">
        <f>IF($F68&gt;0,(('Default Data'!AQ100/$F68)*$H68)+'Default Data'!AQ100,0)</f>
        <v>0</v>
      </c>
      <c r="N68" s="300">
        <f t="shared" si="14"/>
        <v>0</v>
      </c>
    </row>
    <row r="69" spans="2:14" x14ac:dyDescent="0.25">
      <c r="B69" s="389" t="s">
        <v>818</v>
      </c>
      <c r="C69" s="300"/>
      <c r="D69" s="650"/>
      <c r="F69" s="300"/>
      <c r="G69" s="300"/>
      <c r="H69" s="300"/>
      <c r="I69" s="300"/>
      <c r="J69" s="300"/>
      <c r="K69" s="300"/>
      <c r="L69" s="300"/>
      <c r="M69" s="300"/>
      <c r="N69" s="300"/>
    </row>
    <row r="70" spans="2:14" x14ac:dyDescent="0.25">
      <c r="B70" s="99" t="s">
        <v>914</v>
      </c>
      <c r="C70" s="300">
        <f>IF(ProjectData!$B$11="Simple",'Default Data'!M102,ProjectData!D103)</f>
        <v>0</v>
      </c>
      <c r="D70" s="650">
        <f>IF(ProjectData!$B$11="Simple",'Default Data'!H102,ProjectData!F103)</f>
        <v>0</v>
      </c>
      <c r="F70" s="300">
        <f t="shared" si="12"/>
        <v>0</v>
      </c>
      <c r="G70" s="300">
        <f>IF(ProjectData!B$11="Simple",F70*(1+'Rates &amp; Misc'!C$6),F70*(1+ProjectData!B$29))</f>
        <v>0</v>
      </c>
      <c r="H70" s="300">
        <f>G70-F70</f>
        <v>0</v>
      </c>
      <c r="I70" s="300">
        <f>IF('Default Data'!AM102&gt;0,(('Default Data'!AM102/'Default Data'!$AG102)*$G70),0)</f>
        <v>0</v>
      </c>
      <c r="J70" s="300">
        <f>IF('Default Data'!AN102&gt;0,(('Default Data'!AN102/'Default Data'!$AG102)*$G70),0)</f>
        <v>0</v>
      </c>
      <c r="K70" s="300">
        <f>IF('Default Data'!AO102&gt;0,(('Default Data'!AO102/'Default Data'!$AG102)*$G70),0)</f>
        <v>0</v>
      </c>
      <c r="L70" s="300">
        <f>IF('Default Data'!AP102&gt;0,(('Default Data'!AP102/'Default Data'!$AG102)*$G70),0)</f>
        <v>0</v>
      </c>
      <c r="M70" s="300">
        <f>IF('Default Data'!AQ102&gt;0,(('Default Data'!AQ102/'Default Data'!$AG102)*$G70),0)</f>
        <v>0</v>
      </c>
      <c r="N70" s="300">
        <f t="shared" si="14"/>
        <v>0</v>
      </c>
    </row>
    <row r="71" spans="2:14" x14ac:dyDescent="0.25">
      <c r="B71" s="99" t="s">
        <v>915</v>
      </c>
      <c r="C71" s="300">
        <f>IF(ProjectData!$B$11="Simple",'Default Data'!M103,ProjectData!D104)</f>
        <v>0</v>
      </c>
      <c r="D71" s="650">
        <f>IF(ProjectData!$B$11="Simple",'Default Data'!H103,ProjectData!F104)</f>
        <v>1</v>
      </c>
      <c r="F71" s="300">
        <f t="shared" si="12"/>
        <v>0</v>
      </c>
      <c r="G71" s="300">
        <f>IF(ProjectData!B$11="Simple",F71*(1+'Rates &amp; Misc'!C$6),F71*(1+ProjectData!B$29))</f>
        <v>0</v>
      </c>
      <c r="H71" s="300">
        <f>G71-F71</f>
        <v>0</v>
      </c>
      <c r="I71" s="300">
        <f>IF('Default Data'!AM103&gt;0,(('Default Data'!AM103/'Default Data'!$AG103)*$G71),0)</f>
        <v>0</v>
      </c>
      <c r="J71" s="300">
        <f>IF('Default Data'!AN103&gt;0,(('Default Data'!AN103/'Default Data'!$AG103)*$G71),0)</f>
        <v>0</v>
      </c>
      <c r="K71" s="300">
        <f>IF('Default Data'!AO103&gt;0,(('Default Data'!AO103/'Default Data'!$AG103)*$G71),0)</f>
        <v>0</v>
      </c>
      <c r="L71" s="300">
        <f>IF('Default Data'!AP103&gt;0,(('Default Data'!AP103/'Default Data'!$AG103)*$G71),0)</f>
        <v>0</v>
      </c>
      <c r="M71" s="300">
        <f>IF('Default Data'!AQ103&gt;0,(('Default Data'!AQ103/'Default Data'!$AG103)*$G71),0)</f>
        <v>0</v>
      </c>
      <c r="N71" s="300">
        <f t="shared" si="14"/>
        <v>0</v>
      </c>
    </row>
    <row r="72" spans="2:14" x14ac:dyDescent="0.25">
      <c r="B72" s="99" t="s">
        <v>921</v>
      </c>
      <c r="C72" s="300">
        <f>IF(ProjectData!$B$11="Simple",'Default Data'!M104,ProjectData!D105)</f>
        <v>0</v>
      </c>
      <c r="D72" s="650">
        <f>IF(ProjectData!$B$11="Simple",'Default Data'!H104,ProjectData!F105)</f>
        <v>1</v>
      </c>
      <c r="F72" s="300">
        <f t="shared" si="12"/>
        <v>0</v>
      </c>
      <c r="G72" s="300">
        <f>IF(ProjectData!B$11="Simple",F72*(1+'Rates &amp; Misc'!C$6),F72*(1+ProjectData!B$29))</f>
        <v>0</v>
      </c>
      <c r="H72" s="300">
        <f>G72-F72</f>
        <v>0</v>
      </c>
      <c r="I72" s="300">
        <f>IF('Default Data'!AM104&gt;0,(('Default Data'!AM104/'Default Data'!$AG104)*$G72),0)</f>
        <v>0</v>
      </c>
      <c r="J72" s="300">
        <f>IF('Default Data'!AN104&gt;0,(('Default Data'!AN104/'Default Data'!$AG104)*$G72),0)</f>
        <v>0</v>
      </c>
      <c r="K72" s="300">
        <f>IF('Default Data'!AO104&gt;0,(('Default Data'!AO104/'Default Data'!$AG104)*$G72),0)</f>
        <v>0</v>
      </c>
      <c r="L72" s="300">
        <f>IF('Default Data'!AP104&gt;0,(('Default Data'!AP104/'Default Data'!$AG104)*$G72),0)</f>
        <v>0</v>
      </c>
      <c r="M72" s="300">
        <f>IF('Default Data'!AQ104&gt;0,(('Default Data'!AQ104/'Default Data'!$AG104)*$G72),0)</f>
        <v>0</v>
      </c>
      <c r="N72" s="300">
        <f t="shared" si="14"/>
        <v>0</v>
      </c>
    </row>
    <row r="73" spans="2:14" x14ac:dyDescent="0.25">
      <c r="B73" s="99" t="s">
        <v>916</v>
      </c>
      <c r="C73" s="300">
        <f>IF(ProjectData!$B$11="Simple",'Default Data'!M105,ProjectData!D106)</f>
        <v>0</v>
      </c>
      <c r="D73" s="650">
        <f>IF(ProjectData!$B$11="Simple",'Default Data'!H105,ProjectData!F106)</f>
        <v>0</v>
      </c>
      <c r="F73" s="300">
        <f t="shared" si="12"/>
        <v>0</v>
      </c>
      <c r="G73" s="300">
        <f>IF(ProjectData!B$11="Simple",F73*(1+'Rates &amp; Misc'!C$6),F73*(1+ProjectData!B$29))</f>
        <v>0</v>
      </c>
      <c r="H73" s="300">
        <f>G73-F73</f>
        <v>0</v>
      </c>
      <c r="I73" s="300">
        <f>IF('Default Data'!AM105&gt;0,(('Default Data'!AM105/'Default Data'!$AG105)*$G73),0)</f>
        <v>0</v>
      </c>
      <c r="J73" s="300">
        <f>IF('Default Data'!AN105&gt;0,(('Default Data'!AN105/'Default Data'!$AG105)*$G73),0)</f>
        <v>0</v>
      </c>
      <c r="K73" s="300">
        <f>IF('Default Data'!AO105&gt;0,(('Default Data'!AO105/'Default Data'!$AG105)*$G73),0)</f>
        <v>0</v>
      </c>
      <c r="L73" s="300">
        <f>IF('Default Data'!AP105&gt;0,(('Default Data'!AP105/'Default Data'!$AG105)*$G73),0)</f>
        <v>0</v>
      </c>
      <c r="M73" s="300">
        <f>IF('Default Data'!AQ105&gt;0,(('Default Data'!AQ105/'Default Data'!$AG105)*$G73),0)</f>
        <v>0</v>
      </c>
      <c r="N73" s="300">
        <f t="shared" si="14"/>
        <v>0</v>
      </c>
    </row>
    <row r="74" spans="2:14" ht="15.75" thickBot="1" x14ac:dyDescent="0.3">
      <c r="B74" s="99" t="s">
        <v>917</v>
      </c>
      <c r="C74" s="300">
        <f>SUM(C70:C73)</f>
        <v>0</v>
      </c>
      <c r="D74" s="650"/>
      <c r="F74" s="300">
        <f>SUM(F70:F73)</f>
        <v>0</v>
      </c>
      <c r="G74" s="300">
        <f>IF(ProjectData!B$11="Simple",F74*(1+'Rates &amp; Misc'!C$6),F74*(1+ProjectData!B$29))</f>
        <v>0</v>
      </c>
      <c r="H74" s="300">
        <f>G74-F74</f>
        <v>0</v>
      </c>
      <c r="I74" s="300">
        <f>IF('Default Data'!AM106&gt;0,(('Default Data'!AM106/'Default Data'!$AG106)*$G74),0)</f>
        <v>0</v>
      </c>
      <c r="J74" s="300">
        <f>IF('Default Data'!AN106&gt;0,(('Default Data'!AN106/'Default Data'!$AG106)*$G74),0)</f>
        <v>0</v>
      </c>
      <c r="K74" s="300">
        <f>IF('Default Data'!AO106&gt;0,(('Default Data'!AO106/'Default Data'!$AG106)*$G74),0)</f>
        <v>0</v>
      </c>
      <c r="L74" s="300">
        <f>IF('Default Data'!AP106&gt;0,(('Default Data'!AP106/'Default Data'!$AG106)*$G74),0)</f>
        <v>0</v>
      </c>
      <c r="M74" s="300">
        <f>IF('Default Data'!AQ106&gt;0,(('Default Data'!AQ106/'Default Data'!$AG106)*$G74),0)</f>
        <v>0</v>
      </c>
      <c r="N74" s="300">
        <f t="shared" si="14"/>
        <v>0</v>
      </c>
    </row>
    <row r="75" spans="2:14" x14ac:dyDescent="0.25">
      <c r="B75" s="469" t="s">
        <v>333</v>
      </c>
      <c r="C75" s="551">
        <f>C74+C68</f>
        <v>0</v>
      </c>
      <c r="D75" s="33"/>
      <c r="E75" s="33"/>
      <c r="F75" s="551">
        <f>F74+F68</f>
        <v>0</v>
      </c>
      <c r="G75" s="551">
        <f>G74+G68</f>
        <v>0</v>
      </c>
      <c r="H75" s="300">
        <f>SUM(H61:H74)</f>
        <v>0</v>
      </c>
      <c r="I75" s="300">
        <f t="shared" ref="I75:N75" si="15">SUM(I61:I74)</f>
        <v>0</v>
      </c>
      <c r="J75" s="300">
        <f t="shared" si="15"/>
        <v>0</v>
      </c>
      <c r="K75" s="300">
        <f t="shared" si="15"/>
        <v>0</v>
      </c>
      <c r="L75" s="300">
        <f t="shared" si="15"/>
        <v>0</v>
      </c>
      <c r="M75" s="300">
        <f t="shared" si="15"/>
        <v>0</v>
      </c>
      <c r="N75" s="300">
        <f t="shared" si="15"/>
        <v>0</v>
      </c>
    </row>
    <row r="76" spans="2:14" x14ac:dyDescent="0.25">
      <c r="B76" s="99"/>
      <c r="C76" s="300"/>
    </row>
    <row r="77" spans="2:14" x14ac:dyDescent="0.25">
      <c r="B77" s="550" t="str">
        <f>ProjectData!A110</f>
        <v>Binary Plant - Power Plant Costs</v>
      </c>
      <c r="C77" s="300"/>
    </row>
    <row r="78" spans="2:14" ht="15.75" x14ac:dyDescent="0.25">
      <c r="B78" s="390" t="s">
        <v>102</v>
      </c>
      <c r="C78" s="300"/>
    </row>
    <row r="79" spans="2:14" x14ac:dyDescent="0.25">
      <c r="B79" s="99" t="s">
        <v>784</v>
      </c>
      <c r="C79" s="300">
        <f>IF(ProjectData!$B$11="Simple",'Default Data'!K111,ProjectData!D112)</f>
        <v>376789.45681935479</v>
      </c>
      <c r="D79" s="650">
        <f>IF(ProjectData!$B$11="Simple",'Default Data'!H111,ProjectData!F112)</f>
        <v>1</v>
      </c>
      <c r="F79" s="300">
        <f>D79*C79</f>
        <v>376789.45681935479</v>
      </c>
      <c r="G79" s="300">
        <f>IF(ProjectData!B$11="Simple",F79*(1+'Rates &amp; Misc'!C$6),F79*(1+ProjectData!B$29))</f>
        <v>395628.92966032255</v>
      </c>
      <c r="H79" s="300">
        <f>G79-F79</f>
        <v>18839.472840967763</v>
      </c>
      <c r="I79" s="300">
        <f>IF('Default Data'!AM111&gt;0,(('Default Data'!AM111/'Default Data'!$AG111)*$G79),0)</f>
        <v>395628.92966032255</v>
      </c>
      <c r="J79" s="300">
        <f>IF('Default Data'!AN111&gt;0,(('Default Data'!AN111/'Default Data'!$AG111)*$G79),0)</f>
        <v>0</v>
      </c>
      <c r="K79" s="300">
        <f>IF('Default Data'!AO111&gt;0,(('Default Data'!AO111/'Default Data'!$AG111)*$G79),0)</f>
        <v>0</v>
      </c>
      <c r="L79" s="300">
        <f>IF('Default Data'!AP111&gt;0,(('Default Data'!AP111/'Default Data'!$AG111)*$G79),0)</f>
        <v>0</v>
      </c>
      <c r="M79" s="300">
        <f>IF('Default Data'!AQ111&gt;0,(('Default Data'!AQ111/'Default Data'!$AG111)*$G79),0)</f>
        <v>0</v>
      </c>
      <c r="N79" s="300">
        <f>SUM(I79:M79)</f>
        <v>395628.92966032255</v>
      </c>
    </row>
    <row r="80" spans="2:14" x14ac:dyDescent="0.25">
      <c r="B80" s="99" t="s">
        <v>785</v>
      </c>
      <c r="C80" s="300">
        <f>IF(ProjectData!$B$11="Simple",'Default Data'!K112,ProjectData!D113)</f>
        <v>753578.91363870958</v>
      </c>
      <c r="D80" s="650">
        <f>IF(ProjectData!$B$11="Simple",'Default Data'!H112,ProjectData!F113)</f>
        <v>1</v>
      </c>
      <c r="F80" s="300">
        <f>D80*C80</f>
        <v>753578.91363870958</v>
      </c>
      <c r="G80" s="300">
        <f>IF(ProjectData!B$11="Simple",F80*(1+'Rates &amp; Misc'!C$6),F80*(1+ProjectData!B$29))</f>
        <v>791257.8593206451</v>
      </c>
      <c r="H80" s="300">
        <f>G80-F80</f>
        <v>37678.945681935525</v>
      </c>
      <c r="I80" s="300">
        <f>IF('Default Data'!AM112&gt;0,(('Default Data'!AM112/'Default Data'!$AG112)*$G80),0)</f>
        <v>0</v>
      </c>
      <c r="J80" s="300">
        <f>IF('Default Data'!AN112&gt;0,(('Default Data'!AN112/'Default Data'!$AG112)*$G80),0)</f>
        <v>791257.8593206451</v>
      </c>
      <c r="K80" s="300">
        <f>IF('Default Data'!AO112&gt;0,(('Default Data'!AO112/'Default Data'!$AG112)*$G80),0)</f>
        <v>0</v>
      </c>
      <c r="L80" s="300">
        <f>IF('Default Data'!AP112&gt;0,(('Default Data'!AP112/'Default Data'!$AG112)*$G80),0)</f>
        <v>0</v>
      </c>
      <c r="M80" s="300">
        <f>IF('Default Data'!AQ112&gt;0,(('Default Data'!AQ112/'Default Data'!$AG112)*$G80),0)</f>
        <v>0</v>
      </c>
      <c r="N80" s="300">
        <f>SUM(I80:M80)</f>
        <v>791257.8593206451</v>
      </c>
    </row>
    <row r="81" spans="2:14" x14ac:dyDescent="0.25">
      <c r="B81" s="99" t="s">
        <v>786</v>
      </c>
      <c r="C81" s="300">
        <f>IF(ProjectData!$B$11="Simple",'Default Data'!K113,ProjectData!D114)</f>
        <v>753578.91363870958</v>
      </c>
      <c r="D81" s="650">
        <f>IF(ProjectData!$B$11="Simple",'Default Data'!H113,ProjectData!F114)</f>
        <v>1</v>
      </c>
      <c r="F81" s="300">
        <f>D81*C81</f>
        <v>753578.91363870958</v>
      </c>
      <c r="G81" s="300">
        <f>IF(ProjectData!B$11="Simple",F81*(1+'Rates &amp; Misc'!C$6),F81*(1+ProjectData!B$29))</f>
        <v>791257.8593206451</v>
      </c>
      <c r="H81" s="300">
        <f>G81-F81</f>
        <v>37678.945681935525</v>
      </c>
      <c r="I81" s="300">
        <f>IF('Default Data'!AM113&gt;0,(('Default Data'!AM113/'Default Data'!$AG113)*$G81),0)</f>
        <v>0</v>
      </c>
      <c r="J81" s="300">
        <f>IF('Default Data'!AN113&gt;0,(('Default Data'!AN113/'Default Data'!$AG113)*$G81),0)</f>
        <v>791257.8593206451</v>
      </c>
      <c r="K81" s="300">
        <f>IF('Default Data'!AO113&gt;0,(('Default Data'!AO113/'Default Data'!$AG113)*$G81),0)</f>
        <v>0</v>
      </c>
      <c r="L81" s="300">
        <f>IF('Default Data'!AP113&gt;0,(('Default Data'!AP113/'Default Data'!$AG113)*$G81),0)</f>
        <v>0</v>
      </c>
      <c r="M81" s="300">
        <f>IF('Default Data'!AQ113&gt;0,(('Default Data'!AQ113/'Default Data'!$AG113)*$G81),0)</f>
        <v>0</v>
      </c>
      <c r="N81" s="300">
        <f>SUM(I81:M81)</f>
        <v>791257.8593206451</v>
      </c>
    </row>
    <row r="82" spans="2:14" x14ac:dyDescent="0.25">
      <c r="B82" s="99" t="s">
        <v>787</v>
      </c>
      <c r="C82" s="300">
        <f>IF(ProjectData!$B$11="Simple",'Default Data'!K114,ProjectData!D115)</f>
        <v>753578.91363870958</v>
      </c>
      <c r="D82" s="650">
        <f>IF(ProjectData!$B$11="Simple",'Default Data'!H114,ProjectData!F115)</f>
        <v>1</v>
      </c>
      <c r="F82" s="300">
        <f>D82*C82</f>
        <v>753578.91363870958</v>
      </c>
      <c r="G82" s="300">
        <f>IF(ProjectData!B$11="Simple",F82*(1+'Rates &amp; Misc'!C$6),F82*(1+ProjectData!B$29))</f>
        <v>791257.8593206451</v>
      </c>
      <c r="H82" s="300">
        <f>G82-F82</f>
        <v>37678.945681935525</v>
      </c>
      <c r="I82" s="300">
        <f>IF('Default Data'!AM114&gt;0,(('Default Data'!AM114/'Default Data'!$AG114)*$G82),0)</f>
        <v>0</v>
      </c>
      <c r="J82" s="300">
        <f>IF('Default Data'!AN114&gt;0,(('Default Data'!AN114/'Default Data'!$AG114)*$G82),0)</f>
        <v>791257.8593206451</v>
      </c>
      <c r="K82" s="300">
        <f>IF('Default Data'!AO114&gt;0,(('Default Data'!AO114/'Default Data'!$AG114)*$G82),0)</f>
        <v>0</v>
      </c>
      <c r="L82" s="300">
        <f>IF('Default Data'!AP114&gt;0,(('Default Data'!AP114/'Default Data'!$AG114)*$G82),0)</f>
        <v>0</v>
      </c>
      <c r="M82" s="300">
        <f>IF('Default Data'!AQ114&gt;0,(('Default Data'!AQ114/'Default Data'!$AG114)*$G82),0)</f>
        <v>0</v>
      </c>
      <c r="N82" s="300">
        <f>SUM(I82:M82)</f>
        <v>791257.8593206451</v>
      </c>
    </row>
    <row r="83" spans="2:14" ht="15.75" thickBot="1" x14ac:dyDescent="0.3">
      <c r="B83" s="99" t="s">
        <v>743</v>
      </c>
      <c r="C83" s="300">
        <f>IF(ProjectData!$B$11="Simple",'Default Data'!K115,ProjectData!D116)</f>
        <v>1130368.3704580641</v>
      </c>
      <c r="D83" s="650">
        <f>IF(ProjectData!$B$11="Simple",'Default Data'!H115,ProjectData!F116)</f>
        <v>0</v>
      </c>
      <c r="F83" s="300">
        <f>D83*C83</f>
        <v>0</v>
      </c>
      <c r="G83" s="300">
        <f>IF(ProjectData!B$11="Simple",F83*(1+'Rates &amp; Misc'!C$6),F83*(1+ProjectData!B$29))</f>
        <v>0</v>
      </c>
      <c r="H83" s="300">
        <f>G83-F83</f>
        <v>0</v>
      </c>
      <c r="I83" s="300">
        <f>IF('Default Data'!AM115&gt;0,(('Default Data'!AM115/'Default Data'!$AG115)*$G83),0)</f>
        <v>0</v>
      </c>
      <c r="J83" s="300">
        <f>IF('Default Data'!AN115&gt;0,(('Default Data'!AN115/'Default Data'!$AG115)*$G83),0)</f>
        <v>0</v>
      </c>
      <c r="K83" s="300">
        <f>IF('Default Data'!AO115&gt;0,(('Default Data'!AO115/'Default Data'!$AG115)*$G83),0)</f>
        <v>0</v>
      </c>
      <c r="L83" s="300">
        <f>IF('Default Data'!AP115&gt;0,(('Default Data'!AP115/'Default Data'!$AG115)*$G83),0)</f>
        <v>0</v>
      </c>
      <c r="M83" s="300">
        <f>IF('Default Data'!AQ115&gt;0,(('Default Data'!AQ115/'Default Data'!$AG115)*$G83),0)</f>
        <v>0</v>
      </c>
      <c r="N83" s="300">
        <f>SUM(I83:M83)</f>
        <v>0</v>
      </c>
    </row>
    <row r="84" spans="2:14" x14ac:dyDescent="0.25">
      <c r="B84" s="398" t="s">
        <v>788</v>
      </c>
      <c r="C84" s="551">
        <f>SUM(C79:C83)</f>
        <v>3767894.5681935479</v>
      </c>
      <c r="D84" s="33"/>
      <c r="E84" s="33"/>
      <c r="F84" s="551">
        <f t="shared" ref="F84:N84" si="16">SUM(F79:F83)</f>
        <v>2637526.1977354838</v>
      </c>
      <c r="G84" s="551">
        <f t="shared" si="16"/>
        <v>2769402.5076222578</v>
      </c>
      <c r="H84" s="551">
        <f t="shared" si="16"/>
        <v>131876.30988677434</v>
      </c>
      <c r="I84" s="551">
        <f t="shared" si="16"/>
        <v>395628.92966032255</v>
      </c>
      <c r="J84" s="551">
        <f t="shared" si="16"/>
        <v>2373773.5779619352</v>
      </c>
      <c r="K84" s="551">
        <f t="shared" si="16"/>
        <v>0</v>
      </c>
      <c r="L84" s="551">
        <f t="shared" si="16"/>
        <v>0</v>
      </c>
      <c r="M84" s="551">
        <f t="shared" si="16"/>
        <v>0</v>
      </c>
      <c r="N84" s="551">
        <f t="shared" si="16"/>
        <v>2769402.5076222578</v>
      </c>
    </row>
    <row r="85" spans="2:14" x14ac:dyDescent="0.25">
      <c r="B85" s="550" t="str">
        <f>ProjectData!A118</f>
        <v>Binary Plant Equipment</v>
      </c>
      <c r="C85" s="300"/>
    </row>
    <row r="86" spans="2:14" x14ac:dyDescent="0.25">
      <c r="B86" s="99" t="s">
        <v>789</v>
      </c>
      <c r="C86" s="300">
        <f>IF(ProjectData!$B$11="Simple",'Default Data'!K118,ProjectData!D119)</f>
        <v>10048974.813372191</v>
      </c>
      <c r="D86" s="650">
        <f>IF(ProjectData!$B$11="Simple",'Default Data'!H118,ProjectData!F119)</f>
        <v>0</v>
      </c>
      <c r="F86" s="300">
        <f>D86*C86</f>
        <v>0</v>
      </c>
      <c r="G86" s="300">
        <f>IF(ProjectData!B$11="Simple",F86*(1+'Rates &amp; Misc'!C$6),F86*(1+ProjectData!B$29))</f>
        <v>0</v>
      </c>
      <c r="H86" s="300">
        <f>G86-F86</f>
        <v>0</v>
      </c>
      <c r="I86" s="300">
        <f>IF('Default Data'!AM118&gt;0,(('Default Data'!AM118/'Default Data'!$AG118)*$G86),0)</f>
        <v>0</v>
      </c>
      <c r="J86" s="300">
        <f>IF('Default Data'!AN118&gt;0,(('Default Data'!AN118/'Default Data'!$AG118)*$G86),0)</f>
        <v>0</v>
      </c>
      <c r="K86" s="300">
        <f>IF('Default Data'!AO118&gt;0,(('Default Data'!AO118/'Default Data'!$AG118)*$G86),0)</f>
        <v>0</v>
      </c>
      <c r="L86" s="300">
        <f>IF('Default Data'!AP118&gt;0,(('Default Data'!AP118/'Default Data'!$AG118)*$G86),0)</f>
        <v>0</v>
      </c>
      <c r="M86" s="300">
        <f>IF('Default Data'!AQ118&gt;0,(('Default Data'!AQ118/'Default Data'!$AG118)*$G86),0)</f>
        <v>0</v>
      </c>
      <c r="N86" s="300">
        <f>SUM(I86:M86)</f>
        <v>0</v>
      </c>
    </row>
    <row r="87" spans="2:14" x14ac:dyDescent="0.25">
      <c r="B87" s="99" t="s">
        <v>790</v>
      </c>
      <c r="C87" s="300">
        <f>IF(ProjectData!$B$11="Simple",'Default Data'!K119,ProjectData!D120)</f>
        <v>7477386.7705800943</v>
      </c>
      <c r="D87" s="650">
        <f>IF(ProjectData!$B$11="Simple",'Default Data'!H119,ProjectData!F120)</f>
        <v>0</v>
      </c>
      <c r="F87" s="300">
        <f>D87*C87</f>
        <v>0</v>
      </c>
      <c r="G87" s="300">
        <f>IF(ProjectData!B$11="Simple",F87*(1+'Rates &amp; Misc'!C$6),F87*(1+ProjectData!B$29))</f>
        <v>0</v>
      </c>
      <c r="H87" s="300">
        <f>G87-F87</f>
        <v>0</v>
      </c>
      <c r="I87" s="300">
        <f>IF('Default Data'!AM119&gt;0,(('Default Data'!AM119/'Default Data'!$AG119)*$G87),0)</f>
        <v>0</v>
      </c>
      <c r="J87" s="300">
        <f>IF('Default Data'!AN119&gt;0,(('Default Data'!AN119/'Default Data'!$AG119)*$G87),0)</f>
        <v>0</v>
      </c>
      <c r="K87" s="300">
        <f>IF('Default Data'!AO119&gt;0,(('Default Data'!AO119/'Default Data'!$AG119)*$G87),0)</f>
        <v>0</v>
      </c>
      <c r="L87" s="300">
        <f>IF('Default Data'!AP119&gt;0,(('Default Data'!AP119/'Default Data'!$AG119)*$G87),0)</f>
        <v>0</v>
      </c>
      <c r="M87" s="300">
        <f>IF('Default Data'!AQ119&gt;0,(('Default Data'!AQ119/'Default Data'!$AG119)*$G87),0)</f>
        <v>0</v>
      </c>
      <c r="N87" s="300">
        <f>SUM(I87:M87)</f>
        <v>0</v>
      </c>
    </row>
    <row r="88" spans="2:14" x14ac:dyDescent="0.25">
      <c r="B88" s="99" t="s">
        <v>791</v>
      </c>
      <c r="C88" s="300">
        <f>IF(ProjectData!$B$11="Simple",'Default Data'!K120,ProjectData!D121)</f>
        <v>737847.95381650131</v>
      </c>
      <c r="D88" s="650">
        <f>IF(ProjectData!$B$11="Simple",'Default Data'!H120,ProjectData!F121)</f>
        <v>0</v>
      </c>
      <c r="F88" s="300">
        <f>D88*C88</f>
        <v>0</v>
      </c>
      <c r="G88" s="300">
        <f>IF(ProjectData!B$11="Simple",F88*(1+'Rates &amp; Misc'!C$6),F88*(1+ProjectData!B$29))</f>
        <v>0</v>
      </c>
      <c r="H88" s="300">
        <f>G88-F88</f>
        <v>0</v>
      </c>
      <c r="I88" s="300">
        <f>IF('Default Data'!AM120&gt;0,(('Default Data'!AM120/'Default Data'!$AG120)*$G88),0)</f>
        <v>0</v>
      </c>
      <c r="J88" s="300">
        <f>IF('Default Data'!AN120&gt;0,(('Default Data'!AN120/'Default Data'!$AG120)*$G88),0)</f>
        <v>0</v>
      </c>
      <c r="K88" s="300">
        <f>IF('Default Data'!AO120&gt;0,(('Default Data'!AO120/'Default Data'!$AG120)*$G88),0)</f>
        <v>0</v>
      </c>
      <c r="L88" s="300">
        <f>IF('Default Data'!AP120&gt;0,(('Default Data'!AP120/'Default Data'!$AG120)*$G88),0)</f>
        <v>0</v>
      </c>
      <c r="M88" s="300">
        <f>IF('Default Data'!AQ120&gt;0,(('Default Data'!AQ120/'Default Data'!$AG120)*$G88),0)</f>
        <v>0</v>
      </c>
      <c r="N88" s="300">
        <f>SUM(I88:M88)</f>
        <v>0</v>
      </c>
    </row>
    <row r="89" spans="2:14" ht="15.75" thickBot="1" x14ac:dyDescent="0.3">
      <c r="B89" s="99" t="s">
        <v>792</v>
      </c>
      <c r="C89" s="300">
        <f>IF(ProjectData!$B$11="Simple",'Default Data'!K121,ProjectData!D122)</f>
        <v>1517236.9452473368</v>
      </c>
      <c r="D89" s="650">
        <f>IF(ProjectData!$B$11="Simple",'Default Data'!H121,ProjectData!F122)</f>
        <v>0</v>
      </c>
      <c r="F89" s="300">
        <f>D89*C89</f>
        <v>0</v>
      </c>
      <c r="G89" s="300">
        <f>IF(ProjectData!B$11="Simple",F89*(1+'Rates &amp; Misc'!C$6),F89*(1+ProjectData!B$29))</f>
        <v>0</v>
      </c>
      <c r="H89" s="300">
        <f>G89-F89</f>
        <v>0</v>
      </c>
      <c r="I89" s="300">
        <f>IF('Default Data'!AM121&gt;0,(('Default Data'!AM121/'Default Data'!$AG121)*$G89),0)</f>
        <v>0</v>
      </c>
      <c r="J89" s="300">
        <f>IF('Default Data'!AN121&gt;0,(('Default Data'!AN121/'Default Data'!$AG121)*$G89),0)</f>
        <v>0</v>
      </c>
      <c r="K89" s="300">
        <f>IF('Default Data'!AO121&gt;0,(('Default Data'!AO121/'Default Data'!$AG121)*$G89),0)</f>
        <v>0</v>
      </c>
      <c r="L89" s="300">
        <f>IF('Default Data'!AP121&gt;0,(('Default Data'!AP121/'Default Data'!$AG121)*$G89),0)</f>
        <v>0</v>
      </c>
      <c r="M89" s="300">
        <f>IF('Default Data'!AQ121&gt;0,(('Default Data'!AQ121/'Default Data'!$AG121)*$G89),0)</f>
        <v>0</v>
      </c>
      <c r="N89" s="300">
        <f>SUM(I89:M89)</f>
        <v>0</v>
      </c>
    </row>
    <row r="90" spans="2:14" ht="15.75" thickBot="1" x14ac:dyDescent="0.3">
      <c r="B90" s="398" t="s">
        <v>788</v>
      </c>
      <c r="C90" s="551">
        <f>SUM(C86:C89)</f>
        <v>19781446.483016122</v>
      </c>
      <c r="D90" s="33"/>
      <c r="E90" s="33"/>
      <c r="F90" s="551">
        <f t="shared" ref="F90:N90" si="17">SUM(F86:F89)</f>
        <v>0</v>
      </c>
      <c r="G90" s="551">
        <f t="shared" si="17"/>
        <v>0</v>
      </c>
      <c r="H90" s="551">
        <f t="shared" si="17"/>
        <v>0</v>
      </c>
      <c r="I90" s="551">
        <f t="shared" si="17"/>
        <v>0</v>
      </c>
      <c r="J90" s="551">
        <f t="shared" si="17"/>
        <v>0</v>
      </c>
      <c r="K90" s="551">
        <f t="shared" si="17"/>
        <v>0</v>
      </c>
      <c r="L90" s="551">
        <f t="shared" si="17"/>
        <v>0</v>
      </c>
      <c r="M90" s="551">
        <f t="shared" si="17"/>
        <v>0</v>
      </c>
      <c r="N90" s="551">
        <f t="shared" si="17"/>
        <v>0</v>
      </c>
    </row>
    <row r="91" spans="2:14" x14ac:dyDescent="0.25">
      <c r="B91" s="358"/>
      <c r="C91" s="472"/>
      <c r="D91" s="36"/>
      <c r="E91" s="36"/>
      <c r="F91" s="200"/>
      <c r="G91" s="200"/>
    </row>
    <row r="92" spans="2:14" x14ac:dyDescent="0.25">
      <c r="B92" s="550" t="str">
        <f>ProjectData!A126</f>
        <v>Flash Plant Equipment - not applicable</v>
      </c>
      <c r="C92" s="300"/>
    </row>
    <row r="93" spans="2:14" x14ac:dyDescent="0.25">
      <c r="B93" s="99" t="s">
        <v>391</v>
      </c>
      <c r="C93" s="300">
        <f>IF(ProjectData!$B$11="Simple",'Default Data'!K126,ProjectData!D127)</f>
        <v>0</v>
      </c>
      <c r="D93" s="650">
        <f>IF(ProjectData!$B$11="Simple",'Default Data'!H126,ProjectData!F127)</f>
        <v>0</v>
      </c>
      <c r="F93" s="300">
        <f t="shared" ref="F93:F99" si="18">D93*C93</f>
        <v>0</v>
      </c>
      <c r="G93" s="300">
        <f>IF(ProjectData!B$11="Simple",F93*(1+'Rates &amp; Misc'!C$6),F93*(1+ProjectData!B$29))</f>
        <v>0</v>
      </c>
      <c r="H93" s="300">
        <f t="shared" ref="H93:H99" si="19">G93-F93</f>
        <v>0</v>
      </c>
      <c r="I93" s="300">
        <f>IF('Default Data'!AM126&gt;0,(('Default Data'!AM126/'Default Data'!$AG126)*$G93),0)</f>
        <v>0</v>
      </c>
      <c r="J93" s="300">
        <f>IF('Default Data'!AN126&gt;0,(('Default Data'!AN126/'Default Data'!$AG126)*$G93),0)</f>
        <v>0</v>
      </c>
      <c r="K93" s="300">
        <f>IF('Default Data'!AO126&gt;0,(('Default Data'!AO126/'Default Data'!$AG126)*$G93),0)</f>
        <v>0</v>
      </c>
      <c r="L93" s="300">
        <f>IF('Default Data'!AP126&gt;0,(('Default Data'!AP126/'Default Data'!$AG126)*$G93),0)</f>
        <v>0</v>
      </c>
      <c r="M93" s="300">
        <f>IF('Default Data'!AQ126&gt;0,(('Default Data'!AQ126/'Default Data'!$AG126)*$G93),0)</f>
        <v>0</v>
      </c>
      <c r="N93" s="300">
        <f t="shared" ref="N93:N99" si="20">SUM(I93:M93)</f>
        <v>0</v>
      </c>
    </row>
    <row r="94" spans="2:14" x14ac:dyDescent="0.25">
      <c r="B94" s="99" t="s">
        <v>392</v>
      </c>
      <c r="C94" s="300">
        <f>IF(ProjectData!$B$11="Simple",'Default Data'!K127,ProjectData!D128)</f>
        <v>0</v>
      </c>
      <c r="D94" s="650">
        <f>IF(ProjectData!$B$11="Simple",'Default Data'!H127,ProjectData!F128)</f>
        <v>0</v>
      </c>
      <c r="F94" s="300">
        <f t="shared" si="18"/>
        <v>0</v>
      </c>
      <c r="G94" s="300">
        <f>IF(ProjectData!B$11="Simple",F94*(1+'Rates &amp; Misc'!C$6),F94*(1+ProjectData!B$29))</f>
        <v>0</v>
      </c>
      <c r="H94" s="300">
        <f t="shared" si="19"/>
        <v>0</v>
      </c>
      <c r="I94" s="300">
        <f>IF('Default Data'!AM127&gt;0,(('Default Data'!AM127/'Default Data'!$AG127)*$G94),0)</f>
        <v>0</v>
      </c>
      <c r="J94" s="300">
        <f>IF('Default Data'!AN127&gt;0,(('Default Data'!AN127/'Default Data'!$AG127)*$G94),0)</f>
        <v>0</v>
      </c>
      <c r="K94" s="300">
        <f>IF('Default Data'!AO127&gt;0,(('Default Data'!AO127/'Default Data'!$AG127)*$G94),0)</f>
        <v>0</v>
      </c>
      <c r="L94" s="300">
        <f>IF('Default Data'!AP127&gt;0,(('Default Data'!AP127/'Default Data'!$AG127)*$G94),0)</f>
        <v>0</v>
      </c>
      <c r="M94" s="300">
        <f>IF('Default Data'!AQ127&gt;0,(('Default Data'!AQ127/'Default Data'!$AG127)*$G94),0)</f>
        <v>0</v>
      </c>
      <c r="N94" s="300">
        <f t="shared" si="20"/>
        <v>0</v>
      </c>
    </row>
    <row r="95" spans="2:14" x14ac:dyDescent="0.25">
      <c r="B95" s="99" t="s">
        <v>393</v>
      </c>
      <c r="C95" s="300">
        <f>IF(ProjectData!$B$11="Simple",'Default Data'!K128,ProjectData!D129)</f>
        <v>0</v>
      </c>
      <c r="D95" s="650">
        <f>IF(ProjectData!$B$11="Simple",'Default Data'!H128,ProjectData!F129)</f>
        <v>0</v>
      </c>
      <c r="F95" s="300">
        <f t="shared" si="18"/>
        <v>0</v>
      </c>
      <c r="G95" s="300">
        <f>IF(ProjectData!B$11="Simple",F95*(1+'Rates &amp; Misc'!C$6),F95*(1+ProjectData!B$29))</f>
        <v>0</v>
      </c>
      <c r="H95" s="300">
        <f t="shared" si="19"/>
        <v>0</v>
      </c>
      <c r="I95" s="300">
        <f>IF('Default Data'!AM128&gt;0,(('Default Data'!AM128/'Default Data'!$AG128)*$G95),0)</f>
        <v>0</v>
      </c>
      <c r="J95" s="300">
        <f>IF('Default Data'!AN128&gt;0,(('Default Data'!AN128/'Default Data'!$AG128)*$G95),0)</f>
        <v>0</v>
      </c>
      <c r="K95" s="300">
        <f>IF('Default Data'!AO128&gt;0,(('Default Data'!AO128/'Default Data'!$AG128)*$G95),0)</f>
        <v>0</v>
      </c>
      <c r="L95" s="300">
        <f>IF('Default Data'!AP128&gt;0,(('Default Data'!AP128/'Default Data'!$AG128)*$G95),0)</f>
        <v>0</v>
      </c>
      <c r="M95" s="300">
        <f>IF('Default Data'!AQ128&gt;0,(('Default Data'!AQ128/'Default Data'!$AG128)*$G95),0)</f>
        <v>0</v>
      </c>
      <c r="N95" s="300">
        <f t="shared" si="20"/>
        <v>0</v>
      </c>
    </row>
    <row r="96" spans="2:14" x14ac:dyDescent="0.25">
      <c r="B96" s="99" t="s">
        <v>394</v>
      </c>
      <c r="C96" s="300">
        <f>IF(ProjectData!$B$11="Simple",'Default Data'!K129,ProjectData!D130)</f>
        <v>0</v>
      </c>
      <c r="D96" s="650">
        <f>IF(ProjectData!$B$11="Simple",'Default Data'!H129,ProjectData!F130)</f>
        <v>0</v>
      </c>
      <c r="F96" s="300">
        <f t="shared" si="18"/>
        <v>0</v>
      </c>
      <c r="G96" s="300">
        <f>IF(ProjectData!B$11="Simple",F96*(1+'Rates &amp; Misc'!C$6),F96*(1+ProjectData!B$29))</f>
        <v>0</v>
      </c>
      <c r="H96" s="300">
        <f t="shared" si="19"/>
        <v>0</v>
      </c>
      <c r="I96" s="300">
        <f>IF('Default Data'!AM129&gt;0,(('Default Data'!AM129/'Default Data'!$AG129)*$G96),0)</f>
        <v>0</v>
      </c>
      <c r="J96" s="300">
        <f>IF('Default Data'!AN129&gt;0,(('Default Data'!AN129/'Default Data'!$AG129)*$G96),0)</f>
        <v>0</v>
      </c>
      <c r="K96" s="300">
        <f>IF('Default Data'!AO129&gt;0,(('Default Data'!AO129/'Default Data'!$AG129)*$G96),0)</f>
        <v>0</v>
      </c>
      <c r="L96" s="300">
        <f>IF('Default Data'!AP129&gt;0,(('Default Data'!AP129/'Default Data'!$AG129)*$G96),0)</f>
        <v>0</v>
      </c>
      <c r="M96" s="300">
        <f>IF('Default Data'!AQ129&gt;0,(('Default Data'!AQ129/'Default Data'!$AG129)*$G96),0)</f>
        <v>0</v>
      </c>
      <c r="N96" s="300">
        <f t="shared" si="20"/>
        <v>0</v>
      </c>
    </row>
    <row r="97" spans="2:14" x14ac:dyDescent="0.25">
      <c r="B97" s="99" t="s">
        <v>395</v>
      </c>
      <c r="C97" s="300">
        <f>IF(ProjectData!$B$11="Simple",'Default Data'!K130,ProjectData!D131)</f>
        <v>0</v>
      </c>
      <c r="D97" s="650">
        <f>IF(ProjectData!$B$11="Simple",'Default Data'!H130,ProjectData!F131)</f>
        <v>0</v>
      </c>
      <c r="F97" s="300">
        <f t="shared" si="18"/>
        <v>0</v>
      </c>
      <c r="G97" s="300">
        <f>IF(ProjectData!B$11="Simple",F97*(1+'Rates &amp; Misc'!C$6),F97*(1+ProjectData!B$29))</f>
        <v>0</v>
      </c>
      <c r="H97" s="300">
        <f t="shared" si="19"/>
        <v>0</v>
      </c>
      <c r="I97" s="300">
        <f>IF('Default Data'!AM130&gt;0,(('Default Data'!AM130/'Default Data'!$AG130)*$G97),0)</f>
        <v>0</v>
      </c>
      <c r="J97" s="300">
        <f>IF('Default Data'!AN130&gt;0,(('Default Data'!AN130/'Default Data'!$AG130)*$G97),0)</f>
        <v>0</v>
      </c>
      <c r="K97" s="300">
        <f>IF('Default Data'!AO130&gt;0,(('Default Data'!AO130/'Default Data'!$AG130)*$G97),0)</f>
        <v>0</v>
      </c>
      <c r="L97" s="300">
        <f>IF('Default Data'!AP130&gt;0,(('Default Data'!AP130/'Default Data'!$AG130)*$G97),0)</f>
        <v>0</v>
      </c>
      <c r="M97" s="300">
        <f>IF('Default Data'!AQ130&gt;0,(('Default Data'!AQ130/'Default Data'!$AG130)*$G97),0)</f>
        <v>0</v>
      </c>
      <c r="N97" s="300">
        <f t="shared" si="20"/>
        <v>0</v>
      </c>
    </row>
    <row r="98" spans="2:14" x14ac:dyDescent="0.25">
      <c r="B98" s="99" t="s">
        <v>396</v>
      </c>
      <c r="C98" s="300">
        <f>IF(ProjectData!$B$11="Simple",'Default Data'!K131,ProjectData!D132)</f>
        <v>0</v>
      </c>
      <c r="D98" s="650">
        <f>IF(ProjectData!$B$11="Simple",'Default Data'!H131,ProjectData!F132)</f>
        <v>0</v>
      </c>
      <c r="F98" s="300">
        <f t="shared" si="18"/>
        <v>0</v>
      </c>
      <c r="G98" s="300">
        <f>IF(ProjectData!B$11="Simple",F98*(1+'Rates &amp; Misc'!C$6),F98*(1+ProjectData!B$29))</f>
        <v>0</v>
      </c>
      <c r="H98" s="300">
        <f t="shared" si="19"/>
        <v>0</v>
      </c>
      <c r="I98" s="300">
        <f>IF('Default Data'!AM131&gt;0,(('Default Data'!AM131/'Default Data'!$AG131)*$G98),0)</f>
        <v>0</v>
      </c>
      <c r="J98" s="300">
        <f>IF('Default Data'!AN131&gt;0,(('Default Data'!AN131/'Default Data'!$AG131)*$G98),0)</f>
        <v>0</v>
      </c>
      <c r="K98" s="300">
        <f>IF('Default Data'!AO131&gt;0,(('Default Data'!AO131/'Default Data'!$AG131)*$G98),0)</f>
        <v>0</v>
      </c>
      <c r="L98" s="300">
        <f>IF('Default Data'!AP131&gt;0,(('Default Data'!AP131/'Default Data'!$AG131)*$G98),0)</f>
        <v>0</v>
      </c>
      <c r="M98" s="300">
        <f>IF('Default Data'!AQ131&gt;0,(('Default Data'!AQ131/'Default Data'!$AG131)*$G98),0)</f>
        <v>0</v>
      </c>
      <c r="N98" s="300">
        <f t="shared" si="20"/>
        <v>0</v>
      </c>
    </row>
    <row r="99" spans="2:14" ht="15.75" thickBot="1" x14ac:dyDescent="0.3">
      <c r="B99" s="99" t="s">
        <v>397</v>
      </c>
      <c r="C99" s="300">
        <f>IF(ProjectData!$B$11="Simple",'Default Data'!K132,ProjectData!D133)</f>
        <v>0</v>
      </c>
      <c r="D99" s="650">
        <f>IF(ProjectData!$B$11="Simple",'Default Data'!H132,ProjectData!F133)</f>
        <v>0</v>
      </c>
      <c r="F99" s="300">
        <f t="shared" si="18"/>
        <v>0</v>
      </c>
      <c r="G99" s="300">
        <f>IF(ProjectData!B$11="Simple",F99*(1+'Rates &amp; Misc'!C$6),F99*(1+ProjectData!B$29))</f>
        <v>0</v>
      </c>
      <c r="H99" s="300">
        <f t="shared" si="19"/>
        <v>0</v>
      </c>
      <c r="I99" s="300">
        <f>IF('Default Data'!AM132&gt;0,(('Default Data'!AM132/'Default Data'!$AG132)*$G99),0)</f>
        <v>0</v>
      </c>
      <c r="J99" s="300">
        <f>IF('Default Data'!AN132&gt;0,(('Default Data'!AN132/'Default Data'!$AG132)*$G99),0)</f>
        <v>0</v>
      </c>
      <c r="K99" s="300">
        <f>IF('Default Data'!AO132&gt;0,(('Default Data'!AO132/'Default Data'!$AG132)*$G99),0)</f>
        <v>0</v>
      </c>
      <c r="L99" s="300">
        <f>IF('Default Data'!AP132&gt;0,(('Default Data'!AP132/'Default Data'!$AG132)*$G99),0)</f>
        <v>0</v>
      </c>
      <c r="M99" s="300">
        <f>IF('Default Data'!AQ132&gt;0,(('Default Data'!AQ132/'Default Data'!$AG132)*$G99),0)</f>
        <v>0</v>
      </c>
      <c r="N99" s="300">
        <f t="shared" si="20"/>
        <v>0</v>
      </c>
    </row>
    <row r="100" spans="2:14" x14ac:dyDescent="0.25">
      <c r="B100" s="398" t="s">
        <v>333</v>
      </c>
      <c r="C100" s="472">
        <f>SUM(C93:C99)</f>
        <v>0</v>
      </c>
      <c r="D100" s="411"/>
      <c r="E100" s="411"/>
      <c r="F100" s="472">
        <f t="shared" ref="F100:N100" si="21">SUM(F93:F99)</f>
        <v>0</v>
      </c>
      <c r="G100" s="472">
        <f t="shared" si="21"/>
        <v>0</v>
      </c>
      <c r="H100" s="472">
        <f t="shared" si="21"/>
        <v>0</v>
      </c>
      <c r="I100" s="472">
        <f t="shared" si="21"/>
        <v>0</v>
      </c>
      <c r="J100" s="472">
        <f t="shared" si="21"/>
        <v>0</v>
      </c>
      <c r="K100" s="472">
        <f t="shared" si="21"/>
        <v>0</v>
      </c>
      <c r="L100" s="472">
        <f t="shared" si="21"/>
        <v>0</v>
      </c>
      <c r="M100" s="472">
        <f t="shared" si="21"/>
        <v>0</v>
      </c>
      <c r="N100" s="472">
        <f t="shared" si="21"/>
        <v>0</v>
      </c>
    </row>
    <row r="101" spans="2:14" x14ac:dyDescent="0.25">
      <c r="B101" s="358" t="s">
        <v>951</v>
      </c>
      <c r="C101" s="411">
        <f>C100+C90+C84+C75+C57+C36+C15</f>
        <v>43741441.117801815</v>
      </c>
      <c r="D101" s="411"/>
      <c r="E101" s="36"/>
      <c r="F101" s="411">
        <f t="shared" ref="F101:N101" si="22">F100+F90+F84+F75+F57+F36+F15</f>
        <v>10320112.479212537</v>
      </c>
      <c r="G101" s="411">
        <f t="shared" si="22"/>
        <v>10836118.103173167</v>
      </c>
      <c r="H101" s="411">
        <f t="shared" si="22"/>
        <v>516005.62396062724</v>
      </c>
      <c r="I101" s="411">
        <f t="shared" si="22"/>
        <v>641284.80117114435</v>
      </c>
      <c r="J101" s="411">
        <f t="shared" si="22"/>
        <v>3383426.495221375</v>
      </c>
      <c r="K101" s="411">
        <f t="shared" si="22"/>
        <v>755364.49558429199</v>
      </c>
      <c r="L101" s="411">
        <f t="shared" si="22"/>
        <v>6056042.3111963533</v>
      </c>
      <c r="M101" s="411">
        <f t="shared" si="22"/>
        <v>0</v>
      </c>
      <c r="N101" s="411">
        <f t="shared" si="22"/>
        <v>10836118.103173165</v>
      </c>
    </row>
    <row r="102" spans="2:14" x14ac:dyDescent="0.25">
      <c r="B102" s="358" t="s">
        <v>803</v>
      </c>
      <c r="C102" s="300">
        <f>C101*ProjectData!B29</f>
        <v>2187072.0558900908</v>
      </c>
      <c r="D102" s="48"/>
      <c r="F102" s="300"/>
    </row>
    <row r="103" spans="2:14" x14ac:dyDescent="0.25">
      <c r="B103" s="358" t="s">
        <v>949</v>
      </c>
      <c r="C103" s="411">
        <f>C102+C101</f>
        <v>45928513.173691906</v>
      </c>
      <c r="D103" s="48"/>
      <c r="F103" s="300"/>
      <c r="N103" s="396">
        <f>N100+N90+N84+N75+N57+N36+N15</f>
        <v>10836118.103173165</v>
      </c>
    </row>
    <row r="104" spans="2:14" x14ac:dyDescent="0.25">
      <c r="B104" s="358"/>
      <c r="C104" s="300"/>
      <c r="N104" s="396">
        <f>N103-D224</f>
        <v>0</v>
      </c>
    </row>
    <row r="105" spans="2:14" x14ac:dyDescent="0.25">
      <c r="B105" s="550" t="str">
        <f>ProjectData!A139</f>
        <v>Binary Plant O&amp;M Costs</v>
      </c>
      <c r="C105" s="300"/>
    </row>
    <row r="106" spans="2:14" x14ac:dyDescent="0.25">
      <c r="B106" s="420" t="s">
        <v>798</v>
      </c>
      <c r="C106" s="300"/>
    </row>
    <row r="107" spans="2:14" x14ac:dyDescent="0.25">
      <c r="B107" s="420" t="s">
        <v>761</v>
      </c>
      <c r="C107" s="300">
        <f>IF(ProjectData!$B$11="Simple",'Default Data'!G173+'Default Data'!G151,ProjectData!D141)</f>
        <v>119164.48859722647</v>
      </c>
      <c r="D107" s="650">
        <f>IF(ProjectData!$B$11="Simple",'Default Data'!H173,ProjectData!F141)</f>
        <v>1</v>
      </c>
      <c r="F107" s="300">
        <f>D107*C107</f>
        <v>119164.48859722647</v>
      </c>
    </row>
    <row r="108" spans="2:14" x14ac:dyDescent="0.25">
      <c r="B108" s="420" t="s">
        <v>762</v>
      </c>
      <c r="C108" s="300">
        <f>IF(ProjectData!$B$11="Simple",'Default Data'!G174+'Default Data'!G152,ProjectData!D142)</f>
        <v>918517.90742217377</v>
      </c>
      <c r="D108" s="650">
        <f>IF(ProjectData!$B$11="Simple",'Default Data'!H174,ProjectData!F142)</f>
        <v>1</v>
      </c>
      <c r="F108" s="300">
        <f>D108*C108</f>
        <v>918517.90742217377</v>
      </c>
    </row>
    <row r="109" spans="2:14" x14ac:dyDescent="0.25">
      <c r="B109" s="420" t="s">
        <v>793</v>
      </c>
      <c r="C109" s="300">
        <f>C108+C107</f>
        <v>1037682.3960194002</v>
      </c>
      <c r="D109" s="650"/>
      <c r="F109" s="300">
        <f>F108+F107</f>
        <v>1037682.3960194002</v>
      </c>
    </row>
    <row r="110" spans="2:14" x14ac:dyDescent="0.25">
      <c r="B110" s="420" t="s">
        <v>797</v>
      </c>
      <c r="C110" s="300"/>
    </row>
    <row r="111" spans="2:14" x14ac:dyDescent="0.25">
      <c r="B111" s="420" t="s">
        <v>794</v>
      </c>
      <c r="C111" s="300">
        <f>IF(ProjectData!$B$11="Simple",'Default Data'!D188,ProjectData!D145)</f>
        <v>470986.82102419343</v>
      </c>
      <c r="D111" s="650">
        <f>IF(ProjectData!$B$11="Simple",'Default Data'!H188,ProjectData!F145)</f>
        <v>0</v>
      </c>
      <c r="F111" s="300">
        <f t="shared" ref="F111:F116" si="23">D111*C111</f>
        <v>0</v>
      </c>
    </row>
    <row r="112" spans="2:14" x14ac:dyDescent="0.25">
      <c r="B112" s="420" t="s">
        <v>795</v>
      </c>
      <c r="C112" s="300">
        <f>IF(ProjectData!$B$11="Simple",'Default Data'!D189,ProjectData!D146)</f>
        <v>0</v>
      </c>
      <c r="D112" s="650">
        <f>IF(ProjectData!$B$11="Simple",'Default Data'!H189,ProjectData!F146)</f>
        <v>0</v>
      </c>
      <c r="F112" s="300">
        <f t="shared" si="23"/>
        <v>0</v>
      </c>
    </row>
    <row r="113" spans="2:20" x14ac:dyDescent="0.25">
      <c r="B113" s="99" t="s">
        <v>97</v>
      </c>
      <c r="C113" s="300">
        <f>IF(ProjectData!$B$11="Simple",'Default Data'!D190,ProjectData!D147)</f>
        <v>0</v>
      </c>
      <c r="D113" s="650">
        <f>IF(ProjectData!$B$11="Simple",'Default Data'!H190,ProjectData!F147)</f>
        <v>0</v>
      </c>
      <c r="F113" s="300">
        <f t="shared" si="23"/>
        <v>0</v>
      </c>
    </row>
    <row r="114" spans="2:20" x14ac:dyDescent="0.25">
      <c r="B114" s="99" t="s">
        <v>96</v>
      </c>
      <c r="C114" s="300">
        <f>IF(ProjectData!$B$11="Simple",'Default Data'!D191,ProjectData!D148)</f>
        <v>0</v>
      </c>
      <c r="D114" s="650">
        <f>IF(ProjectData!$B$11="Simple",'Default Data'!H191,ProjectData!F148)</f>
        <v>0</v>
      </c>
      <c r="F114" s="300">
        <f t="shared" si="23"/>
        <v>0</v>
      </c>
    </row>
    <row r="115" spans="2:20" x14ac:dyDescent="0.25">
      <c r="B115" s="99" t="s">
        <v>94</v>
      </c>
      <c r="C115" s="300">
        <f>IF(ProjectData!$B$11="Simple",'Default Data'!D192,ProjectData!D149)</f>
        <v>0</v>
      </c>
      <c r="D115" s="650">
        <f>IF(ProjectData!$B$11="Simple",'Default Data'!H192,ProjectData!F149)</f>
        <v>0</v>
      </c>
      <c r="F115" s="300">
        <f t="shared" si="23"/>
        <v>0</v>
      </c>
    </row>
    <row r="116" spans="2:20" x14ac:dyDescent="0.25">
      <c r="B116" s="99" t="s">
        <v>796</v>
      </c>
      <c r="C116" s="300">
        <f>IF(ProjectData!$B$11="Simple",'Default Data'!D193,ProjectData!D150)</f>
        <v>0</v>
      </c>
      <c r="D116" s="650">
        <f>IF(ProjectData!$B$11="Simple",'Default Data'!H193,ProjectData!F150)</f>
        <v>0</v>
      </c>
      <c r="F116" s="300">
        <f t="shared" si="23"/>
        <v>0</v>
      </c>
    </row>
    <row r="117" spans="2:20" x14ac:dyDescent="0.25">
      <c r="B117" s="99" t="s">
        <v>788</v>
      </c>
      <c r="C117" s="300">
        <f>SUM(C111:C116)</f>
        <v>470986.82102419343</v>
      </c>
      <c r="F117" s="300">
        <f>SUM(F111:F116)</f>
        <v>0</v>
      </c>
    </row>
    <row r="118" spans="2:20" x14ac:dyDescent="0.25">
      <c r="B118" s="99" t="s">
        <v>799</v>
      </c>
      <c r="C118" s="300"/>
    </row>
    <row r="119" spans="2:20" x14ac:dyDescent="0.25">
      <c r="B119" s="99" t="s">
        <v>794</v>
      </c>
      <c r="C119" s="300">
        <f>IF(ProjectData!$B$11="Simple",'Default Data'!D196,ProjectData!D153)</f>
        <v>680265.91439942003</v>
      </c>
      <c r="D119" s="650">
        <f>IF(ProjectData!$B$11="Simple",'Default Data'!H196,ProjectData!F153)</f>
        <v>0</v>
      </c>
      <c r="F119" s="300">
        <f>D119*C119</f>
        <v>0</v>
      </c>
    </row>
    <row r="120" spans="2:20" x14ac:dyDescent="0.25">
      <c r="B120" s="99" t="s">
        <v>795</v>
      </c>
      <c r="C120" s="300">
        <f>IF(ProjectData!$B$11="Simple",'Default Data'!D197,ProjectData!D154)</f>
        <v>0</v>
      </c>
      <c r="D120" s="650">
        <f>IF(ProjectData!$B$11="Simple",'Default Data'!H197,ProjectData!F154)</f>
        <v>0</v>
      </c>
      <c r="F120" s="300">
        <f>D120*C120</f>
        <v>0</v>
      </c>
    </row>
    <row r="121" spans="2:20" x14ac:dyDescent="0.25">
      <c r="B121" s="367" t="s">
        <v>95</v>
      </c>
      <c r="C121" s="300">
        <f>IF(ProjectData!$B$11="Simple",'Default Data'!D198,ProjectData!D155)</f>
        <v>0</v>
      </c>
      <c r="D121" s="650">
        <f>IF(ProjectData!$B$11="Simple",'Default Data'!H198,ProjectData!F155)</f>
        <v>0</v>
      </c>
      <c r="F121" s="300">
        <f>D121*C121</f>
        <v>0</v>
      </c>
    </row>
    <row r="122" spans="2:20" x14ac:dyDescent="0.25">
      <c r="B122" s="99" t="s">
        <v>94</v>
      </c>
      <c r="C122" s="300">
        <f>IF(ProjectData!$B$11="Simple",'Default Data'!D199,ProjectData!D156)</f>
        <v>0</v>
      </c>
      <c r="D122" s="650">
        <f>IF(ProjectData!$B$11="Simple",'Default Data'!H199,ProjectData!F156)</f>
        <v>0</v>
      </c>
      <c r="F122" s="300">
        <f>D122*C122</f>
        <v>0</v>
      </c>
    </row>
    <row r="123" spans="2:20" ht="15.75" thickBot="1" x14ac:dyDescent="0.3">
      <c r="B123" s="99" t="s">
        <v>796</v>
      </c>
      <c r="C123" s="300">
        <f>IF(ProjectData!$B$11="Simple",'Default Data'!D200,ProjectData!D157)</f>
        <v>0</v>
      </c>
      <c r="D123" s="650">
        <f>IF(ProjectData!$B$11="Simple",'Default Data'!H200,ProjectData!F157)</f>
        <v>0</v>
      </c>
      <c r="F123" s="300">
        <f>D123*C123</f>
        <v>0</v>
      </c>
    </row>
    <row r="124" spans="2:20" x14ac:dyDescent="0.25">
      <c r="B124" s="398" t="s">
        <v>788</v>
      </c>
      <c r="C124" s="551">
        <f>SUM(C119:C123)</f>
        <v>680265.91439942003</v>
      </c>
      <c r="D124" s="33"/>
      <c r="E124" s="33"/>
      <c r="F124" s="551">
        <f>SUM(F119:F123)</f>
        <v>0</v>
      </c>
    </row>
    <row r="125" spans="2:20" x14ac:dyDescent="0.25">
      <c r="B125" s="420" t="s">
        <v>763</v>
      </c>
      <c r="C125" s="300">
        <f>C117+C108</f>
        <v>1389504.7284463672</v>
      </c>
      <c r="F125" s="300">
        <f>F117+F108</f>
        <v>918517.90742217377</v>
      </c>
      <c r="J125" s="219"/>
      <c r="K125" s="219"/>
      <c r="L125" s="219"/>
      <c r="M125" s="219"/>
      <c r="N125" s="219"/>
      <c r="O125" s="495"/>
      <c r="P125" s="222"/>
      <c r="Q125" s="219"/>
      <c r="R125" s="219"/>
      <c r="S125" s="495"/>
      <c r="T125" s="685"/>
    </row>
    <row r="126" spans="2:20" x14ac:dyDescent="0.25">
      <c r="B126" s="420" t="s">
        <v>800</v>
      </c>
      <c r="C126" s="300">
        <f>C124+C107</f>
        <v>799430.40299664647</v>
      </c>
      <c r="F126" s="300">
        <f>F124+F107</f>
        <v>119164.48859722647</v>
      </c>
      <c r="J126" s="219"/>
      <c r="K126" s="219"/>
      <c r="L126" s="219"/>
      <c r="M126" s="219"/>
      <c r="N126" s="219"/>
      <c r="O126" s="495"/>
      <c r="P126" s="219"/>
      <c r="Q126" s="219"/>
      <c r="R126" s="219"/>
      <c r="S126" s="495"/>
      <c r="T126" s="219"/>
    </row>
    <row r="127" spans="2:20" x14ac:dyDescent="0.25">
      <c r="B127" s="470" t="s">
        <v>377</v>
      </c>
      <c r="C127" s="300">
        <f>C126+C125</f>
        <v>2188935.1314430134</v>
      </c>
      <c r="D127" s="300"/>
      <c r="F127" s="300">
        <f>F126+F125</f>
        <v>1037682.3960194002</v>
      </c>
      <c r="J127" s="219"/>
      <c r="K127" s="219"/>
      <c r="L127" s="219"/>
      <c r="M127" s="219"/>
      <c r="N127" s="219"/>
      <c r="O127" s="495"/>
      <c r="P127" s="495"/>
      <c r="Q127" s="219"/>
      <c r="R127" s="219"/>
      <c r="S127" s="495"/>
      <c r="T127" s="495"/>
    </row>
    <row r="128" spans="2:20" x14ac:dyDescent="0.25">
      <c r="B128" s="470"/>
      <c r="C128" s="300"/>
      <c r="D128" s="300"/>
      <c r="F128" s="300"/>
      <c r="J128" s="219"/>
      <c r="K128" s="219"/>
      <c r="L128" s="219"/>
      <c r="M128" s="219"/>
      <c r="N128" s="219"/>
      <c r="O128" s="495"/>
      <c r="P128" s="495"/>
      <c r="Q128" s="219"/>
      <c r="R128" s="219"/>
      <c r="S128" s="495"/>
      <c r="T128" s="495"/>
    </row>
    <row r="129" spans="1:36" x14ac:dyDescent="0.25">
      <c r="B129" s="487" t="s">
        <v>1023</v>
      </c>
      <c r="C129" s="300">
        <f>IF(ProjectData!$B$11="Simple",E266,E302)</f>
        <v>4226876.5656366935</v>
      </c>
      <c r="D129" s="650">
        <f>IF(ProjectData!$B$11="Simple",'Default Data'!E210,ProjectData!E166)</f>
        <v>0</v>
      </c>
      <c r="F129" s="300">
        <f>D129*C129</f>
        <v>0</v>
      </c>
      <c r="G129" s="300">
        <f>IF(ProjectData!$B$11="Simple",C266,IC3)*D129</f>
        <v>0</v>
      </c>
      <c r="H129" s="487" t="s">
        <v>1026</v>
      </c>
      <c r="I129" s="219"/>
      <c r="J129" s="219"/>
      <c r="K129" s="219"/>
      <c r="L129" s="219"/>
      <c r="M129" s="219"/>
      <c r="N129" s="219"/>
      <c r="O129" s="219"/>
      <c r="P129" s="495"/>
      <c r="Q129" s="219"/>
      <c r="R129" s="219"/>
      <c r="S129" s="495"/>
      <c r="T129" s="495"/>
    </row>
    <row r="130" spans="1:36" x14ac:dyDescent="0.25">
      <c r="B130" s="487" t="s">
        <v>986</v>
      </c>
      <c r="C130" s="300">
        <f>IF(ProjectData!$B$11="Simple",J266,J302)</f>
        <v>0</v>
      </c>
      <c r="D130" s="650">
        <f>IF(ProjectData!$B$11="Simple",'Default Data'!E216,ProjectData!E171)</f>
        <v>1</v>
      </c>
      <c r="F130" s="300">
        <f>D130*C130</f>
        <v>0</v>
      </c>
      <c r="G130" s="300">
        <f>IF(ProjectData!$B$11="Simple",H266,H302)*D130</f>
        <v>0</v>
      </c>
      <c r="H130" s="526" t="s">
        <v>1027</v>
      </c>
      <c r="I130" s="219"/>
      <c r="J130" s="219"/>
      <c r="K130" s="219"/>
      <c r="L130" s="219"/>
      <c r="M130" s="219"/>
      <c r="N130" s="219"/>
      <c r="O130" s="219"/>
      <c r="P130" s="495"/>
      <c r="Q130" s="219"/>
      <c r="R130" s="219"/>
      <c r="S130" s="495"/>
      <c r="T130" s="495"/>
    </row>
    <row r="131" spans="1:36" x14ac:dyDescent="0.25">
      <c r="B131" s="487" t="s">
        <v>987</v>
      </c>
      <c r="C131" s="300">
        <f>IF(ProjectData!$B$11="Simple",O266,O302)</f>
        <v>6335106.0795163214</v>
      </c>
      <c r="D131" s="650">
        <f>IF(ProjectData!$B$11="Simple",'Default Data'!E217,ProjectData!E172)</f>
        <v>0</v>
      </c>
      <c r="F131" s="300">
        <f>D131*C131</f>
        <v>0</v>
      </c>
      <c r="G131" s="300">
        <f>IF(ProjectData!$B$11="Simple",M266,M302)*D131</f>
        <v>0</v>
      </c>
      <c r="H131" s="487" t="s">
        <v>1028</v>
      </c>
      <c r="I131" s="219"/>
      <c r="J131" s="219"/>
      <c r="K131" s="219" t="s">
        <v>1032</v>
      </c>
      <c r="L131" s="219"/>
      <c r="M131" s="219"/>
      <c r="N131" s="219" t="s">
        <v>1033</v>
      </c>
      <c r="O131" s="219"/>
      <c r="P131" s="495"/>
      <c r="Q131" s="219"/>
      <c r="R131" s="219"/>
      <c r="S131" s="495"/>
      <c r="T131" s="495"/>
    </row>
    <row r="132" spans="1:36" x14ac:dyDescent="0.25">
      <c r="B132" s="219" t="s">
        <v>988</v>
      </c>
      <c r="C132" s="300">
        <f>IF(ProjectData!$B$11="Simple",'Default Data'!C225,ProjectData!B180)</f>
        <v>0</v>
      </c>
      <c r="D132" s="650">
        <f>IF(ProjectData!$B$11="Simple",'Default Data'!E225,ProjectData!E180)</f>
        <v>1</v>
      </c>
      <c r="F132" s="300">
        <f>D132*C132</f>
        <v>0</v>
      </c>
      <c r="G132" s="219"/>
      <c r="H132" s="478" t="s">
        <v>1029</v>
      </c>
      <c r="I132" s="219"/>
      <c r="J132" s="478" t="s">
        <v>1029</v>
      </c>
      <c r="K132" s="478" t="s">
        <v>1031</v>
      </c>
      <c r="L132" s="478" t="s">
        <v>1075</v>
      </c>
      <c r="M132" s="219"/>
      <c r="N132" s="478" t="s">
        <v>1031</v>
      </c>
      <c r="O132" s="478" t="s">
        <v>1075</v>
      </c>
      <c r="P132" s="495"/>
      <c r="Q132" s="219"/>
      <c r="R132" s="219"/>
      <c r="S132" s="495"/>
      <c r="T132" s="495"/>
    </row>
    <row r="133" spans="1:36" x14ac:dyDescent="0.25">
      <c r="B133" s="219" t="s">
        <v>989</v>
      </c>
      <c r="C133" s="300">
        <f>IF(ProjectData!$B$11="Simple",'Default Data'!C231,ProjectData!B186)</f>
        <v>12100</v>
      </c>
      <c r="D133" s="650">
        <f>IF(ProjectData!$B$11="Simple",'Default Data'!E232,ProjectData!E187)</f>
        <v>0</v>
      </c>
      <c r="F133" s="300">
        <f>D133*C133</f>
        <v>0</v>
      </c>
      <c r="G133" s="300">
        <f>IF(ProjectData!$B$11="Simple",K133,N133)</f>
        <v>0</v>
      </c>
      <c r="H133" s="487" t="s">
        <v>1030</v>
      </c>
      <c r="I133" s="300">
        <f>IF(ProjectData!$B$11="Simple",L133,O133)</f>
        <v>0</v>
      </c>
      <c r="J133" s="487" t="s">
        <v>1096</v>
      </c>
      <c r="K133" s="501">
        <f>IF('Default Data'!$C232="H",'Default Data'!$C231*'Default Data'!$E232,0)</f>
        <v>0</v>
      </c>
      <c r="L133" s="501">
        <f>IF('Default Data'!$C232="P",'Default Data'!$C231*'Default Data'!$E232,0)</f>
        <v>0</v>
      </c>
      <c r="M133" s="219"/>
      <c r="N133" s="501">
        <f>IF(ProjectData!$B187="H",ProjectData!$B186*ProjectData!$E187,0)</f>
        <v>0</v>
      </c>
      <c r="O133" s="501">
        <f>IF(ProjectData!$B187="P",ProjectData!$B186*ProjectData!$E187,0)</f>
        <v>0</v>
      </c>
      <c r="P133" s="495"/>
      <c r="Q133" s="219"/>
      <c r="R133" s="219"/>
      <c r="S133" s="495"/>
      <c r="T133" s="495"/>
    </row>
    <row r="134" spans="1:36" x14ac:dyDescent="0.25">
      <c r="B134" s="487" t="s">
        <v>624</v>
      </c>
      <c r="C134" s="300">
        <f>SUM(C127:C133)</f>
        <v>12763017.776596028</v>
      </c>
      <c r="D134" s="300"/>
      <c r="F134" s="300">
        <f>SUM(F129:F133)</f>
        <v>0</v>
      </c>
      <c r="J134" s="219"/>
      <c r="K134" s="219"/>
      <c r="L134" s="219"/>
      <c r="M134" s="219"/>
      <c r="N134" s="219"/>
      <c r="O134" s="495"/>
      <c r="P134" s="495"/>
      <c r="Q134" s="219"/>
      <c r="R134" s="219"/>
      <c r="S134" s="495"/>
      <c r="T134" s="495"/>
    </row>
    <row r="135" spans="1:36" x14ac:dyDescent="0.25">
      <c r="B135" s="487" t="s">
        <v>1024</v>
      </c>
      <c r="C135" s="300">
        <f>C134-C131-C130-C129-C133-C132</f>
        <v>2188935.1314430134</v>
      </c>
      <c r="D135" s="300"/>
      <c r="F135" s="300"/>
      <c r="J135" s="219"/>
      <c r="K135" s="219"/>
      <c r="L135" s="219"/>
      <c r="M135" s="219"/>
      <c r="N135" s="219"/>
      <c r="O135" s="495"/>
      <c r="P135" s="495"/>
      <c r="Q135" s="219"/>
      <c r="R135" s="219"/>
      <c r="S135" s="495"/>
      <c r="T135" s="495"/>
    </row>
    <row r="136" spans="1:36" x14ac:dyDescent="0.25">
      <c r="B136" s="526" t="s">
        <v>1025</v>
      </c>
      <c r="C136" s="300"/>
      <c r="D136" s="300"/>
      <c r="F136" s="300"/>
      <c r="J136" s="219"/>
      <c r="K136" s="219"/>
      <c r="L136" s="219"/>
      <c r="M136" s="219"/>
      <c r="N136" s="219"/>
      <c r="O136" s="495"/>
      <c r="P136" s="495"/>
      <c r="Q136" s="219"/>
      <c r="R136" s="219"/>
      <c r="S136" s="495"/>
      <c r="T136" s="495"/>
    </row>
    <row r="137" spans="1:36" x14ac:dyDescent="0.25">
      <c r="B137" s="470"/>
      <c r="C137" s="300"/>
      <c r="D137" s="300"/>
      <c r="F137" s="300"/>
      <c r="J137" s="219"/>
      <c r="K137" s="219"/>
      <c r="L137" s="219"/>
      <c r="M137" s="219"/>
      <c r="N137" s="219"/>
      <c r="O137" s="495"/>
      <c r="P137" s="495"/>
      <c r="Q137" s="219"/>
      <c r="R137" s="219"/>
      <c r="S137" s="495"/>
      <c r="T137" s="495"/>
    </row>
    <row r="138" spans="1:36" x14ac:dyDescent="0.25">
      <c r="A138" s="218"/>
      <c r="G138" s="219"/>
      <c r="H138" s="496"/>
      <c r="I138" s="496"/>
      <c r="J138" s="496"/>
      <c r="K138" s="496"/>
      <c r="L138" s="219"/>
      <c r="M138" s="219"/>
      <c r="N138" s="219"/>
      <c r="O138" s="219"/>
      <c r="P138" s="219"/>
      <c r="Q138" s="219"/>
    </row>
    <row r="139" spans="1:36" s="219" customFormat="1" x14ac:dyDescent="0.25">
      <c r="A139" s="489"/>
      <c r="B139" s="219" t="s">
        <v>30</v>
      </c>
      <c r="C139" s="219">
        <f>F1</f>
        <v>2010</v>
      </c>
      <c r="E139" s="474" t="str">
        <f>CONCATENATE("Convert to ",Deflators!E4, " dollars")</f>
        <v>Convert to 2014 dollars</v>
      </c>
      <c r="F139" s="475">
        <f>Deflators!F7</f>
        <v>1.0748413957176846</v>
      </c>
      <c r="H139" s="476"/>
      <c r="I139" s="476"/>
      <c r="J139" s="476"/>
      <c r="K139" s="476"/>
      <c r="L139" s="476"/>
      <c r="M139" s="476"/>
      <c r="N139" s="476"/>
      <c r="O139" s="476"/>
      <c r="P139" s="476"/>
      <c r="Q139" s="476"/>
      <c r="R139" s="476"/>
      <c r="S139" s="476"/>
      <c r="AA139" s="477" t="s">
        <v>1012</v>
      </c>
      <c r="AC139" s="478"/>
      <c r="AF139" s="479"/>
      <c r="AG139" s="480" t="s">
        <v>135</v>
      </c>
      <c r="AH139" s="480" t="s">
        <v>134</v>
      </c>
      <c r="AI139" s="480" t="s">
        <v>133</v>
      </c>
      <c r="AJ139" s="480" t="s">
        <v>1420</v>
      </c>
    </row>
    <row r="140" spans="1:36" s="219" customFormat="1" x14ac:dyDescent="0.25">
      <c r="A140" s="489"/>
      <c r="B140" s="481" t="s">
        <v>805</v>
      </c>
      <c r="E140" s="482">
        <f>SUM(E92:E139)</f>
        <v>0</v>
      </c>
      <c r="F140" s="483"/>
      <c r="L140" s="478"/>
      <c r="AB140" s="484" t="s">
        <v>32</v>
      </c>
      <c r="AC140" s="484" t="s">
        <v>751</v>
      </c>
      <c r="AF140" s="485" t="s">
        <v>131</v>
      </c>
      <c r="AG140" s="486"/>
      <c r="AI140" s="486"/>
      <c r="AJ140" s="486"/>
    </row>
    <row r="141" spans="1:36" s="219" customFormat="1" x14ac:dyDescent="0.25">
      <c r="A141" s="489"/>
      <c r="C141" s="487" t="s">
        <v>807</v>
      </c>
      <c r="E141" s="219" t="s">
        <v>624</v>
      </c>
      <c r="F141" s="219" t="s">
        <v>808</v>
      </c>
      <c r="K141" s="484" t="s">
        <v>135</v>
      </c>
      <c r="L141" s="484" t="s">
        <v>135</v>
      </c>
      <c r="M141" s="484" t="s">
        <v>135</v>
      </c>
      <c r="N141" s="484" t="s">
        <v>135</v>
      </c>
      <c r="O141" s="484" t="s">
        <v>134</v>
      </c>
      <c r="P141" s="484"/>
      <c r="Q141" s="484"/>
      <c r="R141" s="484"/>
      <c r="S141" s="484" t="s">
        <v>133</v>
      </c>
      <c r="W141" s="484" t="s">
        <v>1420</v>
      </c>
      <c r="AA141" s="488" t="s">
        <v>809</v>
      </c>
      <c r="AF141" s="489" t="s">
        <v>810</v>
      </c>
      <c r="AG141" s="490">
        <f>AG142+AG143</f>
        <v>71.369777043812192</v>
      </c>
      <c r="AH141" s="491">
        <f>AH142+AH143</f>
        <v>2.6831408642616803</v>
      </c>
      <c r="AI141" s="491">
        <f>AI142+AI143</f>
        <v>4.0247112963925202</v>
      </c>
      <c r="AJ141" s="491">
        <f>AJ142+AJ143</f>
        <v>2.6831408642616803</v>
      </c>
    </row>
    <row r="142" spans="1:36" s="219" customFormat="1" x14ac:dyDescent="0.25">
      <c r="A142" s="489"/>
      <c r="F142" s="474" t="s">
        <v>937</v>
      </c>
      <c r="K142" s="484" t="s">
        <v>621</v>
      </c>
      <c r="L142" s="484" t="s">
        <v>622</v>
      </c>
      <c r="M142" s="484" t="s">
        <v>623</v>
      </c>
      <c r="N142" s="484" t="s">
        <v>624</v>
      </c>
      <c r="O142" s="484" t="s">
        <v>621</v>
      </c>
      <c r="P142" s="484" t="s">
        <v>622</v>
      </c>
      <c r="Q142" s="484" t="s">
        <v>623</v>
      </c>
      <c r="R142" s="484" t="s">
        <v>624</v>
      </c>
      <c r="S142" s="484" t="s">
        <v>621</v>
      </c>
      <c r="T142" s="484" t="s">
        <v>622</v>
      </c>
      <c r="U142" s="484" t="s">
        <v>623</v>
      </c>
      <c r="V142" s="484" t="s">
        <v>624</v>
      </c>
      <c r="W142" s="484" t="s">
        <v>621</v>
      </c>
      <c r="X142" s="484" t="s">
        <v>622</v>
      </c>
      <c r="Y142" s="484" t="s">
        <v>623</v>
      </c>
      <c r="Z142" s="484" t="s">
        <v>624</v>
      </c>
      <c r="AA142" s="477" t="s">
        <v>811</v>
      </c>
      <c r="AC142" s="478"/>
      <c r="AF142" s="492" t="s">
        <v>968</v>
      </c>
      <c r="AG142" s="490">
        <f>K145</f>
        <v>66.518701876252948</v>
      </c>
      <c r="AH142" s="491">
        <f>O145*H159</f>
        <v>2.2556176634809173</v>
      </c>
      <c r="AI142" s="491">
        <f>S145*$H159</f>
        <v>3.3834264952213755</v>
      </c>
      <c r="AJ142" s="491">
        <f>W145*H159</f>
        <v>2.2556176634809173</v>
      </c>
    </row>
    <row r="143" spans="1:36" s="219" customFormat="1" x14ac:dyDescent="0.25">
      <c r="A143" s="489"/>
      <c r="B143" s="493" t="s">
        <v>592</v>
      </c>
      <c r="C143" s="494">
        <f>D210</f>
        <v>0</v>
      </c>
      <c r="E143" s="494">
        <f>C143</f>
        <v>0</v>
      </c>
      <c r="F143" s="495">
        <f>E143*F$139/10^6</f>
        <v>0</v>
      </c>
      <c r="G143" s="494"/>
      <c r="K143" s="496">
        <f>$F143*Multipliers!D213</f>
        <v>0</v>
      </c>
      <c r="L143" s="496">
        <f>$F143*Multipliers!E213</f>
        <v>0</v>
      </c>
      <c r="M143" s="496">
        <f>$F143*Multipliers!F213</f>
        <v>0</v>
      </c>
      <c r="N143" s="476">
        <f>+M143+L143+K143</f>
        <v>0</v>
      </c>
      <c r="O143" s="495">
        <f>$F143*Multipliers!H213</f>
        <v>0</v>
      </c>
      <c r="P143" s="495">
        <f>$F143*Multipliers!I213</f>
        <v>0</v>
      </c>
      <c r="Q143" s="495">
        <f>$F143*Multipliers!J213</f>
        <v>0</v>
      </c>
      <c r="R143" s="495">
        <f>+Q143+P143+O143</f>
        <v>0</v>
      </c>
      <c r="S143" s="495">
        <f>$F143*Multipliers!L213</f>
        <v>0</v>
      </c>
      <c r="T143" s="495">
        <f>$F143*Multipliers!M213</f>
        <v>0</v>
      </c>
      <c r="U143" s="495">
        <f>$F143*Multipliers!N213</f>
        <v>0</v>
      </c>
      <c r="V143" s="495">
        <f>+U143+T143+S143</f>
        <v>0</v>
      </c>
      <c r="W143" s="495">
        <f>$F143*Multipliers!P213</f>
        <v>0</v>
      </c>
      <c r="X143" s="495">
        <f>$F143*Multipliers!Q213</f>
        <v>0</v>
      </c>
      <c r="Y143" s="495">
        <f>$F143*Multipliers!R213</f>
        <v>0</v>
      </c>
      <c r="Z143" s="495">
        <f>+Y143+X143+W143</f>
        <v>0</v>
      </c>
      <c r="AA143" s="498" t="s">
        <v>812</v>
      </c>
      <c r="AB143" s="494"/>
      <c r="AC143" s="499"/>
      <c r="AF143" s="219" t="s">
        <v>874</v>
      </c>
      <c r="AG143" s="478">
        <f>K155</f>
        <v>4.8510751675592436</v>
      </c>
      <c r="AH143" s="500">
        <f>O155*H159</f>
        <v>0.42752320078076295</v>
      </c>
      <c r="AI143" s="500">
        <f>S155*$H159</f>
        <v>0.64128480117114439</v>
      </c>
      <c r="AJ143" s="500">
        <f>W155*H159</f>
        <v>0.42752320078076295</v>
      </c>
    </row>
    <row r="144" spans="1:36" s="219" customFormat="1" x14ac:dyDescent="0.25">
      <c r="A144" s="489"/>
      <c r="B144" s="493" t="s">
        <v>593</v>
      </c>
      <c r="C144" s="494">
        <f t="shared" ref="C144:C156" si="24">D211</f>
        <v>0</v>
      </c>
      <c r="E144" s="494">
        <f t="shared" ref="E144:E156" si="25">C144</f>
        <v>0</v>
      </c>
      <c r="F144" s="495">
        <f>E144*F$139/10^6</f>
        <v>0</v>
      </c>
      <c r="G144" s="501"/>
      <c r="K144" s="496">
        <f>$F144*Multipliers!D214</f>
        <v>0</v>
      </c>
      <c r="L144" s="496">
        <f>$F144*Multipliers!E214</f>
        <v>0</v>
      </c>
      <c r="M144" s="496">
        <f>$F144*Multipliers!F214</f>
        <v>0</v>
      </c>
      <c r="N144" s="476">
        <f t="shared" ref="N144:N156" si="26">+M144+L144+K144</f>
        <v>0</v>
      </c>
      <c r="O144" s="495">
        <f>$F144*Multipliers!H214</f>
        <v>0</v>
      </c>
      <c r="P144" s="495">
        <f>$F144*Multipliers!I214</f>
        <v>0</v>
      </c>
      <c r="Q144" s="495">
        <f>$F144*Multipliers!J214</f>
        <v>0</v>
      </c>
      <c r="R144" s="495">
        <f t="shared" ref="R144:R156" si="27">+Q144+P144+O144</f>
        <v>0</v>
      </c>
      <c r="S144" s="495">
        <f>$F144*Multipliers!L214</f>
        <v>0</v>
      </c>
      <c r="T144" s="495">
        <f>$F144*Multipliers!M214</f>
        <v>0</v>
      </c>
      <c r="U144" s="495">
        <f>$F144*Multipliers!N214</f>
        <v>0</v>
      </c>
      <c r="V144" s="495">
        <f t="shared" ref="V144:V156" si="28">+U144+T144+S144</f>
        <v>0</v>
      </c>
      <c r="W144" s="495">
        <f>$F144*Multipliers!P214</f>
        <v>0</v>
      </c>
      <c r="X144" s="495">
        <f>$F144*Multipliers!Q214</f>
        <v>0</v>
      </c>
      <c r="Y144" s="495">
        <f>$F144*Multipliers!R214</f>
        <v>0</v>
      </c>
      <c r="Z144" s="495">
        <f t="shared" ref="Z144:Z156" si="29">+Y144+X144+W144</f>
        <v>0</v>
      </c>
      <c r="AA144" s="498" t="s">
        <v>813</v>
      </c>
      <c r="AB144" s="494"/>
      <c r="AC144" s="499"/>
      <c r="AF144" s="502" t="s">
        <v>873</v>
      </c>
      <c r="AG144" s="478">
        <f>(K157-AG141)+L157</f>
        <v>49.796046105590207</v>
      </c>
      <c r="AH144" s="500">
        <f>((O157*H159)-AH141)+P157*H159</f>
        <v>2.3865257799848449</v>
      </c>
      <c r="AI144" s="500">
        <f>((S157*$H159)-AI141)+T157*$H159</f>
        <v>11.224381682296185</v>
      </c>
      <c r="AJ144" s="500">
        <f>((W157*H159)-AJ141)+X157*H159</f>
        <v>3.8693487633149464</v>
      </c>
    </row>
    <row r="145" spans="1:36" s="219" customFormat="1" x14ac:dyDescent="0.25">
      <c r="A145" s="489"/>
      <c r="B145" s="493" t="s">
        <v>595</v>
      </c>
      <c r="C145" s="494">
        <f t="shared" si="24"/>
        <v>3383426.4952213755</v>
      </c>
      <c r="E145" s="494">
        <f t="shared" si="25"/>
        <v>3383426.4952213755</v>
      </c>
      <c r="F145" s="495">
        <f>E145*F$139/10^6</f>
        <v>3.6366468564319367</v>
      </c>
      <c r="G145" s="512">
        <f>(J15+J36+J57+J75+J84+J90+J100)*$F139/10^6</f>
        <v>3.6366468564319367</v>
      </c>
      <c r="K145" s="676">
        <f>$G147*Multipliers!D215+'Default Data'!AT116</f>
        <v>66.518701876252948</v>
      </c>
      <c r="L145" s="496">
        <f>$F145*Multipliers!E215</f>
        <v>12.364824145643803</v>
      </c>
      <c r="M145" s="496">
        <f>$F145*Multipliers!F215</f>
        <v>8.0806309699197048</v>
      </c>
      <c r="N145" s="476">
        <f t="shared" si="26"/>
        <v>86.964156991816452</v>
      </c>
      <c r="O145" s="495">
        <f>($G147*Multipliers!H215)+G187</f>
        <v>2.4244312376212913</v>
      </c>
      <c r="P145" s="495">
        <f>$F145*Multipliers!I215</f>
        <v>0.49403830342471405</v>
      </c>
      <c r="Q145" s="495">
        <f>$F145*Multipliers!J215</f>
        <v>0.31188245558292305</v>
      </c>
      <c r="R145" s="495">
        <f t="shared" si="27"/>
        <v>3.2303519966289285</v>
      </c>
      <c r="S145" s="495">
        <f>$F145*Multipliers!L215</f>
        <v>3.6366468564319367</v>
      </c>
      <c r="T145" s="495">
        <f>$F145*Multipliers!M215</f>
        <v>1.5435818395357315</v>
      </c>
      <c r="U145" s="495">
        <f>$F145*Multipliers!N215</f>
        <v>1.0012657577162873</v>
      </c>
      <c r="V145" s="495">
        <f t="shared" si="28"/>
        <v>6.1814944536839551</v>
      </c>
      <c r="W145" s="495">
        <f>$G147*Multipliers!P215+G187</f>
        <v>2.4244312376212913</v>
      </c>
      <c r="X145" s="495">
        <f>$F145*Multipliers!Q215</f>
        <v>0.8062567386259164</v>
      </c>
      <c r="Y145" s="495">
        <f>$F145*Multipliers!R215</f>
        <v>0.53116074563865578</v>
      </c>
      <c r="Z145" s="495">
        <f t="shared" si="29"/>
        <v>3.7618487218858636</v>
      </c>
      <c r="AA145" s="498" t="s">
        <v>814</v>
      </c>
      <c r="AB145" s="494"/>
      <c r="AC145" s="499"/>
      <c r="AF145" s="502" t="s">
        <v>128</v>
      </c>
      <c r="AG145" s="490">
        <f>M157</f>
        <v>21.063126686911925</v>
      </c>
      <c r="AH145" s="491">
        <f>Q157*H159</f>
        <v>0.76659441351557378</v>
      </c>
      <c r="AI145" s="491">
        <f>U157*$H159</f>
        <v>2.4614402514624567</v>
      </c>
      <c r="AJ145" s="491">
        <f>Y157*H159</f>
        <v>1.3057000369481861</v>
      </c>
    </row>
    <row r="146" spans="1:36" s="219" customFormat="1" x14ac:dyDescent="0.25">
      <c r="A146" s="489"/>
      <c r="B146" s="493" t="s">
        <v>596</v>
      </c>
      <c r="C146" s="494">
        <f t="shared" si="24"/>
        <v>5747787.1642873492</v>
      </c>
      <c r="E146" s="494">
        <f t="shared" si="25"/>
        <v>5747787.1642873492</v>
      </c>
      <c r="F146" s="495">
        <f t="shared" ref="F146:F156" si="30">E146*F$139/10^6</f>
        <v>6.1779595779508067</v>
      </c>
      <c r="G146" s="491"/>
      <c r="K146" s="496">
        <f>$F146*Multipliers!D216</f>
        <v>11.783611540107424</v>
      </c>
      <c r="L146" s="496">
        <f>$F146*Multipliers!E216</f>
        <v>13.50490933827731</v>
      </c>
      <c r="M146" s="496">
        <f>$F146*Multipliers!F216</f>
        <v>8.0042843122944234</v>
      </c>
      <c r="N146" s="476">
        <f t="shared" si="26"/>
        <v>33.292805190679154</v>
      </c>
      <c r="O146" s="495">
        <f>$F146*Multipliers!H216</f>
        <v>0.69672149608786027</v>
      </c>
      <c r="P146" s="495">
        <f>$F146*Multipliers!I216</f>
        <v>0.69073629505747958</v>
      </c>
      <c r="Q146" s="495">
        <f>$F146*Multipliers!J216</f>
        <v>0.30794510617116705</v>
      </c>
      <c r="R146" s="495">
        <f t="shared" si="27"/>
        <v>1.695402897316507</v>
      </c>
      <c r="S146" s="495">
        <f>$F146*Multipliers!L216</f>
        <v>6.1779595779508067</v>
      </c>
      <c r="T146" s="495">
        <f>$F146*Multipliers!M216</f>
        <v>2.4525694002849199</v>
      </c>
      <c r="U146" s="495">
        <f>$F146*Multipliers!N216</f>
        <v>0.98886301104032559</v>
      </c>
      <c r="V146" s="495">
        <f t="shared" si="28"/>
        <v>9.6193919892760533</v>
      </c>
      <c r="W146" s="495">
        <f>$F146*Multipliers!P216</f>
        <v>1.1912977640262383</v>
      </c>
      <c r="X146" s="495">
        <f>$F146*Multipliers!Q216</f>
        <v>1.1551248347565231</v>
      </c>
      <c r="Y146" s="495">
        <f>$F146*Multipliers!R216</f>
        <v>0.52453771571731644</v>
      </c>
      <c r="Z146" s="495">
        <f t="shared" si="29"/>
        <v>2.8709603145000777</v>
      </c>
      <c r="AA146" s="503" t="s">
        <v>815</v>
      </c>
      <c r="AB146" s="494"/>
      <c r="AC146" s="499"/>
      <c r="AF146" s="486" t="s">
        <v>127</v>
      </c>
      <c r="AG146" s="504">
        <f>AG145+AG144+AG141</f>
        <v>142.22894983631431</v>
      </c>
      <c r="AH146" s="505">
        <f>AH145+AH144+AH141</f>
        <v>5.8362610577620995</v>
      </c>
      <c r="AI146" s="505">
        <f>AI145+AI144+AI141</f>
        <v>17.710533230151164</v>
      </c>
      <c r="AJ146" s="505">
        <f>AJ145+AJ144+AJ141</f>
        <v>7.8581896645248133</v>
      </c>
    </row>
    <row r="147" spans="1:36" s="219" customFormat="1" x14ac:dyDescent="0.25">
      <c r="A147" s="489"/>
      <c r="B147" s="493" t="s">
        <v>598</v>
      </c>
      <c r="C147" s="494">
        <f t="shared" si="24"/>
        <v>0</v>
      </c>
      <c r="E147" s="494">
        <f t="shared" si="25"/>
        <v>0</v>
      </c>
      <c r="F147" s="495">
        <f t="shared" si="30"/>
        <v>0</v>
      </c>
      <c r="G147" s="491">
        <f>F145-(G145+G146)</f>
        <v>0</v>
      </c>
      <c r="K147" s="496">
        <f>$F147*Multipliers!D217</f>
        <v>0</v>
      </c>
      <c r="L147" s="496">
        <f>$F147*Multipliers!E217</f>
        <v>0</v>
      </c>
      <c r="M147" s="496">
        <f>$F147*Multipliers!F217</f>
        <v>0</v>
      </c>
      <c r="N147" s="476">
        <f t="shared" si="26"/>
        <v>0</v>
      </c>
      <c r="O147" s="495">
        <f>$F147*Multipliers!H217</f>
        <v>0</v>
      </c>
      <c r="P147" s="495">
        <f>$F147*Multipliers!I217</f>
        <v>0</v>
      </c>
      <c r="Q147" s="495">
        <f>$F147*Multipliers!J217</f>
        <v>0</v>
      </c>
      <c r="R147" s="495">
        <f t="shared" si="27"/>
        <v>0</v>
      </c>
      <c r="S147" s="495">
        <f>$F147*Multipliers!L217</f>
        <v>0</v>
      </c>
      <c r="T147" s="495">
        <f>$F147*Multipliers!M217</f>
        <v>0</v>
      </c>
      <c r="U147" s="495">
        <f>$F147*Multipliers!N217</f>
        <v>0</v>
      </c>
      <c r="V147" s="495">
        <f t="shared" si="28"/>
        <v>0</v>
      </c>
      <c r="W147" s="495">
        <f>$F147*Multipliers!P217</f>
        <v>0</v>
      </c>
      <c r="X147" s="495">
        <f>$F147*Multipliers!Q217</f>
        <v>0</v>
      </c>
      <c r="Y147" s="495">
        <f>$F147*Multipliers!R217</f>
        <v>0</v>
      </c>
      <c r="Z147" s="495">
        <f t="shared" si="29"/>
        <v>0</v>
      </c>
      <c r="AA147" s="506" t="s">
        <v>817</v>
      </c>
      <c r="AB147" s="494"/>
      <c r="AC147" s="499"/>
      <c r="AF147" s="507"/>
      <c r="AG147" s="490"/>
      <c r="AH147" s="491"/>
      <c r="AI147" s="491"/>
      <c r="AJ147" s="491"/>
    </row>
    <row r="148" spans="1:36" s="219" customFormat="1" x14ac:dyDescent="0.25">
      <c r="A148" s="489"/>
      <c r="B148" s="493" t="s">
        <v>599</v>
      </c>
      <c r="C148" s="494">
        <f t="shared" si="24"/>
        <v>0</v>
      </c>
      <c r="E148" s="494">
        <f t="shared" si="25"/>
        <v>0</v>
      </c>
      <c r="F148" s="495">
        <f t="shared" si="30"/>
        <v>0</v>
      </c>
      <c r="G148" s="494"/>
      <c r="K148" s="496">
        <f>$F148*Multipliers!D218</f>
        <v>0</v>
      </c>
      <c r="L148" s="496">
        <f>$F148*Multipliers!E218</f>
        <v>0</v>
      </c>
      <c r="M148" s="496">
        <f>$F148*Multipliers!F218</f>
        <v>0</v>
      </c>
      <c r="N148" s="476">
        <f t="shared" si="26"/>
        <v>0</v>
      </c>
      <c r="O148" s="495">
        <f>$F148*Multipliers!H218</f>
        <v>0</v>
      </c>
      <c r="P148" s="495">
        <f>$F148*Multipliers!I218</f>
        <v>0</v>
      </c>
      <c r="Q148" s="495">
        <f>$F148*Multipliers!J218</f>
        <v>0</v>
      </c>
      <c r="R148" s="495">
        <f t="shared" si="27"/>
        <v>0</v>
      </c>
      <c r="S148" s="495">
        <f>$F148*Multipliers!L218</f>
        <v>0</v>
      </c>
      <c r="T148" s="495">
        <f>$F148*Multipliers!M218</f>
        <v>0</v>
      </c>
      <c r="U148" s="495">
        <f>$F148*Multipliers!N218</f>
        <v>0</v>
      </c>
      <c r="V148" s="495">
        <f t="shared" si="28"/>
        <v>0</v>
      </c>
      <c r="W148" s="495">
        <f>$F148*Multipliers!P218</f>
        <v>0</v>
      </c>
      <c r="X148" s="495">
        <f>$F148*Multipliers!Q218</f>
        <v>0</v>
      </c>
      <c r="Y148" s="495">
        <f>$F148*Multipliers!R218</f>
        <v>0</v>
      </c>
      <c r="Z148" s="495">
        <f t="shared" si="29"/>
        <v>0</v>
      </c>
      <c r="AA148" s="506" t="s">
        <v>624</v>
      </c>
      <c r="AB148" s="494"/>
      <c r="AF148" s="485" t="s">
        <v>129</v>
      </c>
      <c r="AG148" s="489"/>
      <c r="AH148" s="508"/>
      <c r="AI148" s="491"/>
      <c r="AJ148" s="491"/>
    </row>
    <row r="149" spans="1:36" s="219" customFormat="1" x14ac:dyDescent="0.25">
      <c r="A149" s="489"/>
      <c r="B149" s="493" t="s">
        <v>601</v>
      </c>
      <c r="C149" s="494">
        <f t="shared" si="24"/>
        <v>0</v>
      </c>
      <c r="E149" s="494">
        <f t="shared" si="25"/>
        <v>0</v>
      </c>
      <c r="F149" s="495">
        <f t="shared" si="30"/>
        <v>0</v>
      </c>
      <c r="G149" s="496"/>
      <c r="K149" s="496">
        <f>$F149*Multipliers!D219</f>
        <v>0</v>
      </c>
      <c r="L149" s="496">
        <f>$F149*Multipliers!E219</f>
        <v>0</v>
      </c>
      <c r="M149" s="496">
        <f>$F149*Multipliers!F219</f>
        <v>0</v>
      </c>
      <c r="N149" s="476">
        <f t="shared" si="26"/>
        <v>0</v>
      </c>
      <c r="O149" s="495">
        <f>$F149*Multipliers!H219</f>
        <v>0</v>
      </c>
      <c r="P149" s="495">
        <f>$F149*Multipliers!I219</f>
        <v>0</v>
      </c>
      <c r="Q149" s="495">
        <f>$F149*Multipliers!J219</f>
        <v>0</v>
      </c>
      <c r="R149" s="495">
        <f t="shared" si="27"/>
        <v>0</v>
      </c>
      <c r="S149" s="495">
        <f>$F149*Multipliers!L219</f>
        <v>0</v>
      </c>
      <c r="T149" s="495">
        <f>$F149*Multipliers!M219</f>
        <v>0</v>
      </c>
      <c r="U149" s="495">
        <f>$F149*Multipliers!N219</f>
        <v>0</v>
      </c>
      <c r="V149" s="495">
        <f t="shared" si="28"/>
        <v>0</v>
      </c>
      <c r="W149" s="495">
        <f>$F149*Multipliers!P219</f>
        <v>0</v>
      </c>
      <c r="X149" s="495">
        <f>$F149*Multipliers!Q219</f>
        <v>0</v>
      </c>
      <c r="Y149" s="495">
        <f>$F149*Multipliers!R219</f>
        <v>0</v>
      </c>
      <c r="Z149" s="495">
        <f t="shared" si="29"/>
        <v>0</v>
      </c>
      <c r="AA149" s="509" t="s">
        <v>818</v>
      </c>
      <c r="AB149" s="494"/>
      <c r="AC149" s="499"/>
      <c r="AF149" s="489" t="s">
        <v>810</v>
      </c>
    </row>
    <row r="150" spans="1:36" s="219" customFormat="1" x14ac:dyDescent="0.25">
      <c r="A150" s="489"/>
      <c r="B150" s="493" t="s">
        <v>602</v>
      </c>
      <c r="C150" s="494">
        <f t="shared" si="24"/>
        <v>0</v>
      </c>
      <c r="E150" s="494">
        <f t="shared" si="25"/>
        <v>0</v>
      </c>
      <c r="F150" s="495">
        <f t="shared" si="30"/>
        <v>0</v>
      </c>
      <c r="G150" s="494"/>
      <c r="K150" s="496">
        <f>$F150*Multipliers!D220</f>
        <v>0</v>
      </c>
      <c r="L150" s="496">
        <f>$F150*Multipliers!E220</f>
        <v>0</v>
      </c>
      <c r="M150" s="496">
        <f>$F150*Multipliers!F220</f>
        <v>0</v>
      </c>
      <c r="N150" s="476">
        <f t="shared" si="26"/>
        <v>0</v>
      </c>
      <c r="O150" s="495">
        <f>$F150*Multipliers!H220</f>
        <v>0</v>
      </c>
      <c r="P150" s="495">
        <f>$F150*Multipliers!I220</f>
        <v>0</v>
      </c>
      <c r="Q150" s="495">
        <f>$F150*Multipliers!J220</f>
        <v>0</v>
      </c>
      <c r="R150" s="495">
        <f t="shared" si="27"/>
        <v>0</v>
      </c>
      <c r="S150" s="495">
        <f>$F150*Multipliers!L220</f>
        <v>0</v>
      </c>
      <c r="T150" s="495">
        <f>$F150*Multipliers!M220</f>
        <v>0</v>
      </c>
      <c r="U150" s="495">
        <f>$F150*Multipliers!N220</f>
        <v>0</v>
      </c>
      <c r="V150" s="495">
        <f t="shared" si="28"/>
        <v>0</v>
      </c>
      <c r="W150" s="495">
        <f>$F150*Multipliers!P220</f>
        <v>0</v>
      </c>
      <c r="X150" s="495">
        <f>$F150*Multipliers!Q220</f>
        <v>0</v>
      </c>
      <c r="Y150" s="495">
        <f>$F150*Multipliers!R220</f>
        <v>0</v>
      </c>
      <c r="Z150" s="495">
        <f t="shared" si="29"/>
        <v>0</v>
      </c>
      <c r="AA150" s="510" t="s">
        <v>101</v>
      </c>
      <c r="AF150" s="492" t="s">
        <v>969</v>
      </c>
      <c r="AG150" s="511">
        <f>K206</f>
        <v>7.8564406519505416</v>
      </c>
      <c r="AH150" s="512">
        <f>O208</f>
        <v>1.0376823960194004</v>
      </c>
      <c r="AI150" s="512">
        <f>S208</f>
        <v>1.0376823960194004</v>
      </c>
      <c r="AJ150" s="512">
        <f>W208</f>
        <v>1.0376823960194004</v>
      </c>
    </row>
    <row r="151" spans="1:36" s="219" customFormat="1" x14ac:dyDescent="0.25">
      <c r="A151" s="489"/>
      <c r="B151" s="493" t="s">
        <v>603</v>
      </c>
      <c r="C151" s="494">
        <f t="shared" si="24"/>
        <v>212299.63524828805</v>
      </c>
      <c r="E151" s="494">
        <f t="shared" si="25"/>
        <v>212299.63524828805</v>
      </c>
      <c r="F151" s="495">
        <f t="shared" si="30"/>
        <v>0.22818843626062527</v>
      </c>
      <c r="G151" s="494"/>
      <c r="K151" s="496">
        <f>$F151*Multipliers!D221</f>
        <v>0.966198535882273</v>
      </c>
      <c r="L151" s="496">
        <f>$F151*Multipliers!E221</f>
        <v>0.59547438163844502</v>
      </c>
      <c r="M151" s="496">
        <f>$F151*Multipliers!F221</f>
        <v>0.51452872641461256</v>
      </c>
      <c r="N151" s="476">
        <f t="shared" si="26"/>
        <v>2.0762016439353306</v>
      </c>
      <c r="O151" s="495">
        <f>$F151*Multipliers!H221</f>
        <v>7.2049275303983112E-2</v>
      </c>
      <c r="P151" s="495">
        <f>$F151*Multipliers!I221</f>
        <v>2.7266905560630904E-2</v>
      </c>
      <c r="Q151" s="495">
        <f>$F151*Multipliers!J221</f>
        <v>2.2041210106847082E-2</v>
      </c>
      <c r="R151" s="495">
        <f t="shared" si="27"/>
        <v>0.1213573909714611</v>
      </c>
      <c r="S151" s="495">
        <f>$F151*Multipliers!L221</f>
        <v>0.22818843626062527</v>
      </c>
      <c r="T151" s="495">
        <f>$F151*Multipliers!M221</f>
        <v>8.882597584450358E-2</v>
      </c>
      <c r="U151" s="495">
        <f>$F151*Multipliers!N221</f>
        <v>7.078136802922122E-2</v>
      </c>
      <c r="V151" s="495">
        <f t="shared" si="28"/>
        <v>0.38779578013435007</v>
      </c>
      <c r="W151" s="495">
        <f>$F151*Multipliers!P221</f>
        <v>0.13147880581791593</v>
      </c>
      <c r="X151" s="495">
        <f>$F151*Multipliers!Q221</f>
        <v>4.6858542233716154E-2</v>
      </c>
      <c r="Y151" s="495">
        <f>$F151*Multipliers!R221</f>
        <v>3.7545035574232888E-2</v>
      </c>
      <c r="Z151" s="495">
        <f t="shared" si="29"/>
        <v>0.21588238362586498</v>
      </c>
      <c r="AA151" s="219" t="s">
        <v>100</v>
      </c>
      <c r="AB151" s="494"/>
      <c r="AC151" s="499"/>
      <c r="AF151" s="502" t="s">
        <v>970</v>
      </c>
      <c r="AG151" s="511">
        <f>(K228-AG150)+L228</f>
        <v>3.1864489250259975</v>
      </c>
      <c r="AH151" s="512">
        <f>(O229-AH150)+P229</f>
        <v>0.13201271607993253</v>
      </c>
      <c r="AI151" s="512">
        <f>(S229-AI150)+T229</f>
        <v>1.4911475580501716</v>
      </c>
      <c r="AJ151" s="512">
        <f>(W229-AJ150)+X229</f>
        <v>0.23133178576818583</v>
      </c>
    </row>
    <row r="152" spans="1:36" s="219" customFormat="1" x14ac:dyDescent="0.25">
      <c r="A152" s="489"/>
      <c r="B152" s="493" t="s">
        <v>604</v>
      </c>
      <c r="C152" s="494">
        <f t="shared" si="24"/>
        <v>95955.511660716336</v>
      </c>
      <c r="E152" s="494">
        <f t="shared" si="25"/>
        <v>95955.511660716336</v>
      </c>
      <c r="F152" s="495">
        <f t="shared" si="30"/>
        <v>0.1031369560802089</v>
      </c>
      <c r="G152" s="494"/>
      <c r="K152" s="496">
        <f>$F152*Multipliers!D222</f>
        <v>1.3000434867325741</v>
      </c>
      <c r="L152" s="496">
        <f>$F152*Multipliers!E222</f>
        <v>0.25879049893323952</v>
      </c>
      <c r="M152" s="496">
        <f>$F152*Multipliers!F222</f>
        <v>0.29925743972640623</v>
      </c>
      <c r="N152" s="476">
        <f t="shared" si="26"/>
        <v>1.8580914253922198</v>
      </c>
      <c r="O152" s="495">
        <f>$F152*Multipliers!H222</f>
        <v>4.2430610354911351E-2</v>
      </c>
      <c r="P152" s="495">
        <f>$F152*Multipliers!I222</f>
        <v>1.0399932841328048E-2</v>
      </c>
      <c r="Q152" s="495">
        <f>$F152*Multipliers!J222</f>
        <v>1.1722186061605603E-2</v>
      </c>
      <c r="R152" s="495">
        <f t="shared" si="27"/>
        <v>6.4552729257844998E-2</v>
      </c>
      <c r="S152" s="495">
        <f>$F152*Multipliers!L222</f>
        <v>0.1031369560802089</v>
      </c>
      <c r="T152" s="495">
        <f>$F152*Multipliers!M222</f>
        <v>3.6412759867824579E-2</v>
      </c>
      <c r="U152" s="495">
        <f>$F152*Multipliers!N222</f>
        <v>3.7641049442781835E-2</v>
      </c>
      <c r="V152" s="495">
        <f t="shared" si="28"/>
        <v>0.1771907653908153</v>
      </c>
      <c r="W152" s="495">
        <f>$F152*Multipliers!P222</f>
        <v>6.4818298736277244E-2</v>
      </c>
      <c r="X152" s="495">
        <f>$F152*Multipliers!Q222</f>
        <v>1.8778165774836812E-2</v>
      </c>
      <c r="Y152" s="495">
        <f>$F152*Multipliers!R222</f>
        <v>1.9966672181283094E-2</v>
      </c>
      <c r="Z152" s="495">
        <f t="shared" si="29"/>
        <v>0.10356313669239715</v>
      </c>
      <c r="AA152" s="219" t="s">
        <v>819</v>
      </c>
      <c r="AB152" s="494"/>
      <c r="AC152" s="499"/>
      <c r="AF152" s="502" t="s">
        <v>128</v>
      </c>
      <c r="AG152" s="511">
        <f>M228</f>
        <v>2.9495745036543837</v>
      </c>
      <c r="AH152" s="512">
        <f>Q229</f>
        <v>0.11427415825491577</v>
      </c>
      <c r="AI152" s="512">
        <f>U229</f>
        <v>0.36695514891243719</v>
      </c>
      <c r="AJ152" s="512">
        <f>Y229</f>
        <v>0.19464932133035739</v>
      </c>
    </row>
    <row r="153" spans="1:36" s="219" customFormat="1" x14ac:dyDescent="0.25">
      <c r="A153" s="489"/>
      <c r="B153" s="493" t="s">
        <v>605</v>
      </c>
      <c r="C153" s="494">
        <f t="shared" si="24"/>
        <v>0</v>
      </c>
      <c r="E153" s="494">
        <f t="shared" si="25"/>
        <v>0</v>
      </c>
      <c r="F153" s="495">
        <f t="shared" si="30"/>
        <v>0</v>
      </c>
      <c r="G153" s="494"/>
      <c r="K153" s="496">
        <f>$F153*Multipliers!D223</f>
        <v>0</v>
      </c>
      <c r="L153" s="496">
        <f>$F153*Multipliers!E223</f>
        <v>0</v>
      </c>
      <c r="M153" s="496">
        <f>$F153*Multipliers!F223</f>
        <v>0</v>
      </c>
      <c r="N153" s="476">
        <f t="shared" si="26"/>
        <v>0</v>
      </c>
      <c r="O153" s="495">
        <f>$F153*Multipliers!H223</f>
        <v>0</v>
      </c>
      <c r="P153" s="495">
        <f>$F153*Multipliers!I223</f>
        <v>0</v>
      </c>
      <c r="Q153" s="495">
        <f>$F153*Multipliers!J223</f>
        <v>0</v>
      </c>
      <c r="R153" s="495">
        <f t="shared" si="27"/>
        <v>0</v>
      </c>
      <c r="S153" s="495">
        <f>$F153*Multipliers!L223</f>
        <v>0</v>
      </c>
      <c r="T153" s="495">
        <f>$F153*Multipliers!M223</f>
        <v>0</v>
      </c>
      <c r="U153" s="495">
        <f>$F153*Multipliers!N223</f>
        <v>0</v>
      </c>
      <c r="V153" s="495">
        <f t="shared" si="28"/>
        <v>0</v>
      </c>
      <c r="W153" s="495">
        <f>$F153*Multipliers!P223</f>
        <v>0</v>
      </c>
      <c r="X153" s="495">
        <f>$F153*Multipliers!Q223</f>
        <v>0</v>
      </c>
      <c r="Y153" s="495">
        <f>$F153*Multipliers!R223</f>
        <v>0</v>
      </c>
      <c r="Z153" s="495">
        <f t="shared" si="29"/>
        <v>0</v>
      </c>
      <c r="AA153" s="219" t="s">
        <v>97</v>
      </c>
      <c r="AB153" s="494"/>
      <c r="AC153" s="499"/>
      <c r="AF153" s="486" t="s">
        <v>816</v>
      </c>
      <c r="AG153" s="480">
        <f>SUM(AG150:AG152)</f>
        <v>13.992464080630922</v>
      </c>
      <c r="AH153" s="505">
        <f>SUM(AH150:AH152)</f>
        <v>1.2839692703542487</v>
      </c>
      <c r="AI153" s="505">
        <f>SUM(AI150:AI152)</f>
        <v>2.8957851029820088</v>
      </c>
      <c r="AJ153" s="505">
        <f>SUM(AJ150:AJ152)</f>
        <v>1.4636635031179437</v>
      </c>
    </row>
    <row r="154" spans="1:36" s="219" customFormat="1" x14ac:dyDescent="0.25">
      <c r="A154" s="489"/>
      <c r="B154" s="493" t="s">
        <v>606</v>
      </c>
      <c r="C154" s="494">
        <f t="shared" si="24"/>
        <v>755364.49558429199</v>
      </c>
      <c r="E154" s="494">
        <f t="shared" si="25"/>
        <v>755364.49558429199</v>
      </c>
      <c r="F154" s="495">
        <f t="shared" si="30"/>
        <v>0.81189702870940517</v>
      </c>
      <c r="G154" s="494"/>
      <c r="K154" s="496">
        <f>$F154*Multipliers!D224</f>
        <v>4.8114451268394607</v>
      </c>
      <c r="L154" s="496">
        <f>$F154*Multipliers!E224</f>
        <v>2.3119601169458677</v>
      </c>
      <c r="M154" s="496">
        <f>$F154*Multipliers!F224</f>
        <v>2.377673385533476</v>
      </c>
      <c r="N154" s="476">
        <f t="shared" si="26"/>
        <v>9.5010786293188048</v>
      </c>
      <c r="O154" s="495">
        <f>$F154*Multipliers!H224</f>
        <v>0.3439425100021915</v>
      </c>
      <c r="P154" s="495">
        <f>$F154*Multipliers!I224</f>
        <v>0.11033094319684175</v>
      </c>
      <c r="Q154" s="495">
        <f>$F154*Multipliers!J224</f>
        <v>0.10080531590148038</v>
      </c>
      <c r="R154" s="495">
        <f t="shared" si="27"/>
        <v>0.55507876910051368</v>
      </c>
      <c r="S154" s="495">
        <f>$F154*Multipliers!L224</f>
        <v>0.81189702870940517</v>
      </c>
      <c r="T154" s="495">
        <f>$F154*Multipliers!M224</f>
        <v>0.35649800658458874</v>
      </c>
      <c r="U154" s="495">
        <f>$F154*Multipliers!N224</f>
        <v>0.32370820789711346</v>
      </c>
      <c r="V154" s="495">
        <f t="shared" si="28"/>
        <v>1.4921032431911074</v>
      </c>
      <c r="W154" s="495">
        <f>$F154*Multipliers!P224</f>
        <v>0.42460951703391808</v>
      </c>
      <c r="X154" s="495">
        <f>$F154*Multipliers!Q224</f>
        <v>0.18442143667852137</v>
      </c>
      <c r="Y154" s="495">
        <f>$F154*Multipliers!R224</f>
        <v>0.17170849401073626</v>
      </c>
      <c r="Z154" s="495">
        <f t="shared" si="29"/>
        <v>0.78073944772317572</v>
      </c>
      <c r="AA154" s="219" t="s">
        <v>820</v>
      </c>
      <c r="AB154" s="494"/>
      <c r="AC154" s="499"/>
    </row>
    <row r="155" spans="1:36" s="219" customFormat="1" x14ac:dyDescent="0.25">
      <c r="A155" s="489"/>
      <c r="B155" s="493" t="s">
        <v>607</v>
      </c>
      <c r="C155" s="494">
        <f t="shared" si="24"/>
        <v>641284.80117114435</v>
      </c>
      <c r="E155" s="494">
        <f t="shared" si="25"/>
        <v>641284.80117114435</v>
      </c>
      <c r="F155" s="495">
        <f t="shared" si="30"/>
        <v>0.68927945074333064</v>
      </c>
      <c r="G155" s="512">
        <f>(I15+I36+I57+I75+I84+I90+I100)*$F139/10^6</f>
        <v>0.68927945074333064</v>
      </c>
      <c r="K155" s="676">
        <f>$G157*Multipliers!D225+'Default Data'!AS116</f>
        <v>4.8510751675592436</v>
      </c>
      <c r="L155" s="496">
        <f>$F155*Multipliers!E225</f>
        <v>1.8987889345898052</v>
      </c>
      <c r="M155" s="496">
        <f>$F155*Multipliers!F225</f>
        <v>1.7867518530233015</v>
      </c>
      <c r="N155" s="476">
        <f t="shared" si="26"/>
        <v>8.5366159551723513</v>
      </c>
      <c r="O155" s="495">
        <f>($G157*Multipliers!H225)+$H187</f>
        <v>0.45951963382888711</v>
      </c>
      <c r="P155" s="495">
        <f>$F155*Multipliers!I225</f>
        <v>7.7220428445205769E-2</v>
      </c>
      <c r="Q155" s="495">
        <f>$F155*Multipliers!J225</f>
        <v>6.9571135548435983E-2</v>
      </c>
      <c r="R155" s="495">
        <f t="shared" si="27"/>
        <v>0.60631119782252885</v>
      </c>
      <c r="S155" s="495">
        <f>$F155*Multipliers!L225</f>
        <v>0.68927945074333064</v>
      </c>
      <c r="T155" s="495">
        <f>$F155*Multipliers!M225</f>
        <v>0.26536009234863017</v>
      </c>
      <c r="U155" s="495">
        <f>$F155*Multipliers!N225</f>
        <v>0.22339848123186598</v>
      </c>
      <c r="V155" s="495">
        <f t="shared" si="28"/>
        <v>1.1780380243238269</v>
      </c>
      <c r="W155" s="495">
        <f>($G157*Multipliers!P225)+$H187</f>
        <v>0.45951963382888711</v>
      </c>
      <c r="X155" s="495">
        <f>$F155*Multipliers!Q225</f>
        <v>0.13529212159607071</v>
      </c>
      <c r="Y155" s="495">
        <f>$F155*Multipliers!R225</f>
        <v>0.11850178697979648</v>
      </c>
      <c r="Z155" s="495">
        <f t="shared" si="29"/>
        <v>0.71331354240475431</v>
      </c>
      <c r="AA155" s="219" t="s">
        <v>96</v>
      </c>
      <c r="AB155" s="494"/>
      <c r="AC155" s="499"/>
    </row>
    <row r="156" spans="1:36" s="219" customFormat="1" x14ac:dyDescent="0.25">
      <c r="B156" s="493" t="s">
        <v>609</v>
      </c>
      <c r="C156" s="494">
        <f t="shared" si="24"/>
        <v>0</v>
      </c>
      <c r="D156" s="494"/>
      <c r="E156" s="494">
        <f t="shared" si="25"/>
        <v>0</v>
      </c>
      <c r="F156" s="495">
        <f t="shared" si="30"/>
        <v>0</v>
      </c>
      <c r="G156" s="491"/>
      <c r="K156" s="496">
        <f>$F156*Multipliers!D226</f>
        <v>0</v>
      </c>
      <c r="L156" s="496">
        <f>$F156*Multipliers!E226</f>
        <v>0</v>
      </c>
      <c r="M156" s="496">
        <f>$F156*Multipliers!F226</f>
        <v>0</v>
      </c>
      <c r="N156" s="476">
        <f t="shared" si="26"/>
        <v>0</v>
      </c>
      <c r="O156" s="495">
        <f>$F156*Multipliers!H226</f>
        <v>0</v>
      </c>
      <c r="P156" s="495">
        <f>$F156*Multipliers!I226</f>
        <v>0</v>
      </c>
      <c r="Q156" s="495">
        <f>$F156*Multipliers!J226</f>
        <v>0</v>
      </c>
      <c r="R156" s="495">
        <f t="shared" si="27"/>
        <v>0</v>
      </c>
      <c r="S156" s="495">
        <f>$F156*Multipliers!L226</f>
        <v>0</v>
      </c>
      <c r="T156" s="495">
        <f>$F156*Multipliers!M226</f>
        <v>0</v>
      </c>
      <c r="U156" s="495">
        <f>$F156*Multipliers!N226</f>
        <v>0</v>
      </c>
      <c r="V156" s="495">
        <f t="shared" si="28"/>
        <v>0</v>
      </c>
      <c r="W156" s="495">
        <f>$F156*Multipliers!P226</f>
        <v>0</v>
      </c>
      <c r="X156" s="495">
        <f>$F156*Multipliers!Q226</f>
        <v>0</v>
      </c>
      <c r="Y156" s="495">
        <f>$F156*Multipliers!R226</f>
        <v>0</v>
      </c>
      <c r="Z156" s="495">
        <f t="shared" si="29"/>
        <v>0</v>
      </c>
      <c r="AA156" s="219" t="s">
        <v>821</v>
      </c>
      <c r="AB156" s="494"/>
      <c r="AC156" s="499"/>
    </row>
    <row r="157" spans="1:36" s="219" customFormat="1" x14ac:dyDescent="0.25">
      <c r="B157" s="493" t="s">
        <v>624</v>
      </c>
      <c r="C157" s="494">
        <f>SUM(C143:C156)</f>
        <v>10836118.103173165</v>
      </c>
      <c r="D157" s="494"/>
      <c r="E157" s="494">
        <f>SUM(E143:E156)</f>
        <v>10836118.103173165</v>
      </c>
      <c r="F157" s="513">
        <f>SUM(F143:F156)</f>
        <v>11.64710830617631</v>
      </c>
      <c r="G157" s="491">
        <f>F155-(G155+G156)</f>
        <v>0</v>
      </c>
      <c r="K157" s="497">
        <f t="shared" ref="K157:V157" si="31">SUM(K143:K156)</f>
        <v>90.231075733373928</v>
      </c>
      <c r="L157" s="497">
        <f t="shared" si="31"/>
        <v>30.934747416028475</v>
      </c>
      <c r="M157" s="497">
        <f t="shared" si="31"/>
        <v>21.063126686911925</v>
      </c>
      <c r="N157" s="497">
        <f t="shared" si="31"/>
        <v>142.22894983631431</v>
      </c>
      <c r="O157" s="495">
        <f t="shared" si="31"/>
        <v>4.0390947631991247</v>
      </c>
      <c r="P157" s="495">
        <f t="shared" si="31"/>
        <v>1.4099928085262001</v>
      </c>
      <c r="Q157" s="495">
        <f t="shared" si="31"/>
        <v>0.82396740937245905</v>
      </c>
      <c r="R157" s="495">
        <f t="shared" si="31"/>
        <v>6.2730549810977845</v>
      </c>
      <c r="S157" s="495">
        <f t="shared" si="31"/>
        <v>11.64710830617631</v>
      </c>
      <c r="T157" s="495">
        <f t="shared" si="31"/>
        <v>4.7432480744661998</v>
      </c>
      <c r="U157" s="495">
        <f t="shared" si="31"/>
        <v>2.6456578753575952</v>
      </c>
      <c r="V157" s="495">
        <f t="shared" si="31"/>
        <v>19.036014256000104</v>
      </c>
      <c r="W157" s="495">
        <f t="shared" ref="W157:Z157" si="32">SUM(W143:W156)</f>
        <v>4.696155257064528</v>
      </c>
      <c r="X157" s="495">
        <f t="shared" si="32"/>
        <v>2.3467318396655843</v>
      </c>
      <c r="Y157" s="495">
        <f t="shared" si="32"/>
        <v>1.4034204501020207</v>
      </c>
      <c r="Z157" s="495">
        <f t="shared" si="32"/>
        <v>8.4463075468321342</v>
      </c>
      <c r="AA157" s="219" t="s">
        <v>822</v>
      </c>
      <c r="AB157" s="494"/>
      <c r="AC157" s="499"/>
    </row>
    <row r="158" spans="1:36" s="219" customFormat="1" x14ac:dyDescent="0.25">
      <c r="B158" s="493"/>
      <c r="C158" s="494"/>
      <c r="D158" s="494"/>
      <c r="H158" s="496"/>
      <c r="I158" s="496"/>
      <c r="J158" s="496"/>
      <c r="K158" s="496"/>
      <c r="L158" s="220"/>
      <c r="M158" s="220"/>
      <c r="N158" s="220"/>
      <c r="O158" s="220"/>
      <c r="P158" s="220"/>
      <c r="Q158" s="220"/>
      <c r="R158" s="220"/>
      <c r="S158" s="220"/>
      <c r="T158" s="220"/>
      <c r="U158" s="220"/>
      <c r="V158" s="220"/>
      <c r="W158" s="220"/>
      <c r="X158" s="220"/>
      <c r="Y158" s="220"/>
      <c r="Z158" s="220"/>
      <c r="AA158" s="219" t="s">
        <v>823</v>
      </c>
      <c r="AB158" s="494"/>
      <c r="AC158" s="499"/>
    </row>
    <row r="159" spans="1:36" s="219" customFormat="1" x14ac:dyDescent="0.25">
      <c r="B159" s="514"/>
      <c r="C159" s="515"/>
      <c r="D159" s="515"/>
      <c r="E159" s="516" t="s">
        <v>824</v>
      </c>
      <c r="F159" s="478">
        <f>C139</f>
        <v>2010</v>
      </c>
      <c r="G159" s="219" t="s">
        <v>806</v>
      </c>
      <c r="H159" s="475">
        <f>Deflators!F8</f>
        <v>0.93036982384948808</v>
      </c>
      <c r="AA159" s="219" t="s">
        <v>825</v>
      </c>
      <c r="AB159" s="494">
        <f>C182</f>
        <v>0</v>
      </c>
    </row>
    <row r="160" spans="1:36" s="219" customFormat="1" ht="15.75" customHeight="1" x14ac:dyDescent="0.25">
      <c r="B160" s="493"/>
      <c r="L160" s="495"/>
      <c r="M160" s="495"/>
      <c r="N160" s="495"/>
      <c r="O160" s="495"/>
      <c r="P160" s="495"/>
      <c r="Q160" s="495"/>
      <c r="R160" s="495"/>
      <c r="S160" s="495"/>
      <c r="W160" s="495"/>
      <c r="AA160" s="517"/>
      <c r="AB160" s="494"/>
      <c r="AC160" s="499"/>
    </row>
    <row r="161" spans="2:30" x14ac:dyDescent="0.25">
      <c r="W161" s="1229"/>
      <c r="X161" s="1229"/>
      <c r="Y161" s="1229"/>
      <c r="Z161" s="1229"/>
    </row>
    <row r="162" spans="2:30" x14ac:dyDescent="0.25">
      <c r="W162" s="1229"/>
      <c r="X162" s="1229"/>
      <c r="Y162" s="1229"/>
      <c r="Z162" s="1229"/>
    </row>
    <row r="163" spans="2:30" x14ac:dyDescent="0.25">
      <c r="C163" s="774" t="s">
        <v>751</v>
      </c>
      <c r="D163" s="773">
        <v>1</v>
      </c>
      <c r="E163" s="773">
        <v>0.5</v>
      </c>
      <c r="W163" s="1229"/>
      <c r="X163" s="1229"/>
      <c r="Y163" s="1229"/>
      <c r="Z163" s="1229"/>
    </row>
    <row r="164" spans="2:30" s="219" customFormat="1" x14ac:dyDescent="0.25">
      <c r="B164" s="481" t="s">
        <v>830</v>
      </c>
      <c r="E164" s="482"/>
      <c r="F164" s="483"/>
      <c r="AA164" s="523" t="s">
        <v>831</v>
      </c>
      <c r="AB164" s="524" t="s">
        <v>832</v>
      </c>
      <c r="AC164" s="507" t="s">
        <v>833</v>
      </c>
      <c r="AD164" s="510" t="s">
        <v>834</v>
      </c>
    </row>
    <row r="165" spans="2:30" s="219" customFormat="1" x14ac:dyDescent="0.25">
      <c r="C165" s="525" t="s">
        <v>807</v>
      </c>
      <c r="D165" s="487" t="s">
        <v>1034</v>
      </c>
      <c r="E165" s="478" t="s">
        <v>835</v>
      </c>
      <c r="F165" s="478" t="s">
        <v>624</v>
      </c>
      <c r="G165" s="526" t="s">
        <v>836</v>
      </c>
      <c r="H165" s="525"/>
      <c r="I165" s="478"/>
      <c r="K165" s="484" t="s">
        <v>135</v>
      </c>
      <c r="L165" s="484"/>
      <c r="M165" s="484"/>
      <c r="N165" s="484"/>
      <c r="O165" s="484" t="s">
        <v>134</v>
      </c>
      <c r="P165" s="484"/>
      <c r="Q165" s="484"/>
      <c r="R165" s="484"/>
      <c r="S165" s="484" t="s">
        <v>133</v>
      </c>
      <c r="W165" s="484" t="s">
        <v>1420</v>
      </c>
      <c r="AA165" s="527" t="s">
        <v>837</v>
      </c>
    </row>
    <row r="166" spans="2:30" s="219" customFormat="1" x14ac:dyDescent="0.25">
      <c r="D166" s="487" t="s">
        <v>1035</v>
      </c>
      <c r="E166" s="478" t="s">
        <v>838</v>
      </c>
      <c r="F166" s="525" t="s">
        <v>839</v>
      </c>
      <c r="G166" s="525">
        <f>Multipliers!D2</f>
        <v>2014</v>
      </c>
      <c r="H166" s="526" t="s">
        <v>806</v>
      </c>
      <c r="I166" s="525"/>
      <c r="K166" s="484" t="s">
        <v>621</v>
      </c>
      <c r="L166" s="484" t="s">
        <v>622</v>
      </c>
      <c r="M166" s="484" t="s">
        <v>623</v>
      </c>
      <c r="N166" s="484" t="s">
        <v>624</v>
      </c>
      <c r="O166" s="484" t="s">
        <v>621</v>
      </c>
      <c r="P166" s="484" t="s">
        <v>622</v>
      </c>
      <c r="Q166" s="484" t="s">
        <v>623</v>
      </c>
      <c r="R166" s="484" t="s">
        <v>624</v>
      </c>
      <c r="S166" s="484" t="s">
        <v>621</v>
      </c>
      <c r="T166" s="484" t="s">
        <v>622</v>
      </c>
      <c r="U166" s="484" t="s">
        <v>623</v>
      </c>
      <c r="V166" s="484" t="s">
        <v>624</v>
      </c>
      <c r="W166" s="484" t="s">
        <v>621</v>
      </c>
      <c r="X166" s="484" t="s">
        <v>622</v>
      </c>
      <c r="Y166" s="484" t="s">
        <v>623</v>
      </c>
      <c r="Z166" s="484" t="s">
        <v>624</v>
      </c>
      <c r="AA166" s="528"/>
      <c r="AB166" s="529">
        <v>0</v>
      </c>
      <c r="AC166" s="530">
        <f>AB166*40*52</f>
        <v>0</v>
      </c>
      <c r="AD166" s="531">
        <v>0</v>
      </c>
    </row>
    <row r="167" spans="2:30" s="219" customFormat="1" x14ac:dyDescent="0.25">
      <c r="B167" s="493" t="s">
        <v>592</v>
      </c>
      <c r="C167" s="494">
        <f>$C$210*'Default Data'!C260+$C$211*'Default Data'!C261+$C$212*'Default Data'!C262+$C$213*'Default Data'!C263+$C$214*'Default Data'!C264+$C$215*'Default Data'!C265+$C$216*'Default Data'!C266+$C$217*'Default Data'!C267+$C$218*'Default Data'!C268+$C$219*'Default Data'!C269+$C$220*'Default Data'!C270+$C$221*'Default Data'!C271+$C$222*'Default Data'!C272+$C$223*'Default Data'!C273</f>
        <v>0</v>
      </c>
      <c r="D167" s="494">
        <f>G$133*D$163*Multipliers!$U213</f>
        <v>0</v>
      </c>
      <c r="E167" s="494">
        <f>G$130*E$163*Multipliers!$U213</f>
        <v>0</v>
      </c>
      <c r="F167" s="494">
        <f>SUM(C167:E167)</f>
        <v>0</v>
      </c>
      <c r="G167" s="495">
        <f>F167*F$139/10^6</f>
        <v>0</v>
      </c>
      <c r="H167" s="494"/>
      <c r="I167" s="495"/>
      <c r="K167" s="532">
        <f>$G167*Multipliers!D213</f>
        <v>0</v>
      </c>
      <c r="L167" s="532">
        <f>$G167*Multipliers!E213</f>
        <v>0</v>
      </c>
      <c r="M167" s="532">
        <f>$G167*Multipliers!F213</f>
        <v>0</v>
      </c>
      <c r="N167" s="532">
        <f>+M167+L167+K167</f>
        <v>0</v>
      </c>
      <c r="O167" s="533">
        <f>$G167*Multipliers!H213</f>
        <v>0</v>
      </c>
      <c r="P167" s="533">
        <f>$G167*Multipliers!I213</f>
        <v>0</v>
      </c>
      <c r="Q167" s="533">
        <f>$G167*Multipliers!J213</f>
        <v>0</v>
      </c>
      <c r="R167" s="533">
        <f>+Q167+P167+O167</f>
        <v>0</v>
      </c>
      <c r="S167" s="533">
        <f>$G167*Multipliers!L213</f>
        <v>0</v>
      </c>
      <c r="T167" s="533">
        <f>$G167*Multipliers!M213</f>
        <v>0</v>
      </c>
      <c r="U167" s="533">
        <f>$G167*Multipliers!N213</f>
        <v>0</v>
      </c>
      <c r="V167" s="533">
        <f>+U167+T167+S167</f>
        <v>0</v>
      </c>
      <c r="W167" s="533">
        <f>$G167*Multipliers!P213</f>
        <v>0</v>
      </c>
      <c r="X167" s="533">
        <f>$G167*Multipliers!Q213</f>
        <v>0</v>
      </c>
      <c r="Y167" s="533">
        <f>$G167*Multipliers!R213</f>
        <v>0</v>
      </c>
      <c r="Z167" s="533">
        <f>+Y167+X167+W167</f>
        <v>0</v>
      </c>
      <c r="AA167" s="528"/>
      <c r="AB167" s="529">
        <v>0</v>
      </c>
      <c r="AC167" s="530">
        <f>AB167*40*52</f>
        <v>0</v>
      </c>
      <c r="AD167" s="531">
        <v>0</v>
      </c>
    </row>
    <row r="168" spans="2:30" s="219" customFormat="1" x14ac:dyDescent="0.25">
      <c r="B168" s="493" t="s">
        <v>593</v>
      </c>
      <c r="C168" s="494">
        <f>$C$210*'Default Data'!D260+$C$211*'Default Data'!D261+$C$212*'Default Data'!D262+$C$213*'Default Data'!D263+$C$214*'Default Data'!D264+$C$215*'Default Data'!D265+$C$216*'Default Data'!D266+$C$217*'Default Data'!D267+$C$218*'Default Data'!D268+$C$219*'Default Data'!D269+$C$220*'Default Data'!D270+$C$221*'Default Data'!D271+$C$222*'Default Data'!D272+$C$223*'Default Data'!D273</f>
        <v>0</v>
      </c>
      <c r="D168" s="494">
        <f>G$133*D$163*Multipliers!U214</f>
        <v>0</v>
      </c>
      <c r="E168" s="494">
        <f>G$130*E$163*Multipliers!$U214</f>
        <v>0</v>
      </c>
      <c r="F168" s="494">
        <f t="shared" ref="F168:F180" si="33">SUM(C168:E168)</f>
        <v>0</v>
      </c>
      <c r="G168" s="495">
        <f t="shared" ref="G168:G180" si="34">F168*F$139/10^6</f>
        <v>0</v>
      </c>
      <c r="H168" s="494"/>
      <c r="I168" s="495"/>
      <c r="K168" s="532">
        <f>$G168*Multipliers!D214</f>
        <v>0</v>
      </c>
      <c r="L168" s="532">
        <f>$G168*Multipliers!E214</f>
        <v>0</v>
      </c>
      <c r="M168" s="532">
        <f>$G168*Multipliers!F214</f>
        <v>0</v>
      </c>
      <c r="N168" s="532">
        <f t="shared" ref="N168:N180" si="35">+M168+L168+K168</f>
        <v>0</v>
      </c>
      <c r="O168" s="533">
        <f>$G168*Multipliers!H214</f>
        <v>0</v>
      </c>
      <c r="P168" s="533">
        <f>$G168*Multipliers!I214</f>
        <v>0</v>
      </c>
      <c r="Q168" s="533">
        <f>$G168*Multipliers!J214</f>
        <v>0</v>
      </c>
      <c r="R168" s="533">
        <f t="shared" ref="R168:R180" si="36">+Q168+P168+O168</f>
        <v>0</v>
      </c>
      <c r="S168" s="533">
        <f>$G168*Multipliers!L214</f>
        <v>0</v>
      </c>
      <c r="T168" s="533">
        <f>$G168*Multipliers!M214</f>
        <v>0</v>
      </c>
      <c r="U168" s="533">
        <f>$G168*Multipliers!N214</f>
        <v>0</v>
      </c>
      <c r="V168" s="533">
        <f t="shared" ref="V168:V180" si="37">+U168+T168+S168</f>
        <v>0</v>
      </c>
      <c r="W168" s="533">
        <f>$G168*Multipliers!P214</f>
        <v>0</v>
      </c>
      <c r="X168" s="533">
        <f>$G168*Multipliers!Q214</f>
        <v>0</v>
      </c>
      <c r="Y168" s="533">
        <f>$G168*Multipliers!R214</f>
        <v>0</v>
      </c>
      <c r="Z168" s="533">
        <f t="shared" ref="Z168:Z180" si="38">+Y168+X168+W168</f>
        <v>0</v>
      </c>
      <c r="AA168" s="528"/>
      <c r="AB168" s="529">
        <v>0</v>
      </c>
      <c r="AC168" s="530">
        <f>AB168*40*52</f>
        <v>0</v>
      </c>
      <c r="AD168" s="531">
        <v>0</v>
      </c>
    </row>
    <row r="169" spans="2:30" s="219" customFormat="1" x14ac:dyDescent="0.25">
      <c r="B169" s="493" t="s">
        <v>595</v>
      </c>
      <c r="C169" s="494">
        <f>$C$210*'Default Data'!E260+$C$211*'Default Data'!E261+$C$212*'Default Data'!E262+$C$213*'Default Data'!E263+$C$214*'Default Data'!E264+$C$215*'Default Data'!E265+$C$216*'Default Data'!E266+$C$217*'Default Data'!E267+$C$218*'Default Data'!E268+$C$219*'Default Data'!E269+$C$220*'Default Data'!E270+$C$221*'Default Data'!E271+$C$222*'Default Data'!E272+$C$223*'Default Data'!E273</f>
        <v>0</v>
      </c>
      <c r="D169" s="494">
        <f>G$133*D$163*Multipliers!U215</f>
        <v>0</v>
      </c>
      <c r="E169" s="494">
        <f>G$130*E$163*Multipliers!$U215</f>
        <v>0</v>
      </c>
      <c r="F169" s="494">
        <f t="shared" si="33"/>
        <v>0</v>
      </c>
      <c r="G169" s="495">
        <f t="shared" si="34"/>
        <v>0</v>
      </c>
      <c r="H169" s="494"/>
      <c r="I169" s="495"/>
      <c r="K169" s="532">
        <f>$G169*Multipliers!D215</f>
        <v>0</v>
      </c>
      <c r="L169" s="532">
        <f>$G169*Multipliers!E215</f>
        <v>0</v>
      </c>
      <c r="M169" s="532">
        <f>$G169*Multipliers!F215</f>
        <v>0</v>
      </c>
      <c r="N169" s="532">
        <f t="shared" si="35"/>
        <v>0</v>
      </c>
      <c r="O169" s="533">
        <f>$G169*Multipliers!H215</f>
        <v>0</v>
      </c>
      <c r="P169" s="533">
        <f>$G169*Multipliers!I215</f>
        <v>0</v>
      </c>
      <c r="Q169" s="533">
        <f>$G169*Multipliers!J215</f>
        <v>0</v>
      </c>
      <c r="R169" s="533">
        <f t="shared" si="36"/>
        <v>0</v>
      </c>
      <c r="S169" s="533">
        <f>$G169*Multipliers!L215</f>
        <v>0</v>
      </c>
      <c r="T169" s="533">
        <f>$G169*Multipliers!M215</f>
        <v>0</v>
      </c>
      <c r="U169" s="533">
        <f>$G169*Multipliers!N215</f>
        <v>0</v>
      </c>
      <c r="V169" s="533">
        <f t="shared" si="37"/>
        <v>0</v>
      </c>
      <c r="W169" s="533">
        <f>$G169*Multipliers!P215</f>
        <v>0</v>
      </c>
      <c r="X169" s="533">
        <f>$G169*Multipliers!Q215</f>
        <v>0</v>
      </c>
      <c r="Y169" s="533">
        <f>$G169*Multipliers!R215</f>
        <v>0</v>
      </c>
      <c r="Z169" s="533">
        <f t="shared" si="38"/>
        <v>0</v>
      </c>
      <c r="AA169" s="528"/>
      <c r="AB169" s="529">
        <v>0</v>
      </c>
      <c r="AC169" s="530">
        <f>AB169*40*52</f>
        <v>0</v>
      </c>
      <c r="AD169" s="531">
        <v>0</v>
      </c>
    </row>
    <row r="170" spans="2:30" s="219" customFormat="1" x14ac:dyDescent="0.25">
      <c r="B170" s="493" t="s">
        <v>596</v>
      </c>
      <c r="C170" s="494">
        <f>$C$210*'Default Data'!F260+$C$211*'Default Data'!F261+$C$212*'Default Data'!F262+$C$213*'Default Data'!F263+$C$214*'Default Data'!F264+$C$215*'Default Data'!F265+$C$216*'Default Data'!F266+$C$217*'Default Data'!F267+$C$218*'Default Data'!F268+$C$219*'Default Data'!F269+$C$220*'Default Data'!F270+$C$221*'Default Data'!F271+$C$222*'Default Data'!F272+$C$223*'Default Data'!F273</f>
        <v>0</v>
      </c>
      <c r="D170" s="494">
        <f>G$133*D$163*Multipliers!U216</f>
        <v>0</v>
      </c>
      <c r="E170" s="494">
        <f>G$130*E$163*Multipliers!$U216</f>
        <v>0</v>
      </c>
      <c r="F170" s="494">
        <f t="shared" si="33"/>
        <v>0</v>
      </c>
      <c r="G170" s="495">
        <f t="shared" si="34"/>
        <v>0</v>
      </c>
      <c r="H170" s="494"/>
      <c r="I170" s="495"/>
      <c r="K170" s="532">
        <f>$G170*Multipliers!D216</f>
        <v>0</v>
      </c>
      <c r="L170" s="532">
        <f>$G170*Multipliers!E216</f>
        <v>0</v>
      </c>
      <c r="M170" s="532">
        <f>$G170*Multipliers!F216</f>
        <v>0</v>
      </c>
      <c r="N170" s="532">
        <f t="shared" si="35"/>
        <v>0</v>
      </c>
      <c r="O170" s="533">
        <f>$G170*Multipliers!H216</f>
        <v>0</v>
      </c>
      <c r="P170" s="533">
        <f>$G170*Multipliers!I216</f>
        <v>0</v>
      </c>
      <c r="Q170" s="533">
        <f>$G170*Multipliers!J216</f>
        <v>0</v>
      </c>
      <c r="R170" s="533">
        <f t="shared" si="36"/>
        <v>0</v>
      </c>
      <c r="S170" s="533">
        <f>$G170*Multipliers!L216</f>
        <v>0</v>
      </c>
      <c r="T170" s="533">
        <f>$G170*Multipliers!M216</f>
        <v>0</v>
      </c>
      <c r="U170" s="533">
        <f>$G170*Multipliers!N216</f>
        <v>0</v>
      </c>
      <c r="V170" s="533">
        <f t="shared" si="37"/>
        <v>0</v>
      </c>
      <c r="W170" s="533">
        <f>$G170*Multipliers!P216</f>
        <v>0</v>
      </c>
      <c r="X170" s="533">
        <f>$G170*Multipliers!Q216</f>
        <v>0</v>
      </c>
      <c r="Y170" s="533">
        <f>$G170*Multipliers!R216</f>
        <v>0</v>
      </c>
      <c r="Z170" s="533">
        <f t="shared" si="38"/>
        <v>0</v>
      </c>
      <c r="AA170" s="527" t="s">
        <v>840</v>
      </c>
      <c r="AB170" s="524" t="s">
        <v>832</v>
      </c>
      <c r="AC170" s="507" t="s">
        <v>833</v>
      </c>
      <c r="AD170" s="510" t="s">
        <v>834</v>
      </c>
    </row>
    <row r="171" spans="2:30" s="219" customFormat="1" x14ac:dyDescent="0.25">
      <c r="B171" s="493" t="s">
        <v>598</v>
      </c>
      <c r="C171" s="494">
        <f>$C$210*'Default Data'!G260+$C$211*'Default Data'!G261+$C$212*'Default Data'!G262+$C$213*'Default Data'!G263+$C$214*'Default Data'!G264+$C$215*'Default Data'!G265+$C$216*'Default Data'!G266+$C$217*'Default Data'!G267+$C$218*'Default Data'!G268+$C$219*'Default Data'!G269+$C$220*'Default Data'!G270+$C$221*'Default Data'!G271+$C$222*'Default Data'!G272+$C$223*'Default Data'!G273</f>
        <v>0</v>
      </c>
      <c r="D171" s="494">
        <f>G$133*D$163*Multipliers!U217</f>
        <v>0</v>
      </c>
      <c r="E171" s="494">
        <f>G$130*E$163*Multipliers!$U217</f>
        <v>0</v>
      </c>
      <c r="F171" s="494">
        <f t="shared" si="33"/>
        <v>0</v>
      </c>
      <c r="G171" s="495">
        <f t="shared" si="34"/>
        <v>0</v>
      </c>
      <c r="H171" s="494"/>
      <c r="I171" s="495"/>
      <c r="K171" s="532">
        <f>$G171*Multipliers!D217</f>
        <v>0</v>
      </c>
      <c r="L171" s="532">
        <f>$G171*Multipliers!E217</f>
        <v>0</v>
      </c>
      <c r="M171" s="532">
        <f>$G171*Multipliers!F217</f>
        <v>0</v>
      </c>
      <c r="N171" s="532">
        <f t="shared" si="35"/>
        <v>0</v>
      </c>
      <c r="O171" s="533">
        <f>$G171*Multipliers!H217</f>
        <v>0</v>
      </c>
      <c r="P171" s="533">
        <f>$G171*Multipliers!I217</f>
        <v>0</v>
      </c>
      <c r="Q171" s="533">
        <f>$G171*Multipliers!J217</f>
        <v>0</v>
      </c>
      <c r="R171" s="533">
        <f t="shared" si="36"/>
        <v>0</v>
      </c>
      <c r="S171" s="533">
        <f>$G171*Multipliers!L217</f>
        <v>0</v>
      </c>
      <c r="T171" s="533">
        <f>$G171*Multipliers!M217</f>
        <v>0</v>
      </c>
      <c r="U171" s="533">
        <f>$G171*Multipliers!N217</f>
        <v>0</v>
      </c>
      <c r="V171" s="533">
        <f t="shared" si="37"/>
        <v>0</v>
      </c>
      <c r="W171" s="533">
        <f>$G171*Multipliers!P217</f>
        <v>0</v>
      </c>
      <c r="X171" s="533">
        <f>$G171*Multipliers!Q217</f>
        <v>0</v>
      </c>
      <c r="Y171" s="533">
        <f>$G171*Multipliers!R217</f>
        <v>0</v>
      </c>
      <c r="Z171" s="533">
        <f t="shared" si="38"/>
        <v>0</v>
      </c>
      <c r="AA171" s="534" t="s">
        <v>841</v>
      </c>
      <c r="AB171" s="529">
        <v>0</v>
      </c>
      <c r="AC171" s="530">
        <f>AB171*40*52</f>
        <v>0</v>
      </c>
      <c r="AD171" s="531">
        <v>0</v>
      </c>
    </row>
    <row r="172" spans="2:30" s="219" customFormat="1" x14ac:dyDescent="0.25">
      <c r="B172" s="493" t="s">
        <v>599</v>
      </c>
      <c r="C172" s="494">
        <f>$C$210*'Default Data'!H260+$C$211*'Default Data'!H261+$C$212*'Default Data'!H262+$C$213*'Default Data'!H263+$C$214*'Default Data'!H264+$C$215*'Default Data'!H265+$C$216*'Default Data'!H266+$C$217*'Default Data'!H267+$C$218*'Default Data'!H268+$C$219*'Default Data'!H269+$C$220*'Default Data'!H270+$C$221*'Default Data'!H271+$C$222*'Default Data'!H272+$C$223*'Default Data'!H273</f>
        <v>0</v>
      </c>
      <c r="D172" s="494">
        <f>G$133*D$163*Multipliers!U218</f>
        <v>0</v>
      </c>
      <c r="E172" s="494">
        <f>G$130*E$163*Multipliers!$U218</f>
        <v>0</v>
      </c>
      <c r="F172" s="494">
        <f t="shared" si="33"/>
        <v>0</v>
      </c>
      <c r="G172" s="495">
        <f t="shared" si="34"/>
        <v>0</v>
      </c>
      <c r="H172" s="494"/>
      <c r="I172" s="495"/>
      <c r="K172" s="532">
        <f>$G172*Multipliers!D218</f>
        <v>0</v>
      </c>
      <c r="L172" s="532">
        <f>$G172*Multipliers!E218</f>
        <v>0</v>
      </c>
      <c r="M172" s="532">
        <f>$G172*Multipliers!F218</f>
        <v>0</v>
      </c>
      <c r="N172" s="532">
        <f t="shared" si="35"/>
        <v>0</v>
      </c>
      <c r="O172" s="533">
        <f>$G172*Multipliers!H218</f>
        <v>0</v>
      </c>
      <c r="P172" s="533">
        <f>$G172*Multipliers!I218</f>
        <v>0</v>
      </c>
      <c r="Q172" s="533">
        <f>$G172*Multipliers!J218</f>
        <v>0</v>
      </c>
      <c r="R172" s="533">
        <f t="shared" si="36"/>
        <v>0</v>
      </c>
      <c r="S172" s="533">
        <f>$G172*Multipliers!L218</f>
        <v>0</v>
      </c>
      <c r="T172" s="533">
        <f>$G172*Multipliers!M218</f>
        <v>0</v>
      </c>
      <c r="U172" s="533">
        <f>$G172*Multipliers!N218</f>
        <v>0</v>
      </c>
      <c r="V172" s="533">
        <f t="shared" si="37"/>
        <v>0</v>
      </c>
      <c r="W172" s="533">
        <f>$G172*Multipliers!P218</f>
        <v>0</v>
      </c>
      <c r="X172" s="533">
        <f>$G172*Multipliers!Q218</f>
        <v>0</v>
      </c>
      <c r="Y172" s="533">
        <f>$G172*Multipliers!R218</f>
        <v>0</v>
      </c>
      <c r="Z172" s="533">
        <f t="shared" si="38"/>
        <v>0</v>
      </c>
      <c r="AA172" s="528" t="s">
        <v>842</v>
      </c>
      <c r="AB172" s="529">
        <v>0</v>
      </c>
      <c r="AC172" s="530">
        <f>AB172*40*52</f>
        <v>0</v>
      </c>
      <c r="AD172" s="531">
        <v>0</v>
      </c>
    </row>
    <row r="173" spans="2:30" s="219" customFormat="1" x14ac:dyDescent="0.25">
      <c r="B173" s="493" t="s">
        <v>601</v>
      </c>
      <c r="C173" s="494">
        <f>$C$210*'Default Data'!J260+$C$211*'Default Data'!J261+$C$212*'Default Data'!J262+$C$213*'Default Data'!J263+$C$214*'Default Data'!J264+$C$215*'Default Data'!J265+$C$216*'Default Data'!J266+$C$217*'Default Data'!J267+$C$218*'Default Data'!J268+$C$219*'Default Data'!J269+$C$220*'Default Data'!J270+$C$221*'Default Data'!J271+$C$222*'Default Data'!J272+$C$223*'Default Data'!J273</f>
        <v>0</v>
      </c>
      <c r="D173" s="494">
        <f>G$133*D$163*Multipliers!U219</f>
        <v>0</v>
      </c>
      <c r="E173" s="494">
        <f>G$130*E$163*Multipliers!$U219</f>
        <v>0</v>
      </c>
      <c r="F173" s="494">
        <f t="shared" si="33"/>
        <v>0</v>
      </c>
      <c r="G173" s="495">
        <f t="shared" si="34"/>
        <v>0</v>
      </c>
      <c r="H173" s="494"/>
      <c r="I173" s="495"/>
      <c r="K173" s="532">
        <f>$G173*Multipliers!D219</f>
        <v>0</v>
      </c>
      <c r="L173" s="532">
        <f>$G173*Multipliers!E219</f>
        <v>0</v>
      </c>
      <c r="M173" s="532">
        <f>$G173*Multipliers!F219</f>
        <v>0</v>
      </c>
      <c r="N173" s="532">
        <f t="shared" si="35"/>
        <v>0</v>
      </c>
      <c r="O173" s="533">
        <f>$G173*Multipliers!H219</f>
        <v>0</v>
      </c>
      <c r="P173" s="533">
        <f>$G173*Multipliers!I219</f>
        <v>0</v>
      </c>
      <c r="Q173" s="533">
        <f>$G173*Multipliers!J219</f>
        <v>0</v>
      </c>
      <c r="R173" s="533">
        <f t="shared" si="36"/>
        <v>0</v>
      </c>
      <c r="S173" s="533">
        <f>$G173*Multipliers!L219</f>
        <v>0</v>
      </c>
      <c r="T173" s="533">
        <f>$G173*Multipliers!M219</f>
        <v>0</v>
      </c>
      <c r="U173" s="533">
        <f>$G173*Multipliers!N219</f>
        <v>0</v>
      </c>
      <c r="V173" s="533">
        <f t="shared" si="37"/>
        <v>0</v>
      </c>
      <c r="W173" s="533">
        <f>$G173*Multipliers!P219</f>
        <v>0</v>
      </c>
      <c r="X173" s="533">
        <f>$G173*Multipliers!Q219</f>
        <v>0</v>
      </c>
      <c r="Y173" s="533">
        <f>$G173*Multipliers!R219</f>
        <v>0</v>
      </c>
      <c r="Z173" s="533">
        <f t="shared" si="38"/>
        <v>0</v>
      </c>
      <c r="AA173" s="528" t="s">
        <v>843</v>
      </c>
      <c r="AB173" s="529">
        <v>0</v>
      </c>
      <c r="AC173" s="530">
        <f>AB173*40*52</f>
        <v>0</v>
      </c>
      <c r="AD173" s="531">
        <v>0</v>
      </c>
    </row>
    <row r="174" spans="2:30" s="219" customFormat="1" x14ac:dyDescent="0.25">
      <c r="B174" s="493" t="s">
        <v>602</v>
      </c>
      <c r="C174" s="494">
        <f>$C$210*'Default Data'!K260+$C$211*'Default Data'!K261+$C$212*'Default Data'!K262+$C$213*'Default Data'!K263+$C$214*'Default Data'!K264+$C$215*'Default Data'!K265+$C$216*'Default Data'!K266+$C$217*'Default Data'!K267+$C$218*'Default Data'!K268+$C$219*'Default Data'!K269+$C$220*'Default Data'!K270+$C$221*'Default Data'!K271+$C$222*'Default Data'!K272+$C$223*'Default Data'!K273</f>
        <v>0</v>
      </c>
      <c r="D174" s="494">
        <f>G$133*D$163*Multipliers!U220</f>
        <v>0</v>
      </c>
      <c r="E174" s="494">
        <f>G$130*E$163*Multipliers!$U220</f>
        <v>0</v>
      </c>
      <c r="F174" s="494">
        <f t="shared" si="33"/>
        <v>0</v>
      </c>
      <c r="G174" s="495">
        <f t="shared" si="34"/>
        <v>0</v>
      </c>
      <c r="H174" s="494"/>
      <c r="I174" s="495"/>
      <c r="K174" s="532">
        <f>$G174*Multipliers!D220</f>
        <v>0</v>
      </c>
      <c r="L174" s="532">
        <f>$G174*Multipliers!E220</f>
        <v>0</v>
      </c>
      <c r="M174" s="532">
        <f>$G174*Multipliers!F220</f>
        <v>0</v>
      </c>
      <c r="N174" s="532">
        <f t="shared" si="35"/>
        <v>0</v>
      </c>
      <c r="O174" s="533">
        <f>$G174*Multipliers!H220</f>
        <v>0</v>
      </c>
      <c r="P174" s="533">
        <f>$G174*Multipliers!I220</f>
        <v>0</v>
      </c>
      <c r="Q174" s="533">
        <f>$G174*Multipliers!J220</f>
        <v>0</v>
      </c>
      <c r="R174" s="533">
        <f t="shared" si="36"/>
        <v>0</v>
      </c>
      <c r="S174" s="533">
        <f>$G174*Multipliers!L220</f>
        <v>0</v>
      </c>
      <c r="T174" s="533">
        <f>$G174*Multipliers!M220</f>
        <v>0</v>
      </c>
      <c r="U174" s="533">
        <f>$G174*Multipliers!N220</f>
        <v>0</v>
      </c>
      <c r="V174" s="533">
        <f t="shared" si="37"/>
        <v>0</v>
      </c>
      <c r="W174" s="533">
        <f>$G174*Multipliers!P220</f>
        <v>0</v>
      </c>
      <c r="X174" s="533">
        <f>$G174*Multipliers!Q220</f>
        <v>0</v>
      </c>
      <c r="Y174" s="533">
        <f>$G174*Multipliers!R220</f>
        <v>0</v>
      </c>
      <c r="Z174" s="533">
        <f t="shared" si="38"/>
        <v>0</v>
      </c>
    </row>
    <row r="175" spans="2:30" s="219" customFormat="1" x14ac:dyDescent="0.25">
      <c r="B175" s="493" t="s">
        <v>603</v>
      </c>
      <c r="C175" s="494">
        <f>$C$210*'Default Data'!M260+$C$211*'Default Data'!M261+$C$212*'Default Data'!M262+$C$213*'Default Data'!M263+$C$214*'Default Data'!M264+$C$215*'Default Data'!M265+$C$216*'Default Data'!M266+$C$217*'Default Data'!M267+$C$218*'Default Data'!M268+$C$219*'Default Data'!M269+$C$220*'Default Data'!M270+$C$221*'Default Data'!M271+$C$222*'Default Data'!M272+$C$223*'Default Data'!M273</f>
        <v>0</v>
      </c>
      <c r="D175" s="494">
        <f>G$133*D$163*Multipliers!U221</f>
        <v>0</v>
      </c>
      <c r="E175" s="494">
        <f>G$130*E$163*Multipliers!$U221</f>
        <v>0</v>
      </c>
      <c r="F175" s="494">
        <f t="shared" si="33"/>
        <v>0</v>
      </c>
      <c r="G175" s="495">
        <f t="shared" si="34"/>
        <v>0</v>
      </c>
      <c r="H175" s="494"/>
      <c r="I175" s="495"/>
      <c r="K175" s="532">
        <f>$G175*Multipliers!D221</f>
        <v>0</v>
      </c>
      <c r="L175" s="532">
        <f>$G175*Multipliers!E221</f>
        <v>0</v>
      </c>
      <c r="M175" s="532">
        <f>$G175*Multipliers!F221</f>
        <v>0</v>
      </c>
      <c r="N175" s="532">
        <f t="shared" si="35"/>
        <v>0</v>
      </c>
      <c r="O175" s="533">
        <f>$G175*Multipliers!H221</f>
        <v>0</v>
      </c>
      <c r="P175" s="533">
        <f>$G175*Multipliers!I221</f>
        <v>0</v>
      </c>
      <c r="Q175" s="533">
        <f>$G175*Multipliers!J221</f>
        <v>0</v>
      </c>
      <c r="R175" s="533">
        <f t="shared" si="36"/>
        <v>0</v>
      </c>
      <c r="S175" s="533">
        <f>$G175*Multipliers!L221</f>
        <v>0</v>
      </c>
      <c r="T175" s="533">
        <f>$G175*Multipliers!M221</f>
        <v>0</v>
      </c>
      <c r="U175" s="533">
        <f>$G175*Multipliers!N221</f>
        <v>0</v>
      </c>
      <c r="V175" s="533">
        <f t="shared" si="37"/>
        <v>0</v>
      </c>
      <c r="W175" s="533">
        <f>$G175*Multipliers!P221</f>
        <v>0</v>
      </c>
      <c r="X175" s="533">
        <f>$G175*Multipliers!Q221</f>
        <v>0</v>
      </c>
      <c r="Y175" s="533">
        <f>$G175*Multipliers!R221</f>
        <v>0</v>
      </c>
      <c r="Z175" s="533">
        <f t="shared" si="38"/>
        <v>0</v>
      </c>
    </row>
    <row r="176" spans="2:30" s="219" customFormat="1" x14ac:dyDescent="0.25">
      <c r="B176" s="493" t="s">
        <v>604</v>
      </c>
      <c r="C176" s="494">
        <f>$C$210*'Default Data'!O260+$C$211*'Default Data'!O261+$C$212*'Default Data'!O262+$C$213*'Default Data'!O263+$C$214*'Default Data'!O264+$C$215*'Default Data'!O265+$C$216*'Default Data'!O266+$C$217*'Default Data'!O267+$C$218*'Default Data'!O268+$C$219*'Default Data'!O269+$C$220*'Default Data'!O270+$C$221*'Default Data'!O271+$C$222*'Default Data'!O272+$C$223*'Default Data'!O273</f>
        <v>0</v>
      </c>
      <c r="D176" s="494">
        <f>G$133*D$163*Multipliers!U222</f>
        <v>0</v>
      </c>
      <c r="E176" s="494">
        <f>G$130*E$163*Multipliers!$U222</f>
        <v>0</v>
      </c>
      <c r="F176" s="494">
        <f t="shared" si="33"/>
        <v>0</v>
      </c>
      <c r="G176" s="495">
        <f t="shared" si="34"/>
        <v>0</v>
      </c>
      <c r="H176" s="494"/>
      <c r="I176" s="495"/>
      <c r="K176" s="532">
        <f>$G176*Multipliers!D222</f>
        <v>0</v>
      </c>
      <c r="L176" s="532">
        <f>$G176*Multipliers!E222</f>
        <v>0</v>
      </c>
      <c r="M176" s="532">
        <f>$G176*Multipliers!F222</f>
        <v>0</v>
      </c>
      <c r="N176" s="532">
        <f t="shared" si="35"/>
        <v>0</v>
      </c>
      <c r="O176" s="533">
        <f>$G176*Multipliers!H222</f>
        <v>0</v>
      </c>
      <c r="P176" s="533">
        <f>$G176*Multipliers!I222</f>
        <v>0</v>
      </c>
      <c r="Q176" s="533">
        <f>$G176*Multipliers!J222</f>
        <v>0</v>
      </c>
      <c r="R176" s="533">
        <f t="shared" si="36"/>
        <v>0</v>
      </c>
      <c r="S176" s="533">
        <f>$G176*Multipliers!L222</f>
        <v>0</v>
      </c>
      <c r="T176" s="533">
        <f>$G176*Multipliers!M222</f>
        <v>0</v>
      </c>
      <c r="U176" s="533">
        <f>$G176*Multipliers!N222</f>
        <v>0</v>
      </c>
      <c r="V176" s="533">
        <f t="shared" si="37"/>
        <v>0</v>
      </c>
      <c r="W176" s="533">
        <f>$G176*Multipliers!P222</f>
        <v>0</v>
      </c>
      <c r="X176" s="533">
        <f>$G176*Multipliers!Q222</f>
        <v>0</v>
      </c>
      <c r="Y176" s="533">
        <f>$G176*Multipliers!R222</f>
        <v>0</v>
      </c>
      <c r="Z176" s="533">
        <f t="shared" si="38"/>
        <v>0</v>
      </c>
    </row>
    <row r="177" spans="2:26" s="219" customFormat="1" x14ac:dyDescent="0.25">
      <c r="B177" s="493" t="s">
        <v>605</v>
      </c>
      <c r="C177" s="494">
        <f>$C$210*'Default Data'!P260+$C$211*'Default Data'!P261+$C$212*'Default Data'!P262+$C$213*'Default Data'!P263+$C$214*'Default Data'!P264+$C$215*'Default Data'!P265+$C$216*'Default Data'!P266+$C$217*'Default Data'!P267+$C$218*'Default Data'!P268+$C$219*'Default Data'!P269+$C$220*'Default Data'!P270+$C$221*'Default Data'!P271+$C$222*'Default Data'!P272+$C$223*'Default Data'!P273</f>
        <v>0</v>
      </c>
      <c r="D177" s="494">
        <f>G$133*D$163*Multipliers!U223</f>
        <v>0</v>
      </c>
      <c r="E177" s="494">
        <f>G$130*E$163*Multipliers!$U223</f>
        <v>0</v>
      </c>
      <c r="F177" s="494">
        <f t="shared" si="33"/>
        <v>0</v>
      </c>
      <c r="G177" s="495">
        <f t="shared" si="34"/>
        <v>0</v>
      </c>
      <c r="H177" s="494"/>
      <c r="I177" s="495"/>
      <c r="K177" s="532">
        <f>$G177*Multipliers!D223</f>
        <v>0</v>
      </c>
      <c r="L177" s="532">
        <f>$G177*Multipliers!E223</f>
        <v>0</v>
      </c>
      <c r="M177" s="532">
        <f>$G177*Multipliers!F223</f>
        <v>0</v>
      </c>
      <c r="N177" s="532">
        <f t="shared" si="35"/>
        <v>0</v>
      </c>
      <c r="O177" s="533">
        <f>$G177*Multipliers!H223</f>
        <v>0</v>
      </c>
      <c r="P177" s="533">
        <f>$G177*Multipliers!I223</f>
        <v>0</v>
      </c>
      <c r="Q177" s="533">
        <f>$G177*Multipliers!J223</f>
        <v>0</v>
      </c>
      <c r="R177" s="533">
        <f t="shared" si="36"/>
        <v>0</v>
      </c>
      <c r="S177" s="533">
        <f>$G177*Multipliers!L223</f>
        <v>0</v>
      </c>
      <c r="T177" s="533">
        <f>$G177*Multipliers!M223</f>
        <v>0</v>
      </c>
      <c r="U177" s="533">
        <f>$G177*Multipliers!N223</f>
        <v>0</v>
      </c>
      <c r="V177" s="533">
        <f t="shared" si="37"/>
        <v>0</v>
      </c>
      <c r="W177" s="533">
        <f>$G177*Multipliers!P223</f>
        <v>0</v>
      </c>
      <c r="X177" s="533">
        <f>$G177*Multipliers!Q223</f>
        <v>0</v>
      </c>
      <c r="Y177" s="533">
        <f>$G177*Multipliers!R223</f>
        <v>0</v>
      </c>
      <c r="Z177" s="533">
        <f t="shared" si="38"/>
        <v>0</v>
      </c>
    </row>
    <row r="178" spans="2:26" s="219" customFormat="1" x14ac:dyDescent="0.25">
      <c r="B178" s="493" t="s">
        <v>606</v>
      </c>
      <c r="C178" s="494">
        <f>$C$210*'Default Data'!Q260+$C$211*'Default Data'!Q261+$C$212*'Default Data'!Q262+$C$213*'Default Data'!Q263+$C$214*'Default Data'!Q264+$C$215*'Default Data'!Q265+$C$216*'Default Data'!Q266+$C$217*'Default Data'!Q267+$C$218*'Default Data'!Q268+$C$219*'Default Data'!Q269+$C$220*'Default Data'!Q270+$C$221*'Default Data'!Q271+$C$222*'Default Data'!Q272+$C$223*'Default Data'!Q273</f>
        <v>0</v>
      </c>
      <c r="D178" s="494">
        <f>G$133*D$163*Multipliers!U224</f>
        <v>0</v>
      </c>
      <c r="E178" s="494">
        <f>G$130*E$163*Multipliers!$U224</f>
        <v>0</v>
      </c>
      <c r="F178" s="494">
        <f t="shared" si="33"/>
        <v>0</v>
      </c>
      <c r="G178" s="495">
        <f t="shared" si="34"/>
        <v>0</v>
      </c>
      <c r="H178" s="494"/>
      <c r="I178" s="495"/>
      <c r="K178" s="532">
        <f>$G178*Multipliers!D224</f>
        <v>0</v>
      </c>
      <c r="L178" s="532">
        <f>$G178*Multipliers!E224</f>
        <v>0</v>
      </c>
      <c r="M178" s="532">
        <f>$G178*Multipliers!F224</f>
        <v>0</v>
      </c>
      <c r="N178" s="532">
        <f t="shared" si="35"/>
        <v>0</v>
      </c>
      <c r="O178" s="533">
        <f>$G178*Multipliers!H224</f>
        <v>0</v>
      </c>
      <c r="P178" s="533">
        <f>$G178*Multipliers!I224</f>
        <v>0</v>
      </c>
      <c r="Q178" s="533">
        <f>$G178*Multipliers!J224</f>
        <v>0</v>
      </c>
      <c r="R178" s="533">
        <f t="shared" si="36"/>
        <v>0</v>
      </c>
      <c r="S178" s="533">
        <f>$G178*Multipliers!L224</f>
        <v>0</v>
      </c>
      <c r="T178" s="533">
        <f>$G178*Multipliers!M224</f>
        <v>0</v>
      </c>
      <c r="U178" s="533">
        <f>$G178*Multipliers!N224</f>
        <v>0</v>
      </c>
      <c r="V178" s="533">
        <f t="shared" si="37"/>
        <v>0</v>
      </c>
      <c r="W178" s="533">
        <f>$G178*Multipliers!P224</f>
        <v>0</v>
      </c>
      <c r="X178" s="533">
        <f>$G178*Multipliers!Q224</f>
        <v>0</v>
      </c>
      <c r="Y178" s="533">
        <f>$G178*Multipliers!R224</f>
        <v>0</v>
      </c>
      <c r="Z178" s="533">
        <f t="shared" si="38"/>
        <v>0</v>
      </c>
    </row>
    <row r="179" spans="2:26" s="219" customFormat="1" x14ac:dyDescent="0.25">
      <c r="B179" s="493" t="s">
        <v>607</v>
      </c>
      <c r="C179" s="494">
        <f>$C$210*'Default Data'!R260+$C$211*'Default Data'!R261+$C$212*'Default Data'!R262+$C$213*'Default Data'!R263+$C$214*'Default Data'!R264+$C$215*'Default Data'!R265+$C$216*'Default Data'!R266+$C$217*'Default Data'!R267+$C$218*'Default Data'!R268+$C$219*'Default Data'!R269+$C$220*'Default Data'!R270+$C$221*'Default Data'!R271+$C$222*'Default Data'!R272+$C$223*'Default Data'!R273</f>
        <v>0</v>
      </c>
      <c r="D179" s="494">
        <f>G$133*D$163*Multipliers!U225</f>
        <v>0</v>
      </c>
      <c r="E179" s="494">
        <f>G$130*E$163*Multipliers!$U225</f>
        <v>0</v>
      </c>
      <c r="F179" s="494">
        <f t="shared" si="33"/>
        <v>0</v>
      </c>
      <c r="G179" s="495">
        <f t="shared" si="34"/>
        <v>0</v>
      </c>
      <c r="H179" s="494"/>
      <c r="I179" s="495"/>
      <c r="K179" s="532">
        <f>$G179*Multipliers!D225</f>
        <v>0</v>
      </c>
      <c r="L179" s="532">
        <f>$G179*Multipliers!E225</f>
        <v>0</v>
      </c>
      <c r="M179" s="532">
        <f>$G179*Multipliers!F225</f>
        <v>0</v>
      </c>
      <c r="N179" s="532">
        <f t="shared" si="35"/>
        <v>0</v>
      </c>
      <c r="O179" s="533">
        <f>$G179*Multipliers!H225</f>
        <v>0</v>
      </c>
      <c r="P179" s="533">
        <f>$G179*Multipliers!I225</f>
        <v>0</v>
      </c>
      <c r="Q179" s="533">
        <f>$G179*Multipliers!J225</f>
        <v>0</v>
      </c>
      <c r="R179" s="533">
        <f t="shared" si="36"/>
        <v>0</v>
      </c>
      <c r="S179" s="533">
        <f>$G179*Multipliers!L225</f>
        <v>0</v>
      </c>
      <c r="T179" s="533">
        <f>$G179*Multipliers!M225</f>
        <v>0</v>
      </c>
      <c r="U179" s="533">
        <f>$G179*Multipliers!N225</f>
        <v>0</v>
      </c>
      <c r="V179" s="533">
        <f t="shared" si="37"/>
        <v>0</v>
      </c>
      <c r="W179" s="533">
        <f>$G179*Multipliers!P225</f>
        <v>0</v>
      </c>
      <c r="X179" s="533">
        <f>$G179*Multipliers!Q225</f>
        <v>0</v>
      </c>
      <c r="Y179" s="533">
        <f>$G179*Multipliers!R225</f>
        <v>0</v>
      </c>
      <c r="Z179" s="533">
        <f t="shared" si="38"/>
        <v>0</v>
      </c>
    </row>
    <row r="180" spans="2:26" s="219" customFormat="1" x14ac:dyDescent="0.25">
      <c r="B180" s="493" t="s">
        <v>609</v>
      </c>
      <c r="C180" s="494">
        <f>$C$210*'Default Data'!S260+$C$211*'Default Data'!S261+$C$212*'Default Data'!S262+$C$213*'Default Data'!S263+$C$214*'Default Data'!S264+$C$215*'Default Data'!S265+$C$216*'Default Data'!S266+$C$217*'Default Data'!S267+$C$218*'Default Data'!S268+$C$219*'Default Data'!S269+$C$220*'Default Data'!S270+$C$221*'Default Data'!S271+$C$222*'Default Data'!S272+$C$223*'Default Data'!S273</f>
        <v>0</v>
      </c>
      <c r="D180" s="494">
        <f>G$133*D$163*Multipliers!U226</f>
        <v>0</v>
      </c>
      <c r="E180" s="494">
        <f>G$130*E$163*Multipliers!$U226</f>
        <v>0</v>
      </c>
      <c r="F180" s="494">
        <f t="shared" si="33"/>
        <v>0</v>
      </c>
      <c r="G180" s="495">
        <f t="shared" si="34"/>
        <v>0</v>
      </c>
      <c r="H180" s="494"/>
      <c r="I180" s="495"/>
      <c r="K180" s="532">
        <f>$G180*Multipliers!D226</f>
        <v>0</v>
      </c>
      <c r="L180" s="532">
        <f>$G180*Multipliers!E226</f>
        <v>0</v>
      </c>
      <c r="M180" s="532">
        <f>$G180*Multipliers!F226</f>
        <v>0</v>
      </c>
      <c r="N180" s="532">
        <f t="shared" si="35"/>
        <v>0</v>
      </c>
      <c r="O180" s="533">
        <f>$G180*Multipliers!H226</f>
        <v>0</v>
      </c>
      <c r="P180" s="533">
        <f>$G180*Multipliers!I226</f>
        <v>0</v>
      </c>
      <c r="Q180" s="533">
        <f>$G180*Multipliers!J226</f>
        <v>0</v>
      </c>
      <c r="R180" s="533">
        <f t="shared" si="36"/>
        <v>0</v>
      </c>
      <c r="S180" s="533">
        <f>$G180*Multipliers!L226</f>
        <v>0</v>
      </c>
      <c r="T180" s="533">
        <f>$G180*Multipliers!M226</f>
        <v>0</v>
      </c>
      <c r="U180" s="533">
        <f>$G180*Multipliers!N226</f>
        <v>0</v>
      </c>
      <c r="V180" s="533">
        <f t="shared" si="37"/>
        <v>0</v>
      </c>
      <c r="W180" s="533">
        <f>$G180*Multipliers!P226</f>
        <v>0</v>
      </c>
      <c r="X180" s="533">
        <f>$G180*Multipliers!Q226</f>
        <v>0</v>
      </c>
      <c r="Y180" s="533">
        <f>$G180*Multipliers!R226</f>
        <v>0</v>
      </c>
      <c r="Z180" s="533">
        <f t="shared" si="38"/>
        <v>0</v>
      </c>
    </row>
    <row r="181" spans="2:26" s="219" customFormat="1" x14ac:dyDescent="0.25">
      <c r="B181" s="493" t="s">
        <v>624</v>
      </c>
      <c r="C181" s="494">
        <f>SUM(C167:C180)</f>
        <v>0</v>
      </c>
      <c r="D181" s="494">
        <f>SUM(D167:D180)</f>
        <v>0</v>
      </c>
      <c r="E181" s="494">
        <f>SUM(E167:E180)</f>
        <v>0</v>
      </c>
      <c r="F181" s="494">
        <f>SUM(F167:F180)</f>
        <v>0</v>
      </c>
      <c r="G181" s="513">
        <f>SUM(G167:G180)</f>
        <v>0</v>
      </c>
      <c r="H181" s="494"/>
      <c r="I181" s="495"/>
      <c r="J181" s="482" t="s">
        <v>624</v>
      </c>
      <c r="K181" s="532">
        <f>SUM(K167:K180)</f>
        <v>0</v>
      </c>
      <c r="L181" s="532">
        <f t="shared" ref="L181:V181" si="39">SUM(L167:L180)</f>
        <v>0</v>
      </c>
      <c r="M181" s="532">
        <f t="shared" si="39"/>
        <v>0</v>
      </c>
      <c r="N181" s="532">
        <f t="shared" si="39"/>
        <v>0</v>
      </c>
      <c r="O181" s="533">
        <f t="shared" si="39"/>
        <v>0</v>
      </c>
      <c r="P181" s="533">
        <f t="shared" si="39"/>
        <v>0</v>
      </c>
      <c r="Q181" s="533">
        <f t="shared" si="39"/>
        <v>0</v>
      </c>
      <c r="R181" s="533">
        <f t="shared" si="39"/>
        <v>0</v>
      </c>
      <c r="S181" s="533">
        <f t="shared" si="39"/>
        <v>0</v>
      </c>
      <c r="T181" s="533">
        <f t="shared" si="39"/>
        <v>0</v>
      </c>
      <c r="U181" s="533">
        <f t="shared" si="39"/>
        <v>0</v>
      </c>
      <c r="V181" s="533">
        <f t="shared" si="39"/>
        <v>0</v>
      </c>
      <c r="W181" s="533">
        <f t="shared" ref="W181:Z181" si="40">SUM(W167:W180)</f>
        <v>0</v>
      </c>
      <c r="X181" s="533">
        <f t="shared" si="40"/>
        <v>0</v>
      </c>
      <c r="Y181" s="533">
        <f t="shared" si="40"/>
        <v>0</v>
      </c>
      <c r="Z181" s="533">
        <f t="shared" si="40"/>
        <v>0</v>
      </c>
    </row>
    <row r="182" spans="2:26" s="219" customFormat="1" x14ac:dyDescent="0.25">
      <c r="B182" s="535"/>
      <c r="D182" s="494" t="s">
        <v>1140</v>
      </c>
      <c r="F182" s="773">
        <f>IF(ProjectData!$B11="simple",'Rates &amp; Misc'!$C12,ProjectData!$B202)</f>
        <v>2.5</v>
      </c>
      <c r="G182" s="773">
        <f>IF(ProjectData!$B11="simple",'Rates &amp; Misc'!$C10,ProjectData!$B190)</f>
        <v>1.5</v>
      </c>
      <c r="H182" s="773">
        <f>IF(ProjectData!$B11="simple",'Rates &amp; Misc'!$C10,ProjectData!$B190)</f>
        <v>1.5</v>
      </c>
      <c r="K182" s="532"/>
      <c r="L182" s="532"/>
      <c r="M182" s="532"/>
      <c r="N182" s="532"/>
      <c r="O182" s="533"/>
      <c r="P182" s="533"/>
      <c r="Q182" s="533"/>
      <c r="R182" s="533"/>
      <c r="S182" s="533"/>
      <c r="T182" s="533"/>
      <c r="U182" s="533"/>
      <c r="V182" s="533"/>
      <c r="W182" s="533"/>
      <c r="X182" s="533"/>
      <c r="Y182" s="533"/>
      <c r="Z182" s="533"/>
    </row>
    <row r="183" spans="2:26" s="219" customFormat="1" x14ac:dyDescent="0.25">
      <c r="B183" s="493" t="s">
        <v>844</v>
      </c>
      <c r="D183" s="487" t="s">
        <v>845</v>
      </c>
      <c r="F183" s="494">
        <f>F109</f>
        <v>1037682.3960194002</v>
      </c>
      <c r="G183" s="495">
        <f>G145</f>
        <v>3.6366468564319367</v>
      </c>
      <c r="H183" s="495">
        <f>G155</f>
        <v>0.68927945074333064</v>
      </c>
      <c r="K183" s="536"/>
      <c r="L183" s="536"/>
      <c r="M183" s="536"/>
      <c r="N183" s="537"/>
      <c r="O183" s="533"/>
      <c r="P183" s="533"/>
      <c r="Q183" s="533"/>
      <c r="R183" s="533"/>
      <c r="S183" s="533"/>
      <c r="T183" s="533"/>
      <c r="U183" s="533"/>
      <c r="V183" s="533"/>
      <c r="W183" s="533"/>
      <c r="X183" s="533"/>
      <c r="Y183" s="533"/>
      <c r="Z183" s="533"/>
    </row>
    <row r="184" spans="2:26" s="219" customFormat="1" x14ac:dyDescent="0.25">
      <c r="B184" s="493" t="s">
        <v>844</v>
      </c>
      <c r="D184" s="487" t="s">
        <v>846</v>
      </c>
      <c r="E184" s="413">
        <v>7.0999999999999994E-2</v>
      </c>
      <c r="F184" s="300">
        <f>$E184*(F183*((F182-1)/F182))</f>
        <v>44205.270070426443</v>
      </c>
      <c r="G184" s="1041">
        <f>$E184*(G183*((G182-1)/G182))</f>
        <v>8.6067308935555822E-2</v>
      </c>
      <c r="H184" s="1041">
        <f>$E184*(H183*((H182-1)/H182))</f>
        <v>1.631294700092549E-2</v>
      </c>
      <c r="N184" s="219" t="s">
        <v>847</v>
      </c>
      <c r="O184" s="510">
        <f>C139</f>
        <v>2010</v>
      </c>
      <c r="P184" s="510" t="s">
        <v>806</v>
      </c>
      <c r="S184" s="510">
        <f>O184</f>
        <v>2010</v>
      </c>
      <c r="T184" s="510" t="s">
        <v>806</v>
      </c>
      <c r="W184" s="510">
        <f>S184</f>
        <v>2010</v>
      </c>
      <c r="X184" s="510" t="s">
        <v>806</v>
      </c>
    </row>
    <row r="185" spans="2:26" s="219" customFormat="1" x14ac:dyDescent="0.25">
      <c r="B185" s="503" t="s">
        <v>1018</v>
      </c>
      <c r="C185" s="497">
        <f>'Default Data'!AA154</f>
        <v>7.8564406519505416</v>
      </c>
      <c r="D185" s="526" t="s">
        <v>848</v>
      </c>
      <c r="E185" s="413">
        <v>0.3</v>
      </c>
      <c r="F185" s="300">
        <f>$E185*(F183*((F182-1)/F182))</f>
        <v>186782.83128349201</v>
      </c>
      <c r="G185" s="1041">
        <f>$E185*(G183*((G182-1)/G182))</f>
        <v>0.3636646856431936</v>
      </c>
      <c r="H185" s="1041">
        <f>$E185*(H183*((H182-1)/H182))</f>
        <v>6.8927945074333058E-2</v>
      </c>
      <c r="J185" s="526" t="s">
        <v>849</v>
      </c>
      <c r="K185" s="219">
        <f>K181</f>
        <v>0</v>
      </c>
      <c r="L185" s="219">
        <f>L181</f>
        <v>0</v>
      </c>
      <c r="M185" s="219">
        <f>M181</f>
        <v>0</v>
      </c>
      <c r="N185" s="219">
        <f>N181</f>
        <v>0</v>
      </c>
      <c r="O185" s="495">
        <f>O181*$H159</f>
        <v>0</v>
      </c>
      <c r="P185" s="495">
        <f t="shared" ref="P185:V185" si="41">P181*$H159</f>
        <v>0</v>
      </c>
      <c r="Q185" s="495">
        <f t="shared" si="41"/>
        <v>0</v>
      </c>
      <c r="R185" s="495">
        <f t="shared" si="41"/>
        <v>0</v>
      </c>
      <c r="S185" s="495">
        <f t="shared" si="41"/>
        <v>0</v>
      </c>
      <c r="T185" s="495">
        <f t="shared" si="41"/>
        <v>0</v>
      </c>
      <c r="U185" s="495">
        <f t="shared" si="41"/>
        <v>0</v>
      </c>
      <c r="V185" s="495">
        <f t="shared" si="41"/>
        <v>0</v>
      </c>
      <c r="W185" s="495">
        <f t="shared" ref="W185:Z185" si="42">W181*$H159</f>
        <v>0</v>
      </c>
      <c r="X185" s="495">
        <f t="shared" si="42"/>
        <v>0</v>
      </c>
      <c r="Y185" s="495">
        <f t="shared" si="42"/>
        <v>0</v>
      </c>
      <c r="Z185" s="495">
        <f t="shared" si="42"/>
        <v>0</v>
      </c>
    </row>
    <row r="186" spans="2:26" s="219" customFormat="1" x14ac:dyDescent="0.25">
      <c r="B186" s="540"/>
      <c r="C186" s="539">
        <v>0</v>
      </c>
      <c r="D186" s="219" t="s">
        <v>1139</v>
      </c>
      <c r="E186" s="837">
        <f>1-(E185+E184)</f>
        <v>0.629</v>
      </c>
      <c r="F186" s="300">
        <f>$E186*(F183*((F182-1)/F182))</f>
        <v>391621.33625772159</v>
      </c>
      <c r="G186" s="1041">
        <f>$E186*(G183*((G182-1)/G182))</f>
        <v>0.76248362423189597</v>
      </c>
      <c r="H186" s="1041">
        <f>$E186*(H183*((H182-1)/H182))</f>
        <v>0.14451892483918499</v>
      </c>
      <c r="J186" s="526" t="s">
        <v>851</v>
      </c>
      <c r="K186" s="219">
        <f>K185+K206</f>
        <v>7.8564406519505416</v>
      </c>
      <c r="L186" s="219">
        <f>L185+L206</f>
        <v>3.1864489250259975</v>
      </c>
      <c r="M186" s="219">
        <f>M185+M206</f>
        <v>2.9495745036543837</v>
      </c>
      <c r="N186" s="219">
        <f>N185+N206</f>
        <v>13.992464080630924</v>
      </c>
      <c r="O186" s="495">
        <f>(O181+O206)*$H159</f>
        <v>1.0376823960194004</v>
      </c>
      <c r="P186" s="495">
        <f t="shared" ref="P186:V186" si="43">(P181+P206)*$H159</f>
        <v>0.13201271607993253</v>
      </c>
      <c r="Q186" s="495">
        <f t="shared" si="43"/>
        <v>0.11427415825491577</v>
      </c>
      <c r="R186" s="495">
        <f t="shared" si="43"/>
        <v>1.2839692703542487</v>
      </c>
      <c r="S186" s="495">
        <f t="shared" si="43"/>
        <v>1.0376823960194004</v>
      </c>
      <c r="T186" s="495">
        <f t="shared" si="43"/>
        <v>0.45346516203077131</v>
      </c>
      <c r="U186" s="495">
        <f t="shared" si="43"/>
        <v>0.36695514891243719</v>
      </c>
      <c r="V186" s="495">
        <f t="shared" si="43"/>
        <v>1.858102706962609</v>
      </c>
      <c r="W186" s="495">
        <f t="shared" ref="W186:Z186" si="44">(W181+W206)*$H159</f>
        <v>1.0376823960194004</v>
      </c>
      <c r="X186" s="495">
        <f t="shared" si="44"/>
        <v>0.23133178576818583</v>
      </c>
      <c r="Y186" s="495">
        <f t="shared" si="44"/>
        <v>0.19464932133035739</v>
      </c>
      <c r="Z186" s="495">
        <f t="shared" si="44"/>
        <v>1.4636635031179437</v>
      </c>
    </row>
    <row r="187" spans="2:26" s="219" customFormat="1" x14ac:dyDescent="0.25">
      <c r="B187" s="540"/>
      <c r="C187" s="539">
        <v>0</v>
      </c>
      <c r="D187" s="487" t="s">
        <v>850</v>
      </c>
      <c r="F187" s="494">
        <f>F183-(F184+F185+F186)</f>
        <v>415072.95840776025</v>
      </c>
      <c r="G187" s="495">
        <f>G183-(G184+G185+G186)</f>
        <v>2.4244312376212913</v>
      </c>
      <c r="H187" s="495">
        <f>H183-(H184+H185+H186)</f>
        <v>0.45951963382888711</v>
      </c>
    </row>
    <row r="188" spans="2:26" s="219" customFormat="1" x14ac:dyDescent="0.25">
      <c r="B188" s="540" t="s">
        <v>788</v>
      </c>
      <c r="C188" s="496">
        <f>+C187+C186+C185</f>
        <v>7.8564406519505416</v>
      </c>
    </row>
    <row r="189" spans="2:26" s="219" customFormat="1" x14ac:dyDescent="0.25">
      <c r="B189" s="540"/>
      <c r="C189" s="496"/>
      <c r="K189" s="510" t="s">
        <v>852</v>
      </c>
    </row>
    <row r="190" spans="2:26" s="219" customFormat="1" x14ac:dyDescent="0.25">
      <c r="B190" s="487" t="s">
        <v>853</v>
      </c>
      <c r="E190" s="478" t="s">
        <v>854</v>
      </c>
      <c r="G190" s="526" t="s">
        <v>836</v>
      </c>
      <c r="H190" s="525"/>
      <c r="K190" s="484" t="s">
        <v>135</v>
      </c>
      <c r="L190" s="484"/>
      <c r="M190" s="484"/>
      <c r="N190" s="484"/>
      <c r="O190" s="484" t="s">
        <v>134</v>
      </c>
      <c r="P190" s="484"/>
      <c r="Q190" s="484"/>
      <c r="R190" s="484"/>
      <c r="S190" s="484" t="s">
        <v>133</v>
      </c>
      <c r="W190" s="484" t="s">
        <v>1420</v>
      </c>
    </row>
    <row r="191" spans="2:26" s="219" customFormat="1" x14ac:dyDescent="0.25">
      <c r="E191" s="478" t="s">
        <v>855</v>
      </c>
      <c r="G191" s="525">
        <f>G166</f>
        <v>2014</v>
      </c>
      <c r="H191" s="526" t="s">
        <v>806</v>
      </c>
      <c r="K191" s="484" t="s">
        <v>621</v>
      </c>
      <c r="L191" s="484" t="s">
        <v>622</v>
      </c>
      <c r="M191" s="484" t="s">
        <v>623</v>
      </c>
      <c r="N191" s="484" t="s">
        <v>624</v>
      </c>
      <c r="O191" s="484" t="s">
        <v>621</v>
      </c>
      <c r="P191" s="484" t="s">
        <v>622</v>
      </c>
      <c r="Q191" s="484" t="s">
        <v>623</v>
      </c>
      <c r="R191" s="484" t="s">
        <v>624</v>
      </c>
      <c r="S191" s="484" t="s">
        <v>621</v>
      </c>
      <c r="T191" s="484" t="s">
        <v>622</v>
      </c>
      <c r="U191" s="484" t="s">
        <v>623</v>
      </c>
      <c r="V191" s="484" t="s">
        <v>624</v>
      </c>
      <c r="W191" s="484" t="s">
        <v>621</v>
      </c>
      <c r="X191" s="484" t="s">
        <v>622</v>
      </c>
      <c r="Y191" s="484" t="s">
        <v>623</v>
      </c>
      <c r="Z191" s="484" t="s">
        <v>624</v>
      </c>
    </row>
    <row r="192" spans="2:26" s="219" customFormat="1" x14ac:dyDescent="0.25">
      <c r="B192" s="493" t="s">
        <v>592</v>
      </c>
      <c r="E192" s="494">
        <f>F$187*Multipliers!U213</f>
        <v>3939.7690400443121</v>
      </c>
      <c r="G192" s="495">
        <f>E192*F$139/10^6</f>
        <v>4.2346268538065506E-3</v>
      </c>
      <c r="K192" s="484"/>
      <c r="L192" s="536">
        <f>$G192*Multipliers!E213</f>
        <v>7.0311319543047788E-3</v>
      </c>
      <c r="M192" s="536">
        <f>$G192*Multipliers!F213</f>
        <v>1.0468194901798912E-2</v>
      </c>
      <c r="N192" s="536">
        <f>M192+L192</f>
        <v>1.749932685610369E-2</v>
      </c>
      <c r="O192" s="484"/>
      <c r="P192" s="552">
        <f>$G192*Multipliers!I213</f>
        <v>4.8311407756752097E-4</v>
      </c>
      <c r="Q192" s="552">
        <f>$G192*Multipliers!J213</f>
        <v>4.4888202021034506E-4</v>
      </c>
      <c r="R192" s="552">
        <f>Q192+P192</f>
        <v>9.3199609777786603E-4</v>
      </c>
      <c r="S192" s="552">
        <f>$G192*Multipliers!L213</f>
        <v>4.2346268538065506E-3</v>
      </c>
      <c r="T192" s="552">
        <f>$G192*Multipliers!M213</f>
        <v>1.5436418260907051E-3</v>
      </c>
      <c r="U192" s="552">
        <f>$G192*Multipliers!N213</f>
        <v>1.4401417806470388E-3</v>
      </c>
      <c r="V192" s="552">
        <f>U192+T192</f>
        <v>2.9837836067377436E-3</v>
      </c>
      <c r="W192" s="552"/>
      <c r="X192" s="552">
        <f>$G192*Multipliers!Q213</f>
        <v>7.9714303469421782E-4</v>
      </c>
      <c r="Y192" s="552">
        <f>$G192*Multipliers!R213</f>
        <v>7.6415201344886218E-4</v>
      </c>
      <c r="Z192" s="552">
        <f>Y192+X192</f>
        <v>1.5612950481430801E-3</v>
      </c>
    </row>
    <row r="193" spans="2:26" s="219" customFormat="1" x14ac:dyDescent="0.25">
      <c r="B193" s="493" t="s">
        <v>593</v>
      </c>
      <c r="C193" s="494"/>
      <c r="E193" s="494">
        <f>F$187*Multipliers!U214</f>
        <v>1.5244378782763195</v>
      </c>
      <c r="G193" s="495">
        <f t="shared" ref="G193:G205" si="45">E193*F$139/10^6</f>
        <v>1.6385289367714249E-6</v>
      </c>
      <c r="I193" s="541"/>
      <c r="J193" s="541"/>
      <c r="K193" s="541"/>
      <c r="L193" s="536">
        <f>$G193*Multipliers!E214</f>
        <v>3.1438068535242135E-6</v>
      </c>
      <c r="M193" s="536">
        <f>$G193*Multipliers!F214</f>
        <v>2.7186767738913118E-6</v>
      </c>
      <c r="N193" s="536">
        <f t="shared" ref="N193:N205" si="46">M193+L193</f>
        <v>5.8624836274155258E-6</v>
      </c>
      <c r="O193" s="533"/>
      <c r="P193" s="552">
        <f>$G193*Multipliers!I214</f>
        <v>1.3761500380739373E-7</v>
      </c>
      <c r="Q193" s="552">
        <f>$G193*Multipliers!J214</f>
        <v>1.0147664980591307E-7</v>
      </c>
      <c r="R193" s="552">
        <f t="shared" ref="R193:R205" si="47">Q193+P193</f>
        <v>2.3909165361330677E-7</v>
      </c>
      <c r="S193" s="552">
        <f>$G193*Multipliers!L214</f>
        <v>1.6385289367714249E-6</v>
      </c>
      <c r="T193" s="552">
        <f>$G193*Multipliers!M214</f>
        <v>5.0694028204333566E-7</v>
      </c>
      <c r="U193" s="552">
        <f>$G193*Multipliers!N214</f>
        <v>3.2580854821571103E-7</v>
      </c>
      <c r="V193" s="552">
        <f t="shared" ref="V193:V205" si="48">U193+T193</f>
        <v>8.3274883025904669E-7</v>
      </c>
      <c r="W193" s="552"/>
      <c r="X193" s="552">
        <f>$G193*Multipliers!Q214</f>
        <v>2.2829855576315876E-7</v>
      </c>
      <c r="Y193" s="552">
        <f>$G193*Multipliers!R214</f>
        <v>1.7283274093141639E-7</v>
      </c>
      <c r="Z193" s="552">
        <f t="shared" ref="Z193:Z205" si="49">Y193+X193</f>
        <v>4.0113129669457515E-7</v>
      </c>
    </row>
    <row r="194" spans="2:26" s="219" customFormat="1" x14ac:dyDescent="0.25">
      <c r="B194" s="493" t="s">
        <v>595</v>
      </c>
      <c r="C194" s="494"/>
      <c r="E194" s="494">
        <f>F$187*Multipliers!U215</f>
        <v>0</v>
      </c>
      <c r="G194" s="495">
        <f t="shared" si="45"/>
        <v>0</v>
      </c>
      <c r="I194" s="541"/>
      <c r="J194" s="541"/>
      <c r="K194" s="541"/>
      <c r="L194" s="536">
        <f>$G194*Multipliers!E215</f>
        <v>0</v>
      </c>
      <c r="M194" s="536">
        <f>$G194*Multipliers!F215</f>
        <v>0</v>
      </c>
      <c r="N194" s="536">
        <f t="shared" si="46"/>
        <v>0</v>
      </c>
      <c r="O194" s="533"/>
      <c r="P194" s="552">
        <f>$G194*Multipliers!I215</f>
        <v>0</v>
      </c>
      <c r="Q194" s="552">
        <f>$G194*Multipliers!J215</f>
        <v>0</v>
      </c>
      <c r="R194" s="552">
        <f t="shared" si="47"/>
        <v>0</v>
      </c>
      <c r="S194" s="552">
        <f>$G194*Multipliers!L215</f>
        <v>0</v>
      </c>
      <c r="T194" s="552">
        <f>$G194*Multipliers!M215</f>
        <v>0</v>
      </c>
      <c r="U194" s="552">
        <f>$G194*Multipliers!N215</f>
        <v>0</v>
      </c>
      <c r="V194" s="552">
        <f t="shared" si="48"/>
        <v>0</v>
      </c>
      <c r="W194" s="552"/>
      <c r="X194" s="552">
        <f>$G194*Multipliers!Q215</f>
        <v>0</v>
      </c>
      <c r="Y194" s="552">
        <f>$G194*Multipliers!R215</f>
        <v>0</v>
      </c>
      <c r="Z194" s="552">
        <f t="shared" si="49"/>
        <v>0</v>
      </c>
    </row>
    <row r="195" spans="2:26" s="219" customFormat="1" x14ac:dyDescent="0.25">
      <c r="B195" s="493" t="s">
        <v>596</v>
      </c>
      <c r="C195" s="494"/>
      <c r="E195" s="494">
        <f>F$187*Multipliers!U216</f>
        <v>14461.431831137061</v>
      </c>
      <c r="G195" s="495">
        <f t="shared" si="45"/>
        <v>1.554374557345551E-2</v>
      </c>
      <c r="I195" s="541"/>
      <c r="J195" s="541"/>
      <c r="K195" s="541"/>
      <c r="L195" s="536">
        <f>$G195*Multipliers!E216</f>
        <v>3.3978350310992826E-2</v>
      </c>
      <c r="M195" s="536">
        <f>$G195*Multipliers!F216</f>
        <v>2.0138778390837917E-2</v>
      </c>
      <c r="N195" s="536">
        <f t="shared" si="46"/>
        <v>5.4117128701830747E-2</v>
      </c>
      <c r="O195" s="533"/>
      <c r="P195" s="552">
        <f>$G195*Multipliers!I216</f>
        <v>1.7378924373419153E-3</v>
      </c>
      <c r="Q195" s="552">
        <f>$G195*Multipliers!J216</f>
        <v>7.7478985100499131E-4</v>
      </c>
      <c r="R195" s="552">
        <f t="shared" si="47"/>
        <v>2.5126822883469067E-3</v>
      </c>
      <c r="S195" s="552">
        <f>$G195*Multipliers!L216</f>
        <v>1.554374557345551E-2</v>
      </c>
      <c r="T195" s="552">
        <f>$G195*Multipliers!M216</f>
        <v>6.1706643234328258E-3</v>
      </c>
      <c r="U195" s="552">
        <f>$G195*Multipliers!N216</f>
        <v>2.4879792197847785E-3</v>
      </c>
      <c r="V195" s="552">
        <f t="shared" si="48"/>
        <v>8.6586435432176034E-3</v>
      </c>
      <c r="W195" s="552"/>
      <c r="X195" s="552">
        <f>$G195*Multipliers!Q216</f>
        <v>2.9062939487523795E-3</v>
      </c>
      <c r="Y195" s="552">
        <f>$G195*Multipliers!R216</f>
        <v>1.3197368312169982E-3</v>
      </c>
      <c r="Z195" s="552">
        <f t="shared" si="49"/>
        <v>4.2260307799693777E-3</v>
      </c>
    </row>
    <row r="196" spans="2:26" s="219" customFormat="1" x14ac:dyDescent="0.25">
      <c r="B196" s="493" t="s">
        <v>598</v>
      </c>
      <c r="C196" s="494"/>
      <c r="E196" s="494">
        <f>F$187*Multipliers!U217</f>
        <v>0.2215820060657144</v>
      </c>
      <c r="G196" s="495">
        <f t="shared" si="45"/>
        <v>2.381655126655969E-7</v>
      </c>
      <c r="I196" s="541"/>
      <c r="J196" s="541"/>
      <c r="K196" s="541"/>
      <c r="L196" s="536">
        <f>$G196*Multipliers!E217</f>
        <v>4.4501086007697537E-7</v>
      </c>
      <c r="M196" s="536">
        <f>$G196*Multipliers!F217</f>
        <v>4.371012492609286E-7</v>
      </c>
      <c r="N196" s="536">
        <f t="shared" si="46"/>
        <v>8.8211210933790397E-7</v>
      </c>
      <c r="O196" s="533"/>
      <c r="P196" s="552">
        <f>$G196*Multipliers!I217</f>
        <v>2.0138824893890727E-8</v>
      </c>
      <c r="Q196" s="552">
        <f>$G196*Multipliers!J217</f>
        <v>1.6557677318359111E-8</v>
      </c>
      <c r="R196" s="552">
        <f t="shared" si="47"/>
        <v>3.6696502212249841E-8</v>
      </c>
      <c r="S196" s="552">
        <f>$G196*Multipliers!L217</f>
        <v>2.381655126655969E-7</v>
      </c>
      <c r="T196" s="552">
        <f>$G196*Multipliers!M217</f>
        <v>7.5472667099082817E-8</v>
      </c>
      <c r="U196" s="552">
        <f>$G196*Multipliers!N217</f>
        <v>5.3177964211761502E-8</v>
      </c>
      <c r="V196" s="552">
        <f t="shared" si="48"/>
        <v>1.2865063131084433E-7</v>
      </c>
      <c r="W196" s="552"/>
      <c r="X196" s="552">
        <f>$G196*Multipliers!Q217</f>
        <v>3.4179136013787309E-8</v>
      </c>
      <c r="Y196" s="552">
        <f>$G196*Multipliers!R217</f>
        <v>2.8206448228574652E-8</v>
      </c>
      <c r="Z196" s="552">
        <f t="shared" si="49"/>
        <v>6.2385584242361961E-8</v>
      </c>
    </row>
    <row r="197" spans="2:26" s="219" customFormat="1" x14ac:dyDescent="0.25">
      <c r="B197" s="493" t="s">
        <v>599</v>
      </c>
      <c r="C197" s="494"/>
      <c r="E197" s="494">
        <f>F$187*Multipliers!U218</f>
        <v>7.8312287261484483</v>
      </c>
      <c r="F197" s="495"/>
      <c r="G197" s="495">
        <f t="shared" si="45"/>
        <v>8.4173288141978233E-6</v>
      </c>
      <c r="H197" s="541"/>
      <c r="I197" s="541"/>
      <c r="J197" s="541"/>
      <c r="K197" s="541"/>
      <c r="L197" s="536">
        <f>$G197*Multipliers!E218</f>
        <v>1.7316157556964788E-5</v>
      </c>
      <c r="M197" s="536">
        <f>$G197*Multipliers!F218</f>
        <v>1.0340215488484672E-5</v>
      </c>
      <c r="N197" s="536">
        <f t="shared" si="46"/>
        <v>2.7656373045449458E-5</v>
      </c>
      <c r="O197" s="533"/>
      <c r="P197" s="552">
        <f>$G197*Multipliers!I218</f>
        <v>8.0718219081729972E-7</v>
      </c>
      <c r="Q197" s="552">
        <f>$G197*Multipliers!J218</f>
        <v>3.9065160073732169E-7</v>
      </c>
      <c r="R197" s="552">
        <f t="shared" si="47"/>
        <v>1.1978337915546214E-6</v>
      </c>
      <c r="S197" s="552">
        <f>$G197*Multipliers!L218</f>
        <v>8.4173288141978233E-6</v>
      </c>
      <c r="T197" s="552">
        <f>$G197*Multipliers!M218</f>
        <v>3.0386923389347565E-6</v>
      </c>
      <c r="U197" s="552">
        <f>$G197*Multipliers!N218</f>
        <v>1.2545904199101179E-6</v>
      </c>
      <c r="V197" s="552">
        <f t="shared" si="48"/>
        <v>4.2932827588448743E-6</v>
      </c>
      <c r="W197" s="552"/>
      <c r="X197" s="552">
        <f>$G197*Multipliers!Q218</f>
        <v>1.3739919555502096E-6</v>
      </c>
      <c r="Y197" s="552">
        <f>$G197*Multipliers!R218</f>
        <v>6.6546551355908194E-7</v>
      </c>
      <c r="Z197" s="552">
        <f t="shared" si="49"/>
        <v>2.0394574691092913E-6</v>
      </c>
    </row>
    <row r="198" spans="2:26" s="219" customFormat="1" x14ac:dyDescent="0.25">
      <c r="B198" s="493" t="s">
        <v>601</v>
      </c>
      <c r="C198" s="494"/>
      <c r="E198" s="494">
        <f>F$187*Multipliers!U219</f>
        <v>9.9702119199909038</v>
      </c>
      <c r="F198" s="495"/>
      <c r="G198" s="495">
        <f t="shared" si="45"/>
        <v>1.071639649568412E-5</v>
      </c>
      <c r="H198" s="541"/>
      <c r="I198" s="541"/>
      <c r="J198" s="541"/>
      <c r="K198" s="541"/>
      <c r="L198" s="536">
        <f>$G198*Multipliers!E219</f>
        <v>2.4385455122757018E-5</v>
      </c>
      <c r="M198" s="536">
        <f>$G198*Multipliers!F219</f>
        <v>1.8732935056780112E-5</v>
      </c>
      <c r="N198" s="536">
        <f t="shared" si="46"/>
        <v>4.3118390179537134E-5</v>
      </c>
      <c r="O198" s="533"/>
      <c r="P198" s="552">
        <f>$G198*Multipliers!I219</f>
        <v>1.2126119282827719E-6</v>
      </c>
      <c r="Q198" s="552">
        <f>$G198*Multipliers!J219</f>
        <v>7.0420500117934991E-7</v>
      </c>
      <c r="R198" s="552">
        <f t="shared" si="47"/>
        <v>1.9168169294621216E-6</v>
      </c>
      <c r="S198" s="552">
        <f>$G198*Multipliers!L219</f>
        <v>1.071639649568412E-5</v>
      </c>
      <c r="T198" s="552">
        <f>$G198*Multipliers!M219</f>
        <v>4.4508325753741657E-6</v>
      </c>
      <c r="U198" s="552">
        <f>$G198*Multipliers!N219</f>
        <v>2.2617360812178507E-6</v>
      </c>
      <c r="V198" s="552">
        <f t="shared" si="48"/>
        <v>6.7125686565920164E-6</v>
      </c>
      <c r="W198" s="552"/>
      <c r="X198" s="552">
        <f>$G198*Multipliers!Q219</f>
        <v>2.0255299932400832E-6</v>
      </c>
      <c r="Y198" s="552">
        <f>$G198*Multipliers!R219</f>
        <v>1.199651591836215E-6</v>
      </c>
      <c r="Z198" s="552">
        <f t="shared" si="49"/>
        <v>3.2251815850762983E-6</v>
      </c>
    </row>
    <row r="199" spans="2:26" s="219" customFormat="1" x14ac:dyDescent="0.25">
      <c r="B199" s="493" t="s">
        <v>602</v>
      </c>
      <c r="C199" s="494"/>
      <c r="E199" s="494">
        <f>F$187*Multipliers!U220</f>
        <v>18654.139787530748</v>
      </c>
      <c r="F199" s="495"/>
      <c r="G199" s="495">
        <f t="shared" si="45"/>
        <v>2.0050241645142342E-2</v>
      </c>
      <c r="H199" s="541"/>
      <c r="I199" s="541"/>
      <c r="J199" s="541"/>
      <c r="K199" s="541"/>
      <c r="L199" s="536">
        <f>$G199*Multipliers!E220</f>
        <v>5.2114483973155892E-2</v>
      </c>
      <c r="M199" s="536">
        <f>$G199*Multipliers!F220</f>
        <v>3.9201816813515221E-2</v>
      </c>
      <c r="N199" s="536">
        <f t="shared" si="46"/>
        <v>9.1316300786671106E-2</v>
      </c>
      <c r="O199" s="533"/>
      <c r="P199" s="552">
        <f>$G199*Multipliers!I220</f>
        <v>2.3990266270226025E-3</v>
      </c>
      <c r="Q199" s="552">
        <f>$G199*Multipliers!J220</f>
        <v>1.4974170398429222E-3</v>
      </c>
      <c r="R199" s="552">
        <f t="shared" si="47"/>
        <v>3.8964436668655249E-3</v>
      </c>
      <c r="S199" s="552">
        <f>$G199*Multipliers!L220</f>
        <v>2.0050241645142342E-2</v>
      </c>
      <c r="T199" s="552">
        <f>$G199*Multipliers!M220</f>
        <v>8.6755538872300073E-3</v>
      </c>
      <c r="U199" s="552">
        <f>$G199*Multipliers!N220</f>
        <v>4.8081577191191284E-3</v>
      </c>
      <c r="V199" s="552">
        <f t="shared" si="48"/>
        <v>1.3483711606349136E-2</v>
      </c>
      <c r="W199" s="552"/>
      <c r="X199" s="552">
        <f>$G199*Multipliers!Q220</f>
        <v>4.0712341814189762E-3</v>
      </c>
      <c r="Y199" s="552">
        <f>$G199*Multipliers!R220</f>
        <v>2.5505193583186037E-3</v>
      </c>
      <c r="Z199" s="552">
        <f t="shared" si="49"/>
        <v>6.6217535397375803E-3</v>
      </c>
    </row>
    <row r="200" spans="2:26" s="219" customFormat="1" x14ac:dyDescent="0.25">
      <c r="B200" s="493" t="s">
        <v>603</v>
      </c>
      <c r="C200" s="494"/>
      <c r="E200" s="494">
        <f>F$187*Multipliers!U221</f>
        <v>19041.58359803884</v>
      </c>
      <c r="F200" s="495"/>
      <c r="G200" s="495">
        <f t="shared" si="45"/>
        <v>2.0466682291191036E-2</v>
      </c>
      <c r="H200" s="541"/>
      <c r="I200" s="541"/>
      <c r="J200" s="541"/>
      <c r="K200" s="541"/>
      <c r="L200" s="536">
        <f>$G200*Multipliers!E221</f>
        <v>5.3409301458281093E-2</v>
      </c>
      <c r="M200" s="536">
        <f>$G200*Multipliers!F221</f>
        <v>4.6149121952838143E-2</v>
      </c>
      <c r="N200" s="536">
        <f t="shared" si="46"/>
        <v>9.9558423411119229E-2</v>
      </c>
      <c r="O200" s="533"/>
      <c r="P200" s="552">
        <f>$G200*Multipliers!I221</f>
        <v>2.4456238989076185E-3</v>
      </c>
      <c r="Q200" s="552">
        <f>$G200*Multipliers!J221</f>
        <v>1.9769207062490779E-3</v>
      </c>
      <c r="R200" s="552">
        <f t="shared" si="47"/>
        <v>4.4225446051566961E-3</v>
      </c>
      <c r="S200" s="552">
        <f>$G200*Multipliers!L221</f>
        <v>2.0466682291191036E-2</v>
      </c>
      <c r="T200" s="552">
        <f>$G200*Multipliers!M221</f>
        <v>7.966981397506347E-3</v>
      </c>
      <c r="U200" s="552">
        <f>$G200*Multipliers!N221</f>
        <v>6.3485240327224622E-3</v>
      </c>
      <c r="V200" s="552">
        <f t="shared" si="48"/>
        <v>1.431550543022881E-2</v>
      </c>
      <c r="W200" s="552"/>
      <c r="X200" s="552">
        <f>$G200*Multipliers!Q221</f>
        <v>4.2028374103517674E-3</v>
      </c>
      <c r="Y200" s="552">
        <f>$G200*Multipliers!R221</f>
        <v>3.3674901642764959E-3</v>
      </c>
      <c r="Z200" s="552">
        <f t="shared" si="49"/>
        <v>7.5703275746282633E-3</v>
      </c>
    </row>
    <row r="201" spans="2:26" s="219" customFormat="1" x14ac:dyDescent="0.25">
      <c r="B201" s="493" t="s">
        <v>604</v>
      </c>
      <c r="C201" s="494"/>
      <c r="E201" s="494">
        <f>F$187*Multipliers!U222</f>
        <v>49227.616938439445</v>
      </c>
      <c r="F201" s="495"/>
      <c r="G201" s="495">
        <f t="shared" si="45"/>
        <v>5.291188049796778E-2</v>
      </c>
      <c r="H201" s="541"/>
      <c r="I201" s="541"/>
      <c r="J201" s="541"/>
      <c r="K201" s="541"/>
      <c r="L201" s="536">
        <f>$G201*Multipliers!E222</f>
        <v>0.13276610512836934</v>
      </c>
      <c r="M201" s="536">
        <f>$G201*Multipliers!F222</f>
        <v>0.15352667453766231</v>
      </c>
      <c r="N201" s="536">
        <f t="shared" si="46"/>
        <v>0.28629277966603162</v>
      </c>
      <c r="O201" s="533"/>
      <c r="P201" s="552">
        <f>$G201*Multipliers!I222</f>
        <v>5.335429942874126E-3</v>
      </c>
      <c r="Q201" s="552">
        <f>$G201*Multipliers!J222</f>
        <v>6.0137794602379054E-3</v>
      </c>
      <c r="R201" s="552">
        <f t="shared" si="47"/>
        <v>1.1349209403112032E-2</v>
      </c>
      <c r="S201" s="552">
        <f>$G201*Multipliers!L222</f>
        <v>5.291188049796778E-2</v>
      </c>
      <c r="T201" s="552">
        <f>$G201*Multipliers!M222</f>
        <v>1.8680671526016098E-2</v>
      </c>
      <c r="U201" s="552">
        <f>$G201*Multipliers!N222</f>
        <v>1.9310815304512865E-2</v>
      </c>
      <c r="V201" s="552">
        <f t="shared" si="48"/>
        <v>3.7991486830528963E-2</v>
      </c>
      <c r="W201" s="552"/>
      <c r="X201" s="552">
        <f>$G201*Multipliers!Q222</f>
        <v>9.6336764357917194E-3</v>
      </c>
      <c r="Y201" s="552">
        <f>$G201*Multipliers!R222</f>
        <v>1.0243410437443356E-2</v>
      </c>
      <c r="Z201" s="552">
        <f t="shared" si="49"/>
        <v>1.9877086873235077E-2</v>
      </c>
    </row>
    <row r="202" spans="2:26" s="219" customFormat="1" x14ac:dyDescent="0.25">
      <c r="B202" s="493" t="s">
        <v>605</v>
      </c>
      <c r="C202" s="494"/>
      <c r="E202" s="494">
        <f>F$187*Multipliers!U223+F185</f>
        <v>242429.3019362535</v>
      </c>
      <c r="F202" s="495"/>
      <c r="G202" s="495">
        <f t="shared" si="45"/>
        <v>0.2605730492560267</v>
      </c>
      <c r="H202" s="541"/>
      <c r="I202" s="541"/>
      <c r="J202" s="541"/>
      <c r="K202" s="541"/>
      <c r="L202" s="536">
        <f>$G202*Multipliers!E223</f>
        <v>0.90614054936640076</v>
      </c>
      <c r="M202" s="536">
        <f>$G202*Multipliers!F223</f>
        <v>0.46135577994695159</v>
      </c>
      <c r="N202" s="536">
        <f t="shared" si="46"/>
        <v>1.3674963293133524</v>
      </c>
      <c r="O202" s="533"/>
      <c r="P202" s="552">
        <f>$G202*Multipliers!I223</f>
        <v>3.4092524449153068E-2</v>
      </c>
      <c r="Q202" s="552">
        <f>$G202*Multipliers!J223</f>
        <v>1.7770398482948851E-2</v>
      </c>
      <c r="R202" s="552">
        <f t="shared" si="47"/>
        <v>5.1862922932101915E-2</v>
      </c>
      <c r="S202" s="552">
        <f>$G202*Multipliers!L223</f>
        <v>0.2605730492560267</v>
      </c>
      <c r="T202" s="552">
        <f>$G202*Multipliers!M223</f>
        <v>0.13542644318033401</v>
      </c>
      <c r="U202" s="552">
        <f>$G202*Multipliers!N223</f>
        <v>5.7055300607884621E-2</v>
      </c>
      <c r="V202" s="552">
        <f t="shared" si="48"/>
        <v>0.19248174378821864</v>
      </c>
      <c r="W202" s="552"/>
      <c r="X202" s="552">
        <f>$G202*Multipliers!Q223</f>
        <v>6.7591595478378022E-2</v>
      </c>
      <c r="Y202" s="552">
        <f>$G202*Multipliers!R223</f>
        <v>3.0266252550087462E-2</v>
      </c>
      <c r="Z202" s="552">
        <f t="shared" si="49"/>
        <v>9.7857848028465477E-2</v>
      </c>
    </row>
    <row r="203" spans="2:26" s="219" customFormat="1" x14ac:dyDescent="0.25">
      <c r="B203" s="493" t="s">
        <v>606</v>
      </c>
      <c r="C203" s="494"/>
      <c r="E203" s="494">
        <f>F$187*Multipliers!U224+F186</f>
        <v>638415.78551256168</v>
      </c>
      <c r="F203" s="495"/>
      <c r="G203" s="495">
        <f t="shared" si="45"/>
        <v>0.68619571394852374</v>
      </c>
      <c r="H203" s="541"/>
      <c r="I203" s="541"/>
      <c r="J203" s="541"/>
      <c r="K203" s="541"/>
      <c r="L203" s="536">
        <f>$G203*Multipliers!E224</f>
        <v>1.9540127220197134</v>
      </c>
      <c r="M203" s="536">
        <f>$G203*Multipliers!F224</f>
        <v>2.0095519858177884</v>
      </c>
      <c r="N203" s="536">
        <f t="shared" si="46"/>
        <v>3.9635647078375018</v>
      </c>
      <c r="O203" s="533"/>
      <c r="P203" s="552">
        <f>$G203*Multipliers!I224</f>
        <v>9.3249042255909687E-2</v>
      </c>
      <c r="Q203" s="552">
        <f>$G203*Multipliers!J224</f>
        <v>8.5198212665932749E-2</v>
      </c>
      <c r="R203" s="552">
        <f t="shared" si="47"/>
        <v>0.17844725492184244</v>
      </c>
      <c r="S203" s="552">
        <f>$G203*Multipliers!L224</f>
        <v>0.68619571394852374</v>
      </c>
      <c r="T203" s="552">
        <f>$G203*Multipliers!M224</f>
        <v>0.30130348492394182</v>
      </c>
      <c r="U203" s="552">
        <f>$G203*Multipliers!N224</f>
        <v>0.27359034086139128</v>
      </c>
      <c r="V203" s="552">
        <f t="shared" si="48"/>
        <v>0.5748938257853331</v>
      </c>
      <c r="W203" s="552"/>
      <c r="X203" s="552">
        <f>$G203*Multipliers!Q224</f>
        <v>0.15586853373535997</v>
      </c>
      <c r="Y203" s="552">
        <f>$G203*Multipliers!R224</f>
        <v>0.14512386235237132</v>
      </c>
      <c r="Z203" s="552">
        <f t="shared" si="49"/>
        <v>0.30099239608773132</v>
      </c>
    </row>
    <row r="204" spans="2:26" s="219" customFormat="1" x14ac:dyDescent="0.25">
      <c r="B204" s="493" t="s">
        <v>607</v>
      </c>
      <c r="C204" s="494"/>
      <c r="E204" s="494">
        <f>F$187*Multipliers!U225</f>
        <v>3611.4724426241091</v>
      </c>
      <c r="F204" s="495"/>
      <c r="G204" s="495">
        <f t="shared" si="45"/>
        <v>3.881760080826053E-3</v>
      </c>
      <c r="H204" s="541"/>
      <c r="I204" s="541"/>
      <c r="J204" s="541"/>
      <c r="K204" s="541"/>
      <c r="L204" s="536">
        <f>$G204*Multipliers!E225</f>
        <v>1.0693258126665914E-2</v>
      </c>
      <c r="M204" s="536">
        <f>$G204*Multipliers!F225</f>
        <v>1.0062307834548395E-2</v>
      </c>
      <c r="N204" s="536">
        <f t="shared" si="46"/>
        <v>2.075556596121431E-2</v>
      </c>
      <c r="O204" s="533"/>
      <c r="P204" s="552">
        <f>$G204*Multipliers!I225</f>
        <v>4.3487612497315514E-4</v>
      </c>
      <c r="Q204" s="552">
        <f>$G204*Multipliers!J225</f>
        <v>3.917982125514137E-4</v>
      </c>
      <c r="R204" s="552">
        <f t="shared" si="47"/>
        <v>8.2667433752456885E-4</v>
      </c>
      <c r="S204" s="552">
        <f>$G204*Multipliers!L225</f>
        <v>3.881760080826053E-3</v>
      </c>
      <c r="T204" s="552">
        <f>$G204*Multipliers!M225</f>
        <v>1.4944072573357422E-3</v>
      </c>
      <c r="U204" s="552">
        <f>$G204*Multipliers!N225</f>
        <v>1.2580954003892685E-3</v>
      </c>
      <c r="V204" s="552">
        <f t="shared" si="48"/>
        <v>2.7525026577250107E-3</v>
      </c>
      <c r="W204" s="552"/>
      <c r="X204" s="552">
        <f>$G204*Multipliers!Q225</f>
        <v>7.6191384538671172E-4</v>
      </c>
      <c r="Y204" s="552">
        <f>$G204*Multipliers!R225</f>
        <v>6.673570577342173E-4</v>
      </c>
      <c r="Z204" s="552">
        <f t="shared" si="49"/>
        <v>1.429270903120929E-3</v>
      </c>
    </row>
    <row r="205" spans="2:26" s="219" customFormat="1" x14ac:dyDescent="0.25">
      <c r="B205" s="493" t="s">
        <v>609</v>
      </c>
      <c r="C205" s="494"/>
      <c r="E205" s="494">
        <f>F$187*Multipliers!U226+F184</f>
        <v>47881.747472240015</v>
      </c>
      <c r="F205" s="495"/>
      <c r="G205" s="495">
        <f t="shared" si="45"/>
        <v>5.146528428246417E-2</v>
      </c>
      <c r="H205" s="541"/>
      <c r="I205" s="541"/>
      <c r="J205" s="541"/>
      <c r="K205" s="541"/>
      <c r="L205" s="536">
        <f>$G205*Multipliers!E226</f>
        <v>3.6257732257719839E-2</v>
      </c>
      <c r="M205" s="536">
        <f>$G205*Multipliers!F226</f>
        <v>0.19908761452987414</v>
      </c>
      <c r="N205" s="536">
        <f t="shared" si="46"/>
        <v>0.23534534678759397</v>
      </c>
      <c r="O205" s="533"/>
      <c r="P205" s="552">
        <f>$G205*Multipliers!I226</f>
        <v>1.7130246421395903E-3</v>
      </c>
      <c r="Q205" s="552">
        <f>$G205*Multipliers!J226</f>
        <v>8.7531844232699198E-3</v>
      </c>
      <c r="R205" s="552">
        <f t="shared" si="47"/>
        <v>1.046620906540951E-2</v>
      </c>
      <c r="S205" s="552">
        <f>$G205*Multipliers!L226</f>
        <v>5.146528428246417E-2</v>
      </c>
      <c r="T205" s="552">
        <f>$G205*Multipliers!M226</f>
        <v>6.1332074067491525E-3</v>
      </c>
      <c r="U205" s="552">
        <f>$G205*Multipliers!N226</f>
        <v>2.8115334183369714E-2</v>
      </c>
      <c r="V205" s="552">
        <f t="shared" si="48"/>
        <v>3.4248541590118864E-2</v>
      </c>
      <c r="W205" s="552"/>
      <c r="X205" s="552">
        <f>$G205*Multipliers!Q226</f>
        <v>2.8080894191669079E-3</v>
      </c>
      <c r="Y205" s="552">
        <f>$G205*Multipliers!R226</f>
        <v>1.4912301293029548E-2</v>
      </c>
      <c r="Z205" s="552">
        <f t="shared" si="49"/>
        <v>1.7720390712196457E-2</v>
      </c>
    </row>
    <row r="206" spans="2:26" s="219" customFormat="1" x14ac:dyDescent="0.25">
      <c r="B206" s="493" t="s">
        <v>624</v>
      </c>
      <c r="C206" s="494"/>
      <c r="E206" s="494">
        <f>SUM(E192:E205)</f>
        <v>1037682.3960194002</v>
      </c>
      <c r="F206" s="495"/>
      <c r="G206" s="495">
        <f>SUM(G192:G205)</f>
        <v>1.1153439948491632</v>
      </c>
      <c r="H206" s="541"/>
      <c r="I206" s="541"/>
      <c r="J206" s="541"/>
      <c r="K206" s="541">
        <f>IF(K208=0,0,C188)</f>
        <v>7.8564406519505416</v>
      </c>
      <c r="L206" s="536">
        <f>SUM(L192:L205)</f>
        <v>3.1864489250259975</v>
      </c>
      <c r="M206" s="536">
        <f>SUM(M192:M205)</f>
        <v>2.9495745036543837</v>
      </c>
      <c r="N206" s="536">
        <f>M206+L206+K206</f>
        <v>13.992464080630924</v>
      </c>
      <c r="O206" s="1231">
        <f>G206</f>
        <v>1.1153439948491632</v>
      </c>
      <c r="P206" s="552">
        <f>SUM(P192:P205)</f>
        <v>0.14189273200383709</v>
      </c>
      <c r="Q206" s="552">
        <f>SUM(Q192:Q205)</f>
        <v>0.12282659575317723</v>
      </c>
      <c r="R206" s="552">
        <f>Q206+P206+O206</f>
        <v>1.3800633226061776</v>
      </c>
      <c r="S206" s="552">
        <f>SUM(S192:S205)</f>
        <v>1.1153439948491632</v>
      </c>
      <c r="T206" s="552">
        <f>SUM(T192:T205)</f>
        <v>0.48740312766650018</v>
      </c>
      <c r="U206" s="552">
        <f>SUM(U192:U205)</f>
        <v>0.39441858442283473</v>
      </c>
      <c r="V206" s="552">
        <f>U206+T206+S206</f>
        <v>1.9971657069384983</v>
      </c>
      <c r="W206" s="552">
        <f>O206</f>
        <v>1.1153439948491632</v>
      </c>
      <c r="X206" s="552">
        <f>SUM(X192:X205)</f>
        <v>0.24864497948894124</v>
      </c>
      <c r="Y206" s="552">
        <f>SUM(Y192:Y205)</f>
        <v>0.20921714821422138</v>
      </c>
      <c r="Z206" s="552">
        <f>Y206+X206+W206</f>
        <v>1.5732061225523259</v>
      </c>
    </row>
    <row r="207" spans="2:26" s="219" customFormat="1" x14ac:dyDescent="0.25">
      <c r="B207" s="493"/>
      <c r="C207" s="494"/>
      <c r="E207" s="48"/>
      <c r="F207" s="513"/>
      <c r="H207" s="515"/>
      <c r="I207" s="515"/>
      <c r="J207" s="515"/>
      <c r="K207" s="515"/>
      <c r="L207" s="542"/>
      <c r="M207" s="542"/>
      <c r="N207" s="219" t="s">
        <v>847</v>
      </c>
      <c r="O207" s="556">
        <f>O184</f>
        <v>2010</v>
      </c>
      <c r="P207" s="553" t="s">
        <v>806</v>
      </c>
      <c r="Q207" s="554"/>
      <c r="R207" s="554"/>
      <c r="S207" s="554"/>
      <c r="T207" s="513"/>
      <c r="U207" s="513"/>
      <c r="V207" s="555"/>
      <c r="W207" s="554"/>
      <c r="X207" s="513"/>
      <c r="Y207" s="513"/>
      <c r="Z207" s="555"/>
    </row>
    <row r="208" spans="2:26" s="219" customFormat="1" x14ac:dyDescent="0.25">
      <c r="B208" s="481" t="s">
        <v>856</v>
      </c>
      <c r="D208" s="481" t="s">
        <v>857</v>
      </c>
      <c r="E208" s="478"/>
      <c r="K208" s="742">
        <f>SUM(L213:L226)</f>
        <v>3.1864489250259975</v>
      </c>
      <c r="O208" s="554">
        <f>O206*$H159</f>
        <v>1.0376823960194004</v>
      </c>
      <c r="P208" s="554">
        <f t="shared" ref="P208:V208" si="50">P206*$H159</f>
        <v>0.13201271607993253</v>
      </c>
      <c r="Q208" s="554">
        <f t="shared" si="50"/>
        <v>0.11427415825491577</v>
      </c>
      <c r="R208" s="554">
        <f t="shared" si="50"/>
        <v>1.2839692703542487</v>
      </c>
      <c r="S208" s="554">
        <f t="shared" si="50"/>
        <v>1.0376823960194004</v>
      </c>
      <c r="T208" s="554">
        <f t="shared" si="50"/>
        <v>0.45346516203077131</v>
      </c>
      <c r="U208" s="554">
        <f t="shared" si="50"/>
        <v>0.36695514891243719</v>
      </c>
      <c r="V208" s="554">
        <f t="shared" si="50"/>
        <v>1.858102706962609</v>
      </c>
      <c r="W208" s="554">
        <f t="shared" ref="W208:Z208" si="51">W206*$H159</f>
        <v>1.0376823960194004</v>
      </c>
      <c r="X208" s="554">
        <f t="shared" si="51"/>
        <v>0.23133178576818583</v>
      </c>
      <c r="Y208" s="554">
        <f t="shared" si="51"/>
        <v>0.19464932133035739</v>
      </c>
      <c r="Z208" s="554">
        <f t="shared" si="51"/>
        <v>1.4636635031179437</v>
      </c>
    </row>
    <row r="209" spans="2:26" s="219" customFormat="1" x14ac:dyDescent="0.25">
      <c r="C209" s="478" t="s">
        <v>807</v>
      </c>
      <c r="D209" s="478" t="s">
        <v>807</v>
      </c>
      <c r="E209" s="478"/>
    </row>
    <row r="210" spans="2:26" s="219" customFormat="1" x14ac:dyDescent="0.25">
      <c r="B210" s="493" t="s">
        <v>592</v>
      </c>
      <c r="C210" s="494">
        <v>0</v>
      </c>
      <c r="D210" s="494">
        <v>0</v>
      </c>
      <c r="K210" s="510" t="s">
        <v>851</v>
      </c>
    </row>
    <row r="211" spans="2:26" s="219" customFormat="1" x14ac:dyDescent="0.25">
      <c r="B211" s="493" t="s">
        <v>593</v>
      </c>
      <c r="C211" s="494">
        <v>0</v>
      </c>
      <c r="D211" s="494">
        <v>0</v>
      </c>
      <c r="K211" s="484" t="s">
        <v>135</v>
      </c>
      <c r="L211" s="484"/>
      <c r="M211" s="484"/>
      <c r="N211" s="484"/>
      <c r="O211" s="484" t="s">
        <v>134</v>
      </c>
      <c r="P211" s="484"/>
      <c r="Q211" s="484"/>
      <c r="R211" s="484"/>
      <c r="S211" s="484" t="s">
        <v>133</v>
      </c>
      <c r="W211" s="484" t="s">
        <v>1420</v>
      </c>
    </row>
    <row r="212" spans="2:26" s="219" customFormat="1" x14ac:dyDescent="0.25">
      <c r="B212" s="493" t="s">
        <v>595</v>
      </c>
      <c r="C212" s="494">
        <v>0</v>
      </c>
      <c r="D212" s="494">
        <f>J15+J36+J57+J75+J84+J90+J100</f>
        <v>3383426.4952213755</v>
      </c>
      <c r="K212" s="484" t="s">
        <v>621</v>
      </c>
      <c r="L212" s="484" t="s">
        <v>622</v>
      </c>
      <c r="M212" s="484" t="s">
        <v>623</v>
      </c>
      <c r="N212" s="484" t="s">
        <v>624</v>
      </c>
      <c r="O212" s="484" t="s">
        <v>621</v>
      </c>
      <c r="P212" s="484" t="s">
        <v>622</v>
      </c>
      <c r="Q212" s="484" t="s">
        <v>623</v>
      </c>
      <c r="R212" s="484" t="s">
        <v>624</v>
      </c>
      <c r="S212" s="484" t="s">
        <v>621</v>
      </c>
      <c r="T212" s="484" t="s">
        <v>622</v>
      </c>
      <c r="U212" s="484" t="s">
        <v>623</v>
      </c>
      <c r="V212" s="484" t="s">
        <v>624</v>
      </c>
      <c r="W212" s="484" t="s">
        <v>621</v>
      </c>
      <c r="X212" s="484" t="s">
        <v>622</v>
      </c>
      <c r="Y212" s="484" t="s">
        <v>623</v>
      </c>
      <c r="Z212" s="484" t="s">
        <v>624</v>
      </c>
    </row>
    <row r="213" spans="2:26" s="219" customFormat="1" ht="15.75" customHeight="1" x14ac:dyDescent="0.25">
      <c r="B213" s="493" t="s">
        <v>596</v>
      </c>
      <c r="C213" s="494">
        <f>F115+F122</f>
        <v>0</v>
      </c>
      <c r="D213" s="494">
        <f>L15+L36+L57+(L75-D219-D218)+L84</f>
        <v>5747787.1642873492</v>
      </c>
      <c r="I213" s="493" t="s">
        <v>592</v>
      </c>
      <c r="K213" s="222">
        <f>K167+K192</f>
        <v>0</v>
      </c>
      <c r="L213" s="222">
        <f t="shared" ref="L213:U213" si="52">L167+L192</f>
        <v>7.0311319543047788E-3</v>
      </c>
      <c r="M213" s="222">
        <f t="shared" si="52"/>
        <v>1.0468194901798912E-2</v>
      </c>
      <c r="N213" s="222">
        <f>M213+L213+K213</f>
        <v>1.749932685610369E-2</v>
      </c>
      <c r="O213" s="495">
        <f t="shared" si="52"/>
        <v>0</v>
      </c>
      <c r="P213" s="495">
        <f t="shared" si="52"/>
        <v>4.8311407756752097E-4</v>
      </c>
      <c r="Q213" s="495">
        <f t="shared" si="52"/>
        <v>4.4888202021034506E-4</v>
      </c>
      <c r="R213" s="495">
        <f>Q213+P213+O213</f>
        <v>9.3199609777786603E-4</v>
      </c>
      <c r="S213" s="495">
        <f t="shared" si="52"/>
        <v>4.2346268538065506E-3</v>
      </c>
      <c r="T213" s="495">
        <f t="shared" si="52"/>
        <v>1.5436418260907051E-3</v>
      </c>
      <c r="U213" s="495">
        <f t="shared" si="52"/>
        <v>1.4401417806470388E-3</v>
      </c>
      <c r="V213" s="495">
        <f>U213+T213+S213</f>
        <v>7.2184104605442943E-3</v>
      </c>
      <c r="W213" s="495">
        <f t="shared" ref="W213:Y213" si="53">W167+W192</f>
        <v>0</v>
      </c>
      <c r="X213" s="495">
        <f t="shared" si="53"/>
        <v>7.9714303469421782E-4</v>
      </c>
      <c r="Y213" s="495">
        <f t="shared" si="53"/>
        <v>7.6415201344886218E-4</v>
      </c>
      <c r="Z213" s="495">
        <f>Y213+X213+W213</f>
        <v>1.5612950481430801E-3</v>
      </c>
    </row>
    <row r="214" spans="2:26" s="219" customFormat="1" x14ac:dyDescent="0.25">
      <c r="B214" s="493" t="s">
        <v>598</v>
      </c>
      <c r="C214" s="494">
        <v>0</v>
      </c>
      <c r="D214" s="543"/>
      <c r="I214" s="493" t="s">
        <v>593</v>
      </c>
      <c r="K214" s="222">
        <f t="shared" ref="K214:U226" si="54">K168+K193</f>
        <v>0</v>
      </c>
      <c r="L214" s="222">
        <f t="shared" si="54"/>
        <v>3.1438068535242135E-6</v>
      </c>
      <c r="M214" s="222">
        <f t="shared" si="54"/>
        <v>2.7186767738913118E-6</v>
      </c>
      <c r="N214" s="222">
        <f t="shared" ref="N214:N228" si="55">M214+L214+K214</f>
        <v>5.8624836274155258E-6</v>
      </c>
      <c r="O214" s="495">
        <f t="shared" si="54"/>
        <v>0</v>
      </c>
      <c r="P214" s="495">
        <f t="shared" si="54"/>
        <v>1.3761500380739373E-7</v>
      </c>
      <c r="Q214" s="495">
        <f t="shared" si="54"/>
        <v>1.0147664980591307E-7</v>
      </c>
      <c r="R214" s="495">
        <f t="shared" ref="R214:R227" si="56">Q214+P214+O214</f>
        <v>2.3909165361330677E-7</v>
      </c>
      <c r="S214" s="495">
        <f t="shared" si="54"/>
        <v>1.6385289367714249E-6</v>
      </c>
      <c r="T214" s="495">
        <f t="shared" si="54"/>
        <v>5.0694028204333566E-7</v>
      </c>
      <c r="U214" s="495">
        <f t="shared" si="54"/>
        <v>3.2580854821571103E-7</v>
      </c>
      <c r="V214" s="495">
        <f t="shared" ref="V214:V227" si="57">U214+T214+S214</f>
        <v>2.4712777670304715E-6</v>
      </c>
      <c r="W214" s="495">
        <f t="shared" ref="W214:Y214" si="58">W168+W193</f>
        <v>0</v>
      </c>
      <c r="X214" s="495">
        <f t="shared" si="58"/>
        <v>2.2829855576315876E-7</v>
      </c>
      <c r="Y214" s="495">
        <f t="shared" si="58"/>
        <v>1.7283274093141639E-7</v>
      </c>
      <c r="Z214" s="495">
        <f t="shared" ref="Z214:Z227" si="59">Y214+X214+W214</f>
        <v>4.0113129669457515E-7</v>
      </c>
    </row>
    <row r="215" spans="2:26" s="219" customFormat="1" ht="17.25" customHeight="1" x14ac:dyDescent="0.25">
      <c r="B215" s="493" t="s">
        <v>599</v>
      </c>
      <c r="C215" s="494">
        <f>F111+F119</f>
        <v>0</v>
      </c>
      <c r="D215" s="494">
        <f>L90+L100</f>
        <v>0</v>
      </c>
      <c r="I215" s="493" t="s">
        <v>595</v>
      </c>
      <c r="K215" s="222">
        <f t="shared" si="54"/>
        <v>0</v>
      </c>
      <c r="L215" s="222">
        <f t="shared" si="54"/>
        <v>0</v>
      </c>
      <c r="M215" s="222">
        <f t="shared" si="54"/>
        <v>0</v>
      </c>
      <c r="N215" s="222">
        <f t="shared" si="55"/>
        <v>0</v>
      </c>
      <c r="O215" s="495">
        <f t="shared" si="54"/>
        <v>0</v>
      </c>
      <c r="P215" s="495">
        <f t="shared" si="54"/>
        <v>0</v>
      </c>
      <c r="Q215" s="495">
        <f t="shared" si="54"/>
        <v>0</v>
      </c>
      <c r="R215" s="495">
        <f t="shared" si="56"/>
        <v>0</v>
      </c>
      <c r="S215" s="495">
        <f t="shared" si="54"/>
        <v>0</v>
      </c>
      <c r="T215" s="495">
        <f t="shared" si="54"/>
        <v>0</v>
      </c>
      <c r="U215" s="495">
        <f t="shared" si="54"/>
        <v>0</v>
      </c>
      <c r="V215" s="495">
        <f t="shared" si="57"/>
        <v>0</v>
      </c>
      <c r="W215" s="495">
        <f t="shared" ref="W215:Y215" si="60">W169+W194</f>
        <v>0</v>
      </c>
      <c r="X215" s="495">
        <f t="shared" si="60"/>
        <v>0</v>
      </c>
      <c r="Y215" s="495">
        <f t="shared" si="60"/>
        <v>0</v>
      </c>
      <c r="Z215" s="495">
        <f t="shared" si="59"/>
        <v>0</v>
      </c>
    </row>
    <row r="216" spans="2:26" s="219" customFormat="1" ht="18.75" customHeight="1" x14ac:dyDescent="0.25">
      <c r="B216" s="493" t="s">
        <v>601</v>
      </c>
      <c r="C216" s="494">
        <v>0</v>
      </c>
      <c r="D216" s="494">
        <v>0</v>
      </c>
      <c r="I216" s="493" t="s">
        <v>596</v>
      </c>
      <c r="K216" s="222">
        <f t="shared" si="54"/>
        <v>0</v>
      </c>
      <c r="L216" s="222">
        <f t="shared" si="54"/>
        <v>3.3978350310992826E-2</v>
      </c>
      <c r="M216" s="222">
        <f t="shared" si="54"/>
        <v>2.0138778390837917E-2</v>
      </c>
      <c r="N216" s="222">
        <f t="shared" si="55"/>
        <v>5.4117128701830747E-2</v>
      </c>
      <c r="O216" s="495">
        <f t="shared" si="54"/>
        <v>0</v>
      </c>
      <c r="P216" s="495">
        <f t="shared" si="54"/>
        <v>1.7378924373419153E-3</v>
      </c>
      <c r="Q216" s="495">
        <f t="shared" si="54"/>
        <v>7.7478985100499131E-4</v>
      </c>
      <c r="R216" s="495">
        <f t="shared" si="56"/>
        <v>2.5126822883469067E-3</v>
      </c>
      <c r="S216" s="495">
        <f t="shared" si="54"/>
        <v>1.554374557345551E-2</v>
      </c>
      <c r="T216" s="495">
        <f t="shared" si="54"/>
        <v>6.1706643234328258E-3</v>
      </c>
      <c r="U216" s="495">
        <f t="shared" si="54"/>
        <v>2.4879792197847785E-3</v>
      </c>
      <c r="V216" s="495">
        <f t="shared" si="57"/>
        <v>2.4202389116673113E-2</v>
      </c>
      <c r="W216" s="495">
        <f t="shared" ref="W216:Y216" si="61">W170+W195</f>
        <v>0</v>
      </c>
      <c r="X216" s="495">
        <f t="shared" si="61"/>
        <v>2.9062939487523795E-3</v>
      </c>
      <c r="Y216" s="495">
        <f t="shared" si="61"/>
        <v>1.3197368312169982E-3</v>
      </c>
      <c r="Z216" s="495">
        <f t="shared" si="59"/>
        <v>4.2260307799693777E-3</v>
      </c>
    </row>
    <row r="217" spans="2:26" s="219" customFormat="1" ht="16.5" customHeight="1" x14ac:dyDescent="0.25">
      <c r="B217" s="493" t="s">
        <v>602</v>
      </c>
      <c r="C217" s="494">
        <v>0</v>
      </c>
      <c r="D217" s="494">
        <v>0</v>
      </c>
      <c r="I217" s="493" t="s">
        <v>598</v>
      </c>
      <c r="K217" s="222">
        <f t="shared" si="54"/>
        <v>0</v>
      </c>
      <c r="L217" s="222">
        <f t="shared" si="54"/>
        <v>4.4501086007697537E-7</v>
      </c>
      <c r="M217" s="222">
        <f t="shared" si="54"/>
        <v>4.371012492609286E-7</v>
      </c>
      <c r="N217" s="222">
        <f t="shared" si="55"/>
        <v>8.8211210933790397E-7</v>
      </c>
      <c r="O217" s="495">
        <f t="shared" si="54"/>
        <v>0</v>
      </c>
      <c r="P217" s="495">
        <f t="shared" si="54"/>
        <v>2.0138824893890727E-8</v>
      </c>
      <c r="Q217" s="495">
        <f t="shared" si="54"/>
        <v>1.6557677318359111E-8</v>
      </c>
      <c r="R217" s="495">
        <f t="shared" si="56"/>
        <v>3.6696502212249841E-8</v>
      </c>
      <c r="S217" s="495">
        <f t="shared" si="54"/>
        <v>2.381655126655969E-7</v>
      </c>
      <c r="T217" s="495">
        <f t="shared" si="54"/>
        <v>7.5472667099082817E-8</v>
      </c>
      <c r="U217" s="495">
        <f t="shared" si="54"/>
        <v>5.3177964211761502E-8</v>
      </c>
      <c r="V217" s="495">
        <f t="shared" si="57"/>
        <v>3.6681614397644119E-7</v>
      </c>
      <c r="W217" s="495">
        <f t="shared" ref="W217:Y217" si="62">W171+W196</f>
        <v>0</v>
      </c>
      <c r="X217" s="495">
        <f t="shared" si="62"/>
        <v>3.4179136013787309E-8</v>
      </c>
      <c r="Y217" s="495">
        <f t="shared" si="62"/>
        <v>2.8206448228574652E-8</v>
      </c>
      <c r="Z217" s="495">
        <f t="shared" si="59"/>
        <v>6.2385584242361961E-8</v>
      </c>
    </row>
    <row r="218" spans="2:26" s="219" customFormat="1" ht="15" customHeight="1" x14ac:dyDescent="0.25">
      <c r="B218" s="493" t="s">
        <v>603</v>
      </c>
      <c r="C218" s="494">
        <v>0</v>
      </c>
      <c r="D218" s="494">
        <f>(L54+L67)*'Default Data'!M269</f>
        <v>212299.63524828805</v>
      </c>
      <c r="I218" s="493" t="s">
        <v>599</v>
      </c>
      <c r="K218" s="222">
        <f t="shared" si="54"/>
        <v>0</v>
      </c>
      <c r="L218" s="222">
        <f t="shared" si="54"/>
        <v>1.7316157556964788E-5</v>
      </c>
      <c r="M218" s="222">
        <f t="shared" si="54"/>
        <v>1.0340215488484672E-5</v>
      </c>
      <c r="N218" s="222">
        <f t="shared" si="55"/>
        <v>2.7656373045449458E-5</v>
      </c>
      <c r="O218" s="495">
        <f t="shared" si="54"/>
        <v>0</v>
      </c>
      <c r="P218" s="495">
        <f t="shared" si="54"/>
        <v>8.0718219081729972E-7</v>
      </c>
      <c r="Q218" s="495">
        <f t="shared" si="54"/>
        <v>3.9065160073732169E-7</v>
      </c>
      <c r="R218" s="495">
        <f t="shared" si="56"/>
        <v>1.1978337915546214E-6</v>
      </c>
      <c r="S218" s="495">
        <f t="shared" si="54"/>
        <v>8.4173288141978233E-6</v>
      </c>
      <c r="T218" s="495">
        <f t="shared" si="54"/>
        <v>3.0386923389347565E-6</v>
      </c>
      <c r="U218" s="495">
        <f t="shared" si="54"/>
        <v>1.2545904199101179E-6</v>
      </c>
      <c r="V218" s="495">
        <f t="shared" si="57"/>
        <v>1.2710611573042698E-5</v>
      </c>
      <c r="W218" s="495">
        <f t="shared" ref="W218:Y218" si="63">W172+W197</f>
        <v>0</v>
      </c>
      <c r="X218" s="495">
        <f t="shared" si="63"/>
        <v>1.3739919555502096E-6</v>
      </c>
      <c r="Y218" s="495">
        <f t="shared" si="63"/>
        <v>6.6546551355908194E-7</v>
      </c>
      <c r="Z218" s="495">
        <f t="shared" si="59"/>
        <v>2.0394574691092913E-6</v>
      </c>
    </row>
    <row r="219" spans="2:26" s="219" customFormat="1" ht="16.5" customHeight="1" x14ac:dyDescent="0.25">
      <c r="B219" s="493" t="s">
        <v>604</v>
      </c>
      <c r="C219" s="494">
        <f>F121</f>
        <v>0</v>
      </c>
      <c r="D219" s="675">
        <f>(L54+L67)*'Default Data'!O269</f>
        <v>95955.511660716336</v>
      </c>
      <c r="I219" s="493" t="s">
        <v>601</v>
      </c>
      <c r="K219" s="222">
        <f t="shared" si="54"/>
        <v>0</v>
      </c>
      <c r="L219" s="222">
        <f t="shared" si="54"/>
        <v>2.4385455122757018E-5</v>
      </c>
      <c r="M219" s="222">
        <f t="shared" si="54"/>
        <v>1.8732935056780112E-5</v>
      </c>
      <c r="N219" s="222">
        <f t="shared" si="55"/>
        <v>4.3118390179537134E-5</v>
      </c>
      <c r="O219" s="495">
        <f t="shared" si="54"/>
        <v>0</v>
      </c>
      <c r="P219" s="495">
        <f t="shared" si="54"/>
        <v>1.2126119282827719E-6</v>
      </c>
      <c r="Q219" s="495">
        <f t="shared" si="54"/>
        <v>7.0420500117934991E-7</v>
      </c>
      <c r="R219" s="495">
        <f t="shared" si="56"/>
        <v>1.9168169294621216E-6</v>
      </c>
      <c r="S219" s="495">
        <f t="shared" si="54"/>
        <v>1.071639649568412E-5</v>
      </c>
      <c r="T219" s="495">
        <f t="shared" si="54"/>
        <v>4.4508325753741657E-6</v>
      </c>
      <c r="U219" s="495">
        <f t="shared" si="54"/>
        <v>2.2617360812178507E-6</v>
      </c>
      <c r="V219" s="495">
        <f t="shared" si="57"/>
        <v>1.7428965152276137E-5</v>
      </c>
      <c r="W219" s="495">
        <f t="shared" ref="W219:Y219" si="64">W173+W198</f>
        <v>0</v>
      </c>
      <c r="X219" s="495">
        <f t="shared" si="64"/>
        <v>2.0255299932400832E-6</v>
      </c>
      <c r="Y219" s="495">
        <f t="shared" si="64"/>
        <v>1.199651591836215E-6</v>
      </c>
      <c r="Z219" s="495">
        <f t="shared" si="59"/>
        <v>3.2251815850762983E-6</v>
      </c>
    </row>
    <row r="220" spans="2:26" s="219" customFormat="1" x14ac:dyDescent="0.25">
      <c r="B220" s="493" t="s">
        <v>605</v>
      </c>
      <c r="C220" s="494">
        <f>F114+G129+G131</f>
        <v>0</v>
      </c>
      <c r="D220" s="494">
        <f>P7</f>
        <v>0</v>
      </c>
      <c r="I220" s="493" t="s">
        <v>602</v>
      </c>
      <c r="K220" s="222">
        <f t="shared" si="54"/>
        <v>0</v>
      </c>
      <c r="L220" s="222">
        <f t="shared" si="54"/>
        <v>5.2114483973155892E-2</v>
      </c>
      <c r="M220" s="222">
        <f t="shared" si="54"/>
        <v>3.9201816813515221E-2</v>
      </c>
      <c r="N220" s="222">
        <f t="shared" si="55"/>
        <v>9.1316300786671106E-2</v>
      </c>
      <c r="O220" s="495">
        <f t="shared" si="54"/>
        <v>0</v>
      </c>
      <c r="P220" s="495">
        <f t="shared" si="54"/>
        <v>2.3990266270226025E-3</v>
      </c>
      <c r="Q220" s="495">
        <f t="shared" si="54"/>
        <v>1.4974170398429222E-3</v>
      </c>
      <c r="R220" s="495">
        <f t="shared" si="56"/>
        <v>3.8964436668655249E-3</v>
      </c>
      <c r="S220" s="495">
        <f t="shared" si="54"/>
        <v>2.0050241645142342E-2</v>
      </c>
      <c r="T220" s="495">
        <f t="shared" si="54"/>
        <v>8.6755538872300073E-3</v>
      </c>
      <c r="U220" s="495">
        <f t="shared" si="54"/>
        <v>4.8081577191191284E-3</v>
      </c>
      <c r="V220" s="495">
        <f t="shared" si="57"/>
        <v>3.3533953251491479E-2</v>
      </c>
      <c r="W220" s="495">
        <f t="shared" ref="W220:Y220" si="65">W174+W199</f>
        <v>0</v>
      </c>
      <c r="X220" s="495">
        <f t="shared" si="65"/>
        <v>4.0712341814189762E-3</v>
      </c>
      <c r="Y220" s="495">
        <f t="shared" si="65"/>
        <v>2.5505193583186037E-3</v>
      </c>
      <c r="Z220" s="495">
        <f t="shared" si="59"/>
        <v>6.6217535397375803E-3</v>
      </c>
    </row>
    <row r="221" spans="2:26" s="219" customFormat="1" ht="18" customHeight="1" x14ac:dyDescent="0.25">
      <c r="B221" s="493" t="s">
        <v>606</v>
      </c>
      <c r="C221" s="494">
        <f>F112+F116+F120</f>
        <v>0</v>
      </c>
      <c r="D221" s="494">
        <f>K15+K36+K57+K75+K84+K90+K100</f>
        <v>755364.49558429199</v>
      </c>
      <c r="I221" s="493" t="s">
        <v>603</v>
      </c>
      <c r="K221" s="222">
        <f t="shared" si="54"/>
        <v>0</v>
      </c>
      <c r="L221" s="222">
        <f t="shared" si="54"/>
        <v>5.3409301458281093E-2</v>
      </c>
      <c r="M221" s="222">
        <f t="shared" si="54"/>
        <v>4.6149121952838143E-2</v>
      </c>
      <c r="N221" s="222">
        <f t="shared" si="55"/>
        <v>9.9558423411119229E-2</v>
      </c>
      <c r="O221" s="495">
        <f t="shared" si="54"/>
        <v>0</v>
      </c>
      <c r="P221" s="495">
        <f t="shared" si="54"/>
        <v>2.4456238989076185E-3</v>
      </c>
      <c r="Q221" s="495">
        <f t="shared" si="54"/>
        <v>1.9769207062490779E-3</v>
      </c>
      <c r="R221" s="495">
        <f t="shared" si="56"/>
        <v>4.4225446051566961E-3</v>
      </c>
      <c r="S221" s="495">
        <f t="shared" si="54"/>
        <v>2.0466682291191036E-2</v>
      </c>
      <c r="T221" s="495">
        <f t="shared" si="54"/>
        <v>7.966981397506347E-3</v>
      </c>
      <c r="U221" s="495">
        <f t="shared" si="54"/>
        <v>6.3485240327224622E-3</v>
      </c>
      <c r="V221" s="495">
        <f t="shared" si="57"/>
        <v>3.4782187721419847E-2</v>
      </c>
      <c r="W221" s="495">
        <f t="shared" ref="W221:Y221" si="66">W175+W200</f>
        <v>0</v>
      </c>
      <c r="X221" s="495">
        <f t="shared" si="66"/>
        <v>4.2028374103517674E-3</v>
      </c>
      <c r="Y221" s="495">
        <f t="shared" si="66"/>
        <v>3.3674901642764959E-3</v>
      </c>
      <c r="Z221" s="495">
        <f t="shared" si="59"/>
        <v>7.5703275746282633E-3</v>
      </c>
    </row>
    <row r="222" spans="2:26" s="219" customFormat="1" ht="18" customHeight="1" x14ac:dyDescent="0.25">
      <c r="B222" s="493" t="s">
        <v>607</v>
      </c>
      <c r="C222" s="494">
        <v>0</v>
      </c>
      <c r="D222" s="494">
        <f>I15+I36+I57+I75+I84+I90+I100</f>
        <v>641284.80117114435</v>
      </c>
      <c r="I222" s="493" t="s">
        <v>604</v>
      </c>
      <c r="K222" s="222">
        <f t="shared" si="54"/>
        <v>0</v>
      </c>
      <c r="L222" s="222">
        <f t="shared" si="54"/>
        <v>0.13276610512836934</v>
      </c>
      <c r="M222" s="222">
        <f t="shared" si="54"/>
        <v>0.15352667453766231</v>
      </c>
      <c r="N222" s="222">
        <f t="shared" si="55"/>
        <v>0.28629277966603162</v>
      </c>
      <c r="O222" s="495">
        <f t="shared" si="54"/>
        <v>0</v>
      </c>
      <c r="P222" s="495">
        <f t="shared" si="54"/>
        <v>5.335429942874126E-3</v>
      </c>
      <c r="Q222" s="495">
        <f t="shared" si="54"/>
        <v>6.0137794602379054E-3</v>
      </c>
      <c r="R222" s="495">
        <f t="shared" si="56"/>
        <v>1.1349209403112032E-2</v>
      </c>
      <c r="S222" s="495">
        <f t="shared" si="54"/>
        <v>5.291188049796778E-2</v>
      </c>
      <c r="T222" s="495">
        <f t="shared" si="54"/>
        <v>1.8680671526016098E-2</v>
      </c>
      <c r="U222" s="495">
        <f t="shared" si="54"/>
        <v>1.9310815304512865E-2</v>
      </c>
      <c r="V222" s="495">
        <f t="shared" si="57"/>
        <v>9.0903367328496743E-2</v>
      </c>
      <c r="W222" s="495">
        <f t="shared" ref="W222:Y222" si="67">W176+W201</f>
        <v>0</v>
      </c>
      <c r="X222" s="495">
        <f t="shared" si="67"/>
        <v>9.6336764357917194E-3</v>
      </c>
      <c r="Y222" s="495">
        <f t="shared" si="67"/>
        <v>1.0243410437443356E-2</v>
      </c>
      <c r="Z222" s="495">
        <f t="shared" si="59"/>
        <v>1.9877086873235077E-2</v>
      </c>
    </row>
    <row r="223" spans="2:26" s="219" customFormat="1" x14ac:dyDescent="0.25">
      <c r="B223" s="493" t="s">
        <v>609</v>
      </c>
      <c r="C223" s="494">
        <f>F113+I133</f>
        <v>0</v>
      </c>
      <c r="D223" s="494">
        <f>R7</f>
        <v>0</v>
      </c>
      <c r="I223" s="493" t="s">
        <v>605</v>
      </c>
      <c r="K223" s="222">
        <f t="shared" si="54"/>
        <v>0</v>
      </c>
      <c r="L223" s="222">
        <f t="shared" si="54"/>
        <v>0.90614054936640076</v>
      </c>
      <c r="M223" s="222">
        <f t="shared" si="54"/>
        <v>0.46135577994695159</v>
      </c>
      <c r="N223" s="222">
        <f t="shared" si="55"/>
        <v>1.3674963293133524</v>
      </c>
      <c r="O223" s="495">
        <f t="shared" si="54"/>
        <v>0</v>
      </c>
      <c r="P223" s="495">
        <f t="shared" si="54"/>
        <v>3.4092524449153068E-2</v>
      </c>
      <c r="Q223" s="495">
        <f t="shared" si="54"/>
        <v>1.7770398482948851E-2</v>
      </c>
      <c r="R223" s="495">
        <f t="shared" si="56"/>
        <v>5.1862922932101915E-2</v>
      </c>
      <c r="S223" s="495">
        <f t="shared" si="54"/>
        <v>0.2605730492560267</v>
      </c>
      <c r="T223" s="495">
        <f t="shared" si="54"/>
        <v>0.13542644318033401</v>
      </c>
      <c r="U223" s="495">
        <f t="shared" si="54"/>
        <v>5.7055300607884621E-2</v>
      </c>
      <c r="V223" s="495">
        <f t="shared" si="57"/>
        <v>0.45305479304424534</v>
      </c>
      <c r="W223" s="495">
        <f t="shared" ref="W223:Y223" si="68">W177+W202</f>
        <v>0</v>
      </c>
      <c r="X223" s="495">
        <f t="shared" si="68"/>
        <v>6.7591595478378022E-2</v>
      </c>
      <c r="Y223" s="495">
        <f t="shared" si="68"/>
        <v>3.0266252550087462E-2</v>
      </c>
      <c r="Z223" s="495">
        <f t="shared" si="59"/>
        <v>9.7857848028465477E-2</v>
      </c>
    </row>
    <row r="224" spans="2:26" s="219" customFormat="1" ht="15" customHeight="1" x14ac:dyDescent="0.25">
      <c r="B224" s="493" t="s">
        <v>624</v>
      </c>
      <c r="C224" s="494">
        <f>SUM(C210:C223)</f>
        <v>0</v>
      </c>
      <c r="D224" s="494">
        <f>SUM(D210:D223)</f>
        <v>10836118.103173165</v>
      </c>
      <c r="I224" s="493" t="s">
        <v>606</v>
      </c>
      <c r="K224" s="222">
        <f t="shared" si="54"/>
        <v>0</v>
      </c>
      <c r="L224" s="222">
        <f t="shared" si="54"/>
        <v>1.9540127220197134</v>
      </c>
      <c r="M224" s="222">
        <f t="shared" si="54"/>
        <v>2.0095519858177884</v>
      </c>
      <c r="N224" s="222">
        <f t="shared" si="55"/>
        <v>3.9635647078375018</v>
      </c>
      <c r="O224" s="495">
        <f t="shared" si="54"/>
        <v>0</v>
      </c>
      <c r="P224" s="495">
        <f t="shared" si="54"/>
        <v>9.3249042255909687E-2</v>
      </c>
      <c r="Q224" s="495">
        <f t="shared" si="54"/>
        <v>8.5198212665932749E-2</v>
      </c>
      <c r="R224" s="495">
        <f t="shared" si="56"/>
        <v>0.17844725492184244</v>
      </c>
      <c r="S224" s="495">
        <f t="shared" si="54"/>
        <v>0.68619571394852374</v>
      </c>
      <c r="T224" s="495">
        <f t="shared" si="54"/>
        <v>0.30130348492394182</v>
      </c>
      <c r="U224" s="495">
        <f t="shared" si="54"/>
        <v>0.27359034086139128</v>
      </c>
      <c r="V224" s="495">
        <f t="shared" si="57"/>
        <v>1.2610895397338568</v>
      </c>
      <c r="W224" s="495">
        <f t="shared" ref="W224:Y224" si="69">W178+W203</f>
        <v>0</v>
      </c>
      <c r="X224" s="495">
        <f t="shared" si="69"/>
        <v>0.15586853373535997</v>
      </c>
      <c r="Y224" s="495">
        <f t="shared" si="69"/>
        <v>0.14512386235237132</v>
      </c>
      <c r="Z224" s="495">
        <f t="shared" si="59"/>
        <v>0.30099239608773132</v>
      </c>
    </row>
    <row r="225" spans="2:41" s="219" customFormat="1" ht="30" x14ac:dyDescent="0.25">
      <c r="I225" s="493" t="s">
        <v>607</v>
      </c>
      <c r="K225" s="222">
        <f t="shared" si="54"/>
        <v>0</v>
      </c>
      <c r="L225" s="222">
        <f t="shared" si="54"/>
        <v>1.0693258126665914E-2</v>
      </c>
      <c r="M225" s="222">
        <f t="shared" si="54"/>
        <v>1.0062307834548395E-2</v>
      </c>
      <c r="N225" s="222">
        <f t="shared" si="55"/>
        <v>2.075556596121431E-2</v>
      </c>
      <c r="O225" s="495">
        <f t="shared" si="54"/>
        <v>0</v>
      </c>
      <c r="P225" s="495">
        <f t="shared" si="54"/>
        <v>4.3487612497315514E-4</v>
      </c>
      <c r="Q225" s="495">
        <f t="shared" si="54"/>
        <v>3.917982125514137E-4</v>
      </c>
      <c r="R225" s="495">
        <f t="shared" si="56"/>
        <v>8.2667433752456885E-4</v>
      </c>
      <c r="S225" s="495">
        <f t="shared" si="54"/>
        <v>3.881760080826053E-3</v>
      </c>
      <c r="T225" s="495">
        <f t="shared" si="54"/>
        <v>1.4944072573357422E-3</v>
      </c>
      <c r="U225" s="495">
        <f t="shared" si="54"/>
        <v>1.2580954003892685E-3</v>
      </c>
      <c r="V225" s="495">
        <f t="shared" si="57"/>
        <v>6.6342627385510642E-3</v>
      </c>
      <c r="W225" s="495">
        <f t="shared" ref="W225:Y225" si="70">W179+W204</f>
        <v>0</v>
      </c>
      <c r="X225" s="495">
        <f t="shared" si="70"/>
        <v>7.6191384538671172E-4</v>
      </c>
      <c r="Y225" s="495">
        <f t="shared" si="70"/>
        <v>6.673570577342173E-4</v>
      </c>
      <c r="Z225" s="495">
        <f t="shared" si="59"/>
        <v>1.429270903120929E-3</v>
      </c>
    </row>
    <row r="226" spans="2:41" s="219" customFormat="1" x14ac:dyDescent="0.25">
      <c r="I226" s="493" t="s">
        <v>609</v>
      </c>
      <c r="K226" s="222">
        <f t="shared" si="54"/>
        <v>0</v>
      </c>
      <c r="L226" s="222">
        <f t="shared" si="54"/>
        <v>3.6257732257719839E-2</v>
      </c>
      <c r="M226" s="222">
        <f t="shared" si="54"/>
        <v>0.19908761452987414</v>
      </c>
      <c r="N226" s="222">
        <f t="shared" si="55"/>
        <v>0.23534534678759397</v>
      </c>
      <c r="O226" s="495">
        <f t="shared" si="54"/>
        <v>0</v>
      </c>
      <c r="P226" s="495">
        <f t="shared" si="54"/>
        <v>1.7130246421395903E-3</v>
      </c>
      <c r="Q226" s="495">
        <f t="shared" si="54"/>
        <v>8.7531844232699198E-3</v>
      </c>
      <c r="R226" s="495">
        <f t="shared" si="56"/>
        <v>1.046620906540951E-2</v>
      </c>
      <c r="S226" s="495">
        <f t="shared" si="54"/>
        <v>5.146528428246417E-2</v>
      </c>
      <c r="T226" s="495">
        <f t="shared" si="54"/>
        <v>6.1332074067491525E-3</v>
      </c>
      <c r="U226" s="495">
        <f t="shared" si="54"/>
        <v>2.8115334183369714E-2</v>
      </c>
      <c r="V226" s="495">
        <f t="shared" si="57"/>
        <v>8.5713825872583027E-2</v>
      </c>
      <c r="W226" s="495">
        <f t="shared" ref="W226:Y226" si="71">W180+W205</f>
        <v>0</v>
      </c>
      <c r="X226" s="495">
        <f t="shared" si="71"/>
        <v>2.8080894191669079E-3</v>
      </c>
      <c r="Y226" s="495">
        <f t="shared" si="71"/>
        <v>1.4912301293029548E-2</v>
      </c>
      <c r="Z226" s="495">
        <f t="shared" si="59"/>
        <v>1.7720390712196457E-2</v>
      </c>
    </row>
    <row r="227" spans="2:41" s="219" customFormat="1" x14ac:dyDescent="0.25">
      <c r="I227" s="493" t="s">
        <v>844</v>
      </c>
      <c r="K227" s="222">
        <f>K206</f>
        <v>7.8564406519505416</v>
      </c>
      <c r="L227" s="222"/>
      <c r="M227" s="222"/>
      <c r="N227" s="222">
        <f t="shared" si="55"/>
        <v>7.8564406519505416</v>
      </c>
      <c r="O227" s="495">
        <f>O206</f>
        <v>1.1153439948491632</v>
      </c>
      <c r="P227" s="495"/>
      <c r="Q227" s="495"/>
      <c r="R227" s="495">
        <f t="shared" si="56"/>
        <v>1.1153439948491632</v>
      </c>
      <c r="S227" s="495">
        <f>S206</f>
        <v>1.1153439948491632</v>
      </c>
      <c r="T227" s="495"/>
      <c r="U227" s="495"/>
      <c r="V227" s="495">
        <f t="shared" si="57"/>
        <v>1.1153439948491632</v>
      </c>
      <c r="W227" s="495">
        <f>W206</f>
        <v>1.1153439948491632</v>
      </c>
      <c r="X227" s="495"/>
      <c r="Y227" s="495"/>
      <c r="Z227" s="495">
        <f t="shared" si="59"/>
        <v>1.1153439948491632</v>
      </c>
    </row>
    <row r="228" spans="2:41" s="219" customFormat="1" x14ac:dyDescent="0.25">
      <c r="I228" s="493" t="s">
        <v>624</v>
      </c>
      <c r="K228" s="222">
        <f>SUM(K213:K227)</f>
        <v>7.8564406519505416</v>
      </c>
      <c r="L228" s="222">
        <f t="shared" ref="L228:V228" si="72">SUM(L213:L227)</f>
        <v>3.1864489250259975</v>
      </c>
      <c r="M228" s="222">
        <f t="shared" si="72"/>
        <v>2.9495745036543837</v>
      </c>
      <c r="N228" s="222">
        <f t="shared" si="55"/>
        <v>13.992464080630924</v>
      </c>
      <c r="O228" s="495">
        <f t="shared" si="72"/>
        <v>1.1153439948491632</v>
      </c>
      <c r="P228" s="495">
        <f t="shared" si="72"/>
        <v>0.14189273200383709</v>
      </c>
      <c r="Q228" s="495">
        <f t="shared" si="72"/>
        <v>0.12282659575317723</v>
      </c>
      <c r="R228" s="495">
        <f t="shared" si="72"/>
        <v>1.3800633226061776</v>
      </c>
      <c r="S228" s="495">
        <f t="shared" si="72"/>
        <v>2.2306879896983265</v>
      </c>
      <c r="T228" s="495">
        <f t="shared" si="72"/>
        <v>0.48740312766650018</v>
      </c>
      <c r="U228" s="495">
        <f t="shared" si="72"/>
        <v>0.39441858442283473</v>
      </c>
      <c r="V228" s="495">
        <f t="shared" si="72"/>
        <v>3.1125097017876615</v>
      </c>
      <c r="W228" s="495">
        <f t="shared" ref="W228:Z228" si="73">SUM(W213:W227)</f>
        <v>1.1153439948491632</v>
      </c>
      <c r="X228" s="495">
        <f t="shared" si="73"/>
        <v>0.24864497948894124</v>
      </c>
      <c r="Y228" s="495">
        <f t="shared" si="73"/>
        <v>0.20921714821422138</v>
      </c>
      <c r="Z228" s="495">
        <f t="shared" si="73"/>
        <v>1.5732061225523259</v>
      </c>
    </row>
    <row r="229" spans="2:41" s="219" customFormat="1" x14ac:dyDescent="0.25">
      <c r="I229" s="544" t="s">
        <v>847</v>
      </c>
      <c r="J229" s="510">
        <f>F1</f>
        <v>2010</v>
      </c>
      <c r="K229" s="510" t="s">
        <v>806</v>
      </c>
      <c r="O229" s="495">
        <f>O228*$H159</f>
        <v>1.0376823960194004</v>
      </c>
      <c r="P229" s="495">
        <f t="shared" ref="P229:V229" si="74">P228*$H159</f>
        <v>0.13201271607993253</v>
      </c>
      <c r="Q229" s="495">
        <f t="shared" si="74"/>
        <v>0.11427415825491577</v>
      </c>
      <c r="R229" s="495">
        <f t="shared" si="74"/>
        <v>1.2839692703542487</v>
      </c>
      <c r="S229" s="495">
        <f t="shared" si="74"/>
        <v>2.0753647920388008</v>
      </c>
      <c r="T229" s="495">
        <f t="shared" si="74"/>
        <v>0.45346516203077131</v>
      </c>
      <c r="U229" s="495">
        <f t="shared" si="74"/>
        <v>0.36695514891243719</v>
      </c>
      <c r="V229" s="495">
        <f t="shared" si="74"/>
        <v>2.8957851029820092</v>
      </c>
      <c r="W229" s="495">
        <f t="shared" ref="W229:Z229" si="75">W228*$H159</f>
        <v>1.0376823960194004</v>
      </c>
      <c r="X229" s="495">
        <f t="shared" si="75"/>
        <v>0.23133178576818583</v>
      </c>
      <c r="Y229" s="495">
        <f t="shared" si="75"/>
        <v>0.19464932133035739</v>
      </c>
      <c r="Z229" s="495">
        <f t="shared" si="75"/>
        <v>1.4636635031179437</v>
      </c>
    </row>
    <row r="230" spans="2:41" s="219" customFormat="1" x14ac:dyDescent="0.25">
      <c r="K230" s="222"/>
      <c r="L230" s="222"/>
      <c r="M230" s="222"/>
      <c r="N230" s="222"/>
      <c r="O230" s="220">
        <f>O227*F139</f>
        <v>1.1988178961290126</v>
      </c>
      <c r="P230" s="220"/>
      <c r="Q230" s="220"/>
      <c r="R230" s="220"/>
      <c r="S230" s="220"/>
      <c r="T230" s="220"/>
      <c r="U230" s="220"/>
      <c r="V230" s="220"/>
      <c r="W230" s="222"/>
      <c r="X230" s="222"/>
      <c r="Y230" s="222"/>
      <c r="Z230" s="222"/>
      <c r="AB230" s="222"/>
      <c r="AC230" s="222"/>
      <c r="AD230" s="222"/>
      <c r="AE230" s="222"/>
      <c r="AF230" s="222"/>
      <c r="AG230" s="222"/>
      <c r="AH230" s="222"/>
      <c r="AI230" s="222"/>
      <c r="AJ230" s="222"/>
      <c r="AK230" s="222"/>
      <c r="AL230" s="222"/>
      <c r="AM230" s="222"/>
      <c r="AN230" s="222"/>
      <c r="AO230" s="222"/>
    </row>
    <row r="231" spans="2:41" s="219" customFormat="1" x14ac:dyDescent="0.25">
      <c r="B231" s="219" t="s">
        <v>858</v>
      </c>
      <c r="G231" s="219" t="s">
        <v>858</v>
      </c>
      <c r="L231" s="219" t="s">
        <v>858</v>
      </c>
    </row>
    <row r="232" spans="2:41" s="219" customFormat="1" x14ac:dyDescent="0.25">
      <c r="B232" s="219" t="s">
        <v>859</v>
      </c>
      <c r="G232" s="219" t="s">
        <v>859</v>
      </c>
      <c r="L232" s="219" t="s">
        <v>859</v>
      </c>
      <c r="AA232" s="222"/>
    </row>
    <row r="233" spans="2:41" s="219" customFormat="1" x14ac:dyDescent="0.25">
      <c r="B233" s="487" t="s">
        <v>860</v>
      </c>
      <c r="G233" s="487" t="s">
        <v>861</v>
      </c>
      <c r="L233" s="487" t="s">
        <v>862</v>
      </c>
    </row>
    <row r="234" spans="2:41" s="219" customFormat="1" x14ac:dyDescent="0.25">
      <c r="B234" s="219" t="s">
        <v>30</v>
      </c>
      <c r="C234" s="219" t="s">
        <v>863</v>
      </c>
      <c r="D234" s="219" t="s">
        <v>864</v>
      </c>
      <c r="E234" s="219" t="s">
        <v>865</v>
      </c>
      <c r="G234" s="219" t="s">
        <v>30</v>
      </c>
      <c r="H234" s="219" t="s">
        <v>863</v>
      </c>
      <c r="I234" s="219" t="s">
        <v>864</v>
      </c>
      <c r="J234" s="219" t="s">
        <v>865</v>
      </c>
      <c r="L234" s="219" t="s">
        <v>30</v>
      </c>
      <c r="M234" s="219" t="s">
        <v>863</v>
      </c>
      <c r="N234" s="219" t="s">
        <v>864</v>
      </c>
      <c r="O234" s="219" t="s">
        <v>865</v>
      </c>
    </row>
    <row r="235" spans="2:41" s="219" customFormat="1" x14ac:dyDescent="0.25">
      <c r="B235" s="219">
        <v>1</v>
      </c>
      <c r="C235" s="520">
        <f>IF($B235&lt;='Default Data'!$C$211,-IPMT('Default Data'!$C$212,$B235,'Default Data'!$C$211,'Default Data'!$C$210*'Default Data'!$K$20),0)</f>
        <v>2893324.4399237554</v>
      </c>
      <c r="D235" s="520">
        <f>IF($B235&lt;='Default Data'!$C$211,-PPMT('Default Data'!$C$212,$B235,'Default Data'!$C$211,'Default Data'!$C$210*'Default Data'!$K$20),0)</f>
        <v>910638.47884941462</v>
      </c>
      <c r="E235" s="520">
        <f t="shared" ref="E235:E266" si="76">D235+C235</f>
        <v>3803962.9187731701</v>
      </c>
      <c r="G235" s="219">
        <v>1</v>
      </c>
      <c r="H235" s="520">
        <f>IF($B235&lt;='Default Data'!$C$219,-IPMT('Default Data'!$C$218,$B235,'Default Data'!$C$219,'Default Data'!$C$216*'Default Data'!$K$20),0)</f>
        <v>0</v>
      </c>
      <c r="I235" s="520">
        <f>IF($B235&lt;='Default Data'!$C$219,-PPMT('Default Data'!$C$218,$B235,'Default Data'!$C$219,'Default Data'!$C$216*'Default Data'!$K$20),0)</f>
        <v>0</v>
      </c>
      <c r="J235" s="520">
        <f t="shared" ref="J235:J266" si="77">I235+H235</f>
        <v>0</v>
      </c>
      <c r="L235" s="219">
        <v>1</v>
      </c>
      <c r="M235" s="520">
        <f>IF($B235&lt;='Default Data'!$C$219,-IPMT('Default Data'!$C$218,$B235,'Default Data'!$C$219,'Default Data'!$C$217*'Default Data'!$K$20),0)</f>
        <v>6613313.0055400124</v>
      </c>
      <c r="N235" s="520">
        <f>IF($B235&lt;='Default Data'!$C$219,-PPMT('Default Data'!$C$218,$B235,'Default Data'!$C$219,'Default Data'!$C$217*'Default Data'!$K$20),0)</f>
        <v>1938572.1413632322</v>
      </c>
      <c r="O235" s="520">
        <f t="shared" ref="O235:O266" si="78">N235+M235</f>
        <v>8551885.1469032448</v>
      </c>
    </row>
    <row r="236" spans="2:41" s="219" customFormat="1" x14ac:dyDescent="0.25">
      <c r="B236" s="219">
        <v>2</v>
      </c>
      <c r="C236" s="520">
        <f>IF($B236&lt;='Default Data'!$C$211,-IPMT('Default Data'!$C$212,$B236,'Default Data'!$C$211,'Default Data'!$C$210*'Default Data'!$K$20),0)</f>
        <v>2802260.592038814</v>
      </c>
      <c r="D236" s="520">
        <f>IF($B236&lt;='Default Data'!$C$211,-PPMT('Default Data'!$C$212,$B236,'Default Data'!$C$211,'Default Data'!$C$210*'Default Data'!$K$20),0)</f>
        <v>1001702.3267343562</v>
      </c>
      <c r="E236" s="520">
        <f t="shared" si="76"/>
        <v>3803962.9187731701</v>
      </c>
      <c r="G236" s="219">
        <v>2</v>
      </c>
      <c r="H236" s="520">
        <f>IF($B236&lt;='Default Data'!$C$219,-IPMT('Default Data'!$C$218,$B236,'Default Data'!$C$219,'Default Data'!$C$216*'Default Data'!$K$20),0)</f>
        <v>0</v>
      </c>
      <c r="I236" s="520">
        <f>IF($B236&lt;='Default Data'!$C$219,-PPMT('Default Data'!$C$218,$B236,'Default Data'!$C$219,'Default Data'!$C$216*'Default Data'!$K$20),0)</f>
        <v>0</v>
      </c>
      <c r="J236" s="520">
        <f t="shared" si="77"/>
        <v>0</v>
      </c>
      <c r="L236" s="219">
        <v>2</v>
      </c>
      <c r="M236" s="520">
        <f>IF($B236&lt;='Default Data'!$C$219,-IPMT('Default Data'!$C$218,$B236,'Default Data'!$C$219,'Default Data'!$C$217*'Default Data'!$K$20),0)</f>
        <v>6303141.4629218951</v>
      </c>
      <c r="N236" s="520">
        <f>IF($B236&lt;='Default Data'!$C$219,-PPMT('Default Data'!$C$218,$B236,'Default Data'!$C$219,'Default Data'!$C$217*'Default Data'!$K$20),0)</f>
        <v>2248743.6839813492</v>
      </c>
      <c r="O236" s="520">
        <f t="shared" si="78"/>
        <v>8551885.1469032448</v>
      </c>
    </row>
    <row r="237" spans="2:41" s="219" customFormat="1" x14ac:dyDescent="0.25">
      <c r="B237" s="219">
        <v>3</v>
      </c>
      <c r="C237" s="520">
        <f>IF($B237&lt;='Default Data'!$C$211,-IPMT('Default Data'!$C$212,$B237,'Default Data'!$C$211,'Default Data'!$C$210*'Default Data'!$K$20),0)</f>
        <v>2702090.3593653785</v>
      </c>
      <c r="D237" s="520">
        <f>IF($B237&lt;='Default Data'!$C$211,-PPMT('Default Data'!$C$212,$B237,'Default Data'!$C$211,'Default Data'!$C$210*'Default Data'!$K$20),0)</f>
        <v>1101872.5594077916</v>
      </c>
      <c r="E237" s="520">
        <f t="shared" si="76"/>
        <v>3803962.9187731701</v>
      </c>
      <c r="G237" s="219">
        <v>3</v>
      </c>
      <c r="H237" s="520">
        <f>IF($B237&lt;='Default Data'!$C$219,-IPMT('Default Data'!$C$218,$B237,'Default Data'!$C$219,'Default Data'!$C$216*'Default Data'!$K$20),0)</f>
        <v>0</v>
      </c>
      <c r="I237" s="520">
        <f>IF($B237&lt;='Default Data'!$C$219,-PPMT('Default Data'!$C$218,$B237,'Default Data'!$C$219,'Default Data'!$C$216*'Default Data'!$K$20),0)</f>
        <v>0</v>
      </c>
      <c r="J237" s="520">
        <f t="shared" si="77"/>
        <v>0</v>
      </c>
      <c r="L237" s="219">
        <v>3</v>
      </c>
      <c r="M237" s="520">
        <f>IF($B237&lt;='Default Data'!$C$219,-IPMT('Default Data'!$C$218,$B237,'Default Data'!$C$219,'Default Data'!$C$217*'Default Data'!$K$20),0)</f>
        <v>5943342.4734848803</v>
      </c>
      <c r="N237" s="520">
        <f>IF($B237&lt;='Default Data'!$C$219,-PPMT('Default Data'!$C$218,$B237,'Default Data'!$C$219,'Default Data'!$C$217*'Default Data'!$K$20),0)</f>
        <v>2608542.673418365</v>
      </c>
      <c r="O237" s="520">
        <f t="shared" si="78"/>
        <v>8551885.1469032448</v>
      </c>
    </row>
    <row r="238" spans="2:41" s="219" customFormat="1" x14ac:dyDescent="0.25">
      <c r="B238" s="219">
        <v>4</v>
      </c>
      <c r="C238" s="520">
        <f>IF($B238&lt;='Default Data'!$C$211,-IPMT('Default Data'!$C$212,$B238,'Default Data'!$C$211,'Default Data'!$C$210*'Default Data'!$K$20),0)</f>
        <v>2591903.1034245989</v>
      </c>
      <c r="D238" s="520">
        <f>IF($B238&lt;='Default Data'!$C$211,-PPMT('Default Data'!$C$212,$B238,'Default Data'!$C$211,'Default Data'!$C$210*'Default Data'!$K$20),0)</f>
        <v>1212059.8153485709</v>
      </c>
      <c r="E238" s="520">
        <f t="shared" si="76"/>
        <v>3803962.9187731696</v>
      </c>
      <c r="G238" s="219">
        <v>4</v>
      </c>
      <c r="H238" s="520">
        <f>IF($B238&lt;='Default Data'!$C$219,-IPMT('Default Data'!$C$218,$B238,'Default Data'!$C$219,'Default Data'!$C$216*'Default Data'!$K$20),0)</f>
        <v>0</v>
      </c>
      <c r="I238" s="520">
        <f>IF($B238&lt;='Default Data'!$C$219,-PPMT('Default Data'!$C$218,$B238,'Default Data'!$C$219,'Default Data'!$C$216*'Default Data'!$K$20),0)</f>
        <v>0</v>
      </c>
      <c r="J238" s="520">
        <f t="shared" si="77"/>
        <v>0</v>
      </c>
      <c r="L238" s="219">
        <v>4</v>
      </c>
      <c r="M238" s="520">
        <f>IF($B238&lt;='Default Data'!$C$219,-IPMT('Default Data'!$C$218,$B238,'Default Data'!$C$219,'Default Data'!$C$217*'Default Data'!$K$20),0)</f>
        <v>5525975.6457379414</v>
      </c>
      <c r="N238" s="520">
        <f>IF($B238&lt;='Default Data'!$C$219,-PPMT('Default Data'!$C$218,$B238,'Default Data'!$C$219,'Default Data'!$C$217*'Default Data'!$K$20),0)</f>
        <v>3025909.5011653039</v>
      </c>
      <c r="O238" s="520">
        <f t="shared" si="78"/>
        <v>8551885.1469032448</v>
      </c>
    </row>
    <row r="239" spans="2:41" s="219" customFormat="1" x14ac:dyDescent="0.25">
      <c r="B239" s="219">
        <v>5</v>
      </c>
      <c r="C239" s="520">
        <f>IF($B239&lt;='Default Data'!$C$211,-IPMT('Default Data'!$C$212,$B239,'Default Data'!$C$211,'Default Data'!$C$210*'Default Data'!$K$20),0)</f>
        <v>2470697.1218897416</v>
      </c>
      <c r="D239" s="520">
        <f>IF($B239&lt;='Default Data'!$C$211,-PPMT('Default Data'!$C$212,$B239,'Default Data'!$C$211,'Default Data'!$C$210*'Default Data'!$K$20),0)</f>
        <v>1333265.796883428</v>
      </c>
      <c r="E239" s="520">
        <f t="shared" si="76"/>
        <v>3803962.9187731696</v>
      </c>
      <c r="G239" s="219">
        <v>5</v>
      </c>
      <c r="H239" s="520">
        <f>IF($B239&lt;='Default Data'!$C$219,-IPMT('Default Data'!$C$218,$B239,'Default Data'!$C$219,'Default Data'!$C$216*'Default Data'!$K$20),0)</f>
        <v>0</v>
      </c>
      <c r="I239" s="520">
        <f>IF($B239&lt;='Default Data'!$C$219,-PPMT('Default Data'!$C$218,$B239,'Default Data'!$C$219,'Default Data'!$C$216*'Default Data'!$K$20),0)</f>
        <v>0</v>
      </c>
      <c r="J239" s="520">
        <f t="shared" si="77"/>
        <v>0</v>
      </c>
      <c r="L239" s="219">
        <v>5</v>
      </c>
      <c r="M239" s="520">
        <f>IF($B239&lt;='Default Data'!$C$219,-IPMT('Default Data'!$C$218,$B239,'Default Data'!$C$219,'Default Data'!$C$217*'Default Data'!$K$20),0)</f>
        <v>5041830.1255514929</v>
      </c>
      <c r="N239" s="520">
        <f>IF($B239&lt;='Default Data'!$C$219,-PPMT('Default Data'!$C$218,$B239,'Default Data'!$C$219,'Default Data'!$C$217*'Default Data'!$K$20),0)</f>
        <v>3510055.0213517519</v>
      </c>
      <c r="O239" s="520">
        <f t="shared" si="78"/>
        <v>8551885.1469032448</v>
      </c>
    </row>
    <row r="240" spans="2:41" s="219" customFormat="1" x14ac:dyDescent="0.25">
      <c r="B240" s="219">
        <v>6</v>
      </c>
      <c r="C240" s="520">
        <f>IF($B240&lt;='Default Data'!$C$211,-IPMT('Default Data'!$C$212,$B240,'Default Data'!$C$211,'Default Data'!$C$210*'Default Data'!$K$20),0)</f>
        <v>2337370.5422013993</v>
      </c>
      <c r="D240" s="520">
        <f>IF($B240&lt;='Default Data'!$C$211,-PPMT('Default Data'!$C$212,$B240,'Default Data'!$C$211,'Default Data'!$C$210*'Default Data'!$K$20),0)</f>
        <v>1466592.3765717708</v>
      </c>
      <c r="E240" s="520">
        <f t="shared" si="76"/>
        <v>3803962.9187731701</v>
      </c>
      <c r="G240" s="219">
        <v>6</v>
      </c>
      <c r="H240" s="520">
        <f>IF($B240&lt;='Default Data'!$C$219,-IPMT('Default Data'!$C$218,$B240,'Default Data'!$C$219,'Default Data'!$C$216*'Default Data'!$K$20),0)</f>
        <v>0</v>
      </c>
      <c r="I240" s="520">
        <f>IF($B240&lt;='Default Data'!$C$219,-PPMT('Default Data'!$C$218,$B240,'Default Data'!$C$219,'Default Data'!$C$216*'Default Data'!$K$20),0)</f>
        <v>0</v>
      </c>
      <c r="J240" s="520">
        <f t="shared" si="77"/>
        <v>0</v>
      </c>
      <c r="L240" s="219">
        <v>6</v>
      </c>
      <c r="M240" s="520">
        <f>IF($B240&lt;='Default Data'!$C$219,-IPMT('Default Data'!$C$218,$B240,'Default Data'!$C$219,'Default Data'!$C$217*'Default Data'!$K$20),0)</f>
        <v>4480221.3221352119</v>
      </c>
      <c r="N240" s="520">
        <f>IF($B240&lt;='Default Data'!$C$219,-PPMT('Default Data'!$C$218,$B240,'Default Data'!$C$219,'Default Data'!$C$217*'Default Data'!$K$20),0)</f>
        <v>4071663.8247680324</v>
      </c>
      <c r="O240" s="520">
        <f t="shared" si="78"/>
        <v>8551885.1469032448</v>
      </c>
    </row>
    <row r="241" spans="2:15" s="219" customFormat="1" x14ac:dyDescent="0.25">
      <c r="B241" s="219">
        <v>7</v>
      </c>
      <c r="C241" s="520">
        <f>IF($B241&lt;='Default Data'!$C$211,-IPMT('Default Data'!$C$212,$B241,'Default Data'!$C$211,'Default Data'!$C$210*'Default Data'!$K$20),0)</f>
        <v>2190711.3045442221</v>
      </c>
      <c r="D241" s="520">
        <f>IF($B241&lt;='Default Data'!$C$211,-PPMT('Default Data'!$C$212,$B241,'Default Data'!$C$211,'Default Data'!$C$210*'Default Data'!$K$20),0)</f>
        <v>1613251.6142289478</v>
      </c>
      <c r="E241" s="520">
        <f t="shared" si="76"/>
        <v>3803962.9187731696</v>
      </c>
      <c r="G241" s="219">
        <v>7</v>
      </c>
      <c r="H241" s="520">
        <f>IF($B241&lt;='Default Data'!$C$219,-IPMT('Default Data'!$C$218,$B241,'Default Data'!$C$219,'Default Data'!$C$216*'Default Data'!$K$20),0)</f>
        <v>0</v>
      </c>
      <c r="I241" s="520">
        <f>IF($B241&lt;='Default Data'!$C$219,-PPMT('Default Data'!$C$218,$B241,'Default Data'!$C$219,'Default Data'!$C$216*'Default Data'!$K$20),0)</f>
        <v>0</v>
      </c>
      <c r="J241" s="520">
        <f t="shared" si="77"/>
        <v>0</v>
      </c>
      <c r="L241" s="219">
        <v>7</v>
      </c>
      <c r="M241" s="520">
        <f>IF($B241&lt;='Default Data'!$C$219,-IPMT('Default Data'!$C$218,$B241,'Default Data'!$C$219,'Default Data'!$C$217*'Default Data'!$K$20),0)</f>
        <v>3828755.1101723267</v>
      </c>
      <c r="N241" s="520">
        <f>IF($B241&lt;='Default Data'!$C$219,-PPMT('Default Data'!$C$218,$B241,'Default Data'!$C$219,'Default Data'!$C$217*'Default Data'!$K$20),0)</f>
        <v>4723130.0367309181</v>
      </c>
      <c r="O241" s="520">
        <f t="shared" si="78"/>
        <v>8551885.1469032448</v>
      </c>
    </row>
    <row r="242" spans="2:15" s="219" customFormat="1" x14ac:dyDescent="0.25">
      <c r="B242" s="219">
        <v>8</v>
      </c>
      <c r="C242" s="520">
        <f>IF($B242&lt;='Default Data'!$C$211,-IPMT('Default Data'!$C$212,$B242,'Default Data'!$C$211,'Default Data'!$C$210*'Default Data'!$K$20),0)</f>
        <v>2029386.1431213273</v>
      </c>
      <c r="D242" s="520">
        <f>IF($B242&lt;='Default Data'!$C$211,-PPMT('Default Data'!$C$212,$B242,'Default Data'!$C$211,'Default Data'!$C$210*'Default Data'!$K$20),0)</f>
        <v>1774576.7756518424</v>
      </c>
      <c r="E242" s="520">
        <f t="shared" si="76"/>
        <v>3803962.9187731696</v>
      </c>
      <c r="G242" s="219">
        <v>8</v>
      </c>
      <c r="H242" s="520">
        <f>IF($B242&lt;='Default Data'!$C$219,-IPMT('Default Data'!$C$218,$B242,'Default Data'!$C$219,'Default Data'!$C$216*'Default Data'!$K$20),0)</f>
        <v>0</v>
      </c>
      <c r="I242" s="520">
        <f>IF($B242&lt;='Default Data'!$C$219,-PPMT('Default Data'!$C$218,$B242,'Default Data'!$C$219,'Default Data'!$C$216*'Default Data'!$K$20),0)</f>
        <v>0</v>
      </c>
      <c r="J242" s="520">
        <f t="shared" si="77"/>
        <v>0</v>
      </c>
      <c r="L242" s="219">
        <v>8</v>
      </c>
      <c r="M242" s="520">
        <f>IF($B242&lt;='Default Data'!$C$219,-IPMT('Default Data'!$C$218,$B242,'Default Data'!$C$219,'Default Data'!$C$217*'Default Data'!$K$20),0)</f>
        <v>3073054.3042953801</v>
      </c>
      <c r="N242" s="520">
        <f>IF($B242&lt;='Default Data'!$C$219,-PPMT('Default Data'!$C$218,$B242,'Default Data'!$C$219,'Default Data'!$C$217*'Default Data'!$K$20),0)</f>
        <v>5478830.8426078642</v>
      </c>
      <c r="O242" s="520">
        <f t="shared" si="78"/>
        <v>8551885.1469032448</v>
      </c>
    </row>
    <row r="243" spans="2:15" s="219" customFormat="1" x14ac:dyDescent="0.25">
      <c r="B243" s="219">
        <v>9</v>
      </c>
      <c r="C243" s="520">
        <f>IF($B243&lt;='Default Data'!$C$211,-IPMT('Default Data'!$C$212,$B243,'Default Data'!$C$211,'Default Data'!$C$210*'Default Data'!$K$20),0)</f>
        <v>1851928.4655561433</v>
      </c>
      <c r="D243" s="520">
        <f>IF($B243&lt;='Default Data'!$C$211,-PPMT('Default Data'!$C$212,$B243,'Default Data'!$C$211,'Default Data'!$C$210*'Default Data'!$K$20),0)</f>
        <v>1952034.4532170268</v>
      </c>
      <c r="E243" s="520">
        <f t="shared" si="76"/>
        <v>3803962.9187731701</v>
      </c>
      <c r="G243" s="219">
        <v>9</v>
      </c>
      <c r="H243" s="520">
        <f>IF($B243&lt;='Default Data'!$C$219,-IPMT('Default Data'!$C$218,$B243,'Default Data'!$C$219,'Default Data'!$C$216*'Default Data'!$K$20),0)</f>
        <v>0</v>
      </c>
      <c r="I243" s="520">
        <f>IF($B243&lt;='Default Data'!$C$219,-PPMT('Default Data'!$C$218,$B243,'Default Data'!$C$219,'Default Data'!$C$216*'Default Data'!$K$20),0)</f>
        <v>0</v>
      </c>
      <c r="J243" s="520">
        <f t="shared" si="77"/>
        <v>0</v>
      </c>
      <c r="L243" s="219">
        <v>9</v>
      </c>
      <c r="M243" s="520">
        <f>IF($B243&lt;='Default Data'!$C$219,-IPMT('Default Data'!$C$218,$B243,'Default Data'!$C$219,'Default Data'!$C$217*'Default Data'!$K$20),0)</f>
        <v>2196441.3694781223</v>
      </c>
      <c r="N243" s="520">
        <f>IF($B243&lt;='Default Data'!$C$219,-PPMT('Default Data'!$C$218,$B243,'Default Data'!$C$219,'Default Data'!$C$217*'Default Data'!$K$20),0)</f>
        <v>6355443.7774251224</v>
      </c>
      <c r="O243" s="520">
        <f t="shared" si="78"/>
        <v>8551885.1469032448</v>
      </c>
    </row>
    <row r="244" spans="2:15" s="219" customFormat="1" x14ac:dyDescent="0.25">
      <c r="B244" s="219">
        <v>10</v>
      </c>
      <c r="C244" s="520">
        <f>IF($B244&lt;='Default Data'!$C$211,-IPMT('Default Data'!$C$212,$B244,'Default Data'!$C$211,'Default Data'!$C$210*'Default Data'!$K$20),0)</f>
        <v>1656725.0202344405</v>
      </c>
      <c r="D244" s="520">
        <f>IF($B244&lt;='Default Data'!$C$211,-PPMT('Default Data'!$C$212,$B244,'Default Data'!$C$211,'Default Data'!$C$210*'Default Data'!$K$20),0)</f>
        <v>2147237.8985387292</v>
      </c>
      <c r="E244" s="520">
        <f t="shared" si="76"/>
        <v>3803962.9187731696</v>
      </c>
      <c r="G244" s="219">
        <v>10</v>
      </c>
      <c r="H244" s="520">
        <f>IF($B244&lt;='Default Data'!$C$219,-IPMT('Default Data'!$C$218,$B244,'Default Data'!$C$219,'Default Data'!$C$216*'Default Data'!$K$20),0)</f>
        <v>0</v>
      </c>
      <c r="I244" s="520">
        <f>IF($B244&lt;='Default Data'!$C$219,-PPMT('Default Data'!$C$218,$B244,'Default Data'!$C$219,'Default Data'!$C$216*'Default Data'!$K$20),0)</f>
        <v>0</v>
      </c>
      <c r="J244" s="520">
        <f t="shared" si="77"/>
        <v>0</v>
      </c>
      <c r="L244" s="219">
        <v>10</v>
      </c>
      <c r="M244" s="520">
        <f>IF($B244&lt;='Default Data'!$C$219,-IPMT('Default Data'!$C$218,$B244,'Default Data'!$C$219,'Default Data'!$C$217*'Default Data'!$K$20),0)</f>
        <v>1179570.3650901027</v>
      </c>
      <c r="N244" s="520">
        <f>IF($B244&lt;='Default Data'!$C$219,-PPMT('Default Data'!$C$218,$B244,'Default Data'!$C$219,'Default Data'!$C$217*'Default Data'!$K$20),0)</f>
        <v>7372314.7818131428</v>
      </c>
      <c r="O244" s="520">
        <f t="shared" si="78"/>
        <v>8551885.1469032448</v>
      </c>
    </row>
    <row r="245" spans="2:15" s="219" customFormat="1" x14ac:dyDescent="0.25">
      <c r="B245" s="219">
        <v>11</v>
      </c>
      <c r="C245" s="520">
        <f>IF($B245&lt;='Default Data'!$C$211,-IPMT('Default Data'!$C$212,$B245,'Default Data'!$C$211,'Default Data'!$C$210*'Default Data'!$K$20),0)</f>
        <v>1442001.2303805677</v>
      </c>
      <c r="D245" s="520">
        <f>IF($B245&lt;='Default Data'!$C$211,-PPMT('Default Data'!$C$212,$B245,'Default Data'!$C$211,'Default Data'!$C$210*'Default Data'!$K$20),0)</f>
        <v>2361961.6883926024</v>
      </c>
      <c r="E245" s="520">
        <f t="shared" si="76"/>
        <v>3803962.9187731701</v>
      </c>
      <c r="G245" s="219">
        <v>11</v>
      </c>
      <c r="H245" s="520">
        <f>IF($B245&lt;='Default Data'!$C$219,-IPMT('Default Data'!$C$218,$B245,'Default Data'!$C$219,'Default Data'!$C$216*'Default Data'!$K$20),0)</f>
        <v>0</v>
      </c>
      <c r="I245" s="520">
        <f>IF($B245&lt;='Default Data'!$C$219,-PPMT('Default Data'!$C$218,$B245,'Default Data'!$C$219,'Default Data'!$C$216*'Default Data'!$K$20),0)</f>
        <v>0</v>
      </c>
      <c r="J245" s="520">
        <f t="shared" si="77"/>
        <v>0</v>
      </c>
      <c r="L245" s="219">
        <v>11</v>
      </c>
      <c r="M245" s="520">
        <f>IF($B245&lt;='Default Data'!$C$219,-IPMT('Default Data'!$C$218,$B245,'Default Data'!$C$219,'Default Data'!$C$217*'Default Data'!$K$20),0)</f>
        <v>0</v>
      </c>
      <c r="N245" s="520">
        <f>IF($B245&lt;='Default Data'!$C$219,-PPMT('Default Data'!$C$218,$B245,'Default Data'!$C$219,'Default Data'!$C$217*'Default Data'!$K$20),0)</f>
        <v>0</v>
      </c>
      <c r="O245" s="520">
        <f t="shared" si="78"/>
        <v>0</v>
      </c>
    </row>
    <row r="246" spans="2:15" s="219" customFormat="1" x14ac:dyDescent="0.25">
      <c r="B246" s="219">
        <v>12</v>
      </c>
      <c r="C246" s="520">
        <f>IF($B246&lt;='Default Data'!$C$211,-IPMT('Default Data'!$C$212,$B246,'Default Data'!$C$211,'Default Data'!$C$210*'Default Data'!$K$20),0)</f>
        <v>1205805.0615413075</v>
      </c>
      <c r="D246" s="520">
        <f>IF($B246&lt;='Default Data'!$C$211,-PPMT('Default Data'!$C$212,$B246,'Default Data'!$C$211,'Default Data'!$C$210*'Default Data'!$K$20),0)</f>
        <v>2598157.8572318628</v>
      </c>
      <c r="E246" s="520">
        <f t="shared" si="76"/>
        <v>3803962.9187731706</v>
      </c>
      <c r="G246" s="219">
        <v>12</v>
      </c>
      <c r="H246" s="520">
        <f>IF($B246&lt;='Default Data'!$C$219,-IPMT('Default Data'!$C$218,$B246,'Default Data'!$C$219,'Default Data'!$C$216*'Default Data'!$K$20),0)</f>
        <v>0</v>
      </c>
      <c r="I246" s="520">
        <f>IF($B246&lt;='Default Data'!$C$219,-PPMT('Default Data'!$C$218,$B246,'Default Data'!$C$219,'Default Data'!$C$216*'Default Data'!$K$20),0)</f>
        <v>0</v>
      </c>
      <c r="J246" s="520">
        <f t="shared" si="77"/>
        <v>0</v>
      </c>
      <c r="L246" s="219">
        <v>12</v>
      </c>
      <c r="M246" s="520">
        <f>IF($B246&lt;='Default Data'!$C$219,-IPMT('Default Data'!$C$218,$B246,'Default Data'!$C$219,'Default Data'!$C$217*'Default Data'!$K$20),0)</f>
        <v>0</v>
      </c>
      <c r="N246" s="520">
        <f>IF($B246&lt;='Default Data'!$C$219,-PPMT('Default Data'!$C$218,$B246,'Default Data'!$C$219,'Default Data'!$C$217*'Default Data'!$K$20),0)</f>
        <v>0</v>
      </c>
      <c r="O246" s="520">
        <f t="shared" si="78"/>
        <v>0</v>
      </c>
    </row>
    <row r="247" spans="2:15" s="219" customFormat="1" x14ac:dyDescent="0.25">
      <c r="B247" s="219">
        <v>13</v>
      </c>
      <c r="C247" s="520">
        <f>IF($B247&lt;='Default Data'!$C$211,-IPMT('Default Data'!$C$212,$B247,'Default Data'!$C$211,'Default Data'!$C$210*'Default Data'!$K$20),0)</f>
        <v>945989.27581812092</v>
      </c>
      <c r="D247" s="520">
        <f>IF($B247&lt;='Default Data'!$C$211,-PPMT('Default Data'!$C$212,$B247,'Default Data'!$C$211,'Default Data'!$C$210*'Default Data'!$K$20),0)</f>
        <v>2857973.6429550489</v>
      </c>
      <c r="E247" s="520">
        <f t="shared" si="76"/>
        <v>3803962.9187731696</v>
      </c>
      <c r="G247" s="219">
        <v>13</v>
      </c>
      <c r="H247" s="520">
        <f>IF($B247&lt;='Default Data'!$C$219,-IPMT('Default Data'!$C$218,$B247,'Default Data'!$C$219,'Default Data'!$C$216*'Default Data'!$K$20),0)</f>
        <v>0</v>
      </c>
      <c r="I247" s="520">
        <f>IF($B247&lt;='Default Data'!$C$219,-PPMT('Default Data'!$C$218,$B247,'Default Data'!$C$219,'Default Data'!$C$216*'Default Data'!$K$20),0)</f>
        <v>0</v>
      </c>
      <c r="J247" s="520">
        <f t="shared" si="77"/>
        <v>0</v>
      </c>
      <c r="L247" s="219">
        <v>13</v>
      </c>
      <c r="M247" s="520">
        <f>IF($B247&lt;='Default Data'!$C$219,-IPMT('Default Data'!$C$218,$B247,'Default Data'!$C$219,'Default Data'!$C$217*'Default Data'!$K$20),0)</f>
        <v>0</v>
      </c>
      <c r="N247" s="520">
        <f>IF($B247&lt;='Default Data'!$C$219,-PPMT('Default Data'!$C$218,$B247,'Default Data'!$C$219,'Default Data'!$C$217*'Default Data'!$K$20),0)</f>
        <v>0</v>
      </c>
      <c r="O247" s="520">
        <f t="shared" si="78"/>
        <v>0</v>
      </c>
    </row>
    <row r="248" spans="2:15" s="219" customFormat="1" x14ac:dyDescent="0.25">
      <c r="B248" s="219">
        <v>14</v>
      </c>
      <c r="C248" s="520">
        <f>IF($B248&lt;='Default Data'!$C$211,-IPMT('Default Data'!$C$212,$B248,'Default Data'!$C$211,'Default Data'!$C$210*'Default Data'!$K$20),0)</f>
        <v>660191.91152261617</v>
      </c>
      <c r="D248" s="520">
        <f>IF($B248&lt;='Default Data'!$C$211,-PPMT('Default Data'!$C$212,$B248,'Default Data'!$C$211,'Default Data'!$C$210*'Default Data'!$K$20),0)</f>
        <v>3143771.0072505539</v>
      </c>
      <c r="E248" s="520">
        <f t="shared" si="76"/>
        <v>3803962.9187731701</v>
      </c>
      <c r="G248" s="219">
        <v>14</v>
      </c>
      <c r="H248" s="520">
        <f>IF($B248&lt;='Default Data'!$C$219,-IPMT('Default Data'!$C$218,$B248,'Default Data'!$C$219,'Default Data'!$C$216*'Default Data'!$K$20),0)</f>
        <v>0</v>
      </c>
      <c r="I248" s="520">
        <f>IF($B248&lt;='Default Data'!$C$219,-PPMT('Default Data'!$C$218,$B248,'Default Data'!$C$219,'Default Data'!$C$216*'Default Data'!$K$20),0)</f>
        <v>0</v>
      </c>
      <c r="J248" s="520">
        <f t="shared" si="77"/>
        <v>0</v>
      </c>
      <c r="L248" s="219">
        <v>14</v>
      </c>
      <c r="M248" s="520">
        <f>IF($B248&lt;='Default Data'!$C$219,-IPMT('Default Data'!$C$218,$B248,'Default Data'!$C$219,'Default Data'!$C$217*'Default Data'!$K$20),0)</f>
        <v>0</v>
      </c>
      <c r="N248" s="520">
        <f>IF($B248&lt;='Default Data'!$C$219,-PPMT('Default Data'!$C$218,$B248,'Default Data'!$C$219,'Default Data'!$C$217*'Default Data'!$K$20),0)</f>
        <v>0</v>
      </c>
      <c r="O248" s="520">
        <f t="shared" si="78"/>
        <v>0</v>
      </c>
    </row>
    <row r="249" spans="2:15" s="219" customFormat="1" x14ac:dyDescent="0.25">
      <c r="B249" s="219">
        <v>15</v>
      </c>
      <c r="C249" s="520">
        <f>IF($B249&lt;='Default Data'!$C$211,-IPMT('Default Data'!$C$212,$B249,'Default Data'!$C$211,'Default Data'!$C$210*'Default Data'!$K$20),0)</f>
        <v>345814.8107975609</v>
      </c>
      <c r="D249" s="520">
        <f>IF($B249&lt;='Default Data'!$C$211,-PPMT('Default Data'!$C$212,$B249,'Default Data'!$C$211,'Default Data'!$C$210*'Default Data'!$K$20),0)</f>
        <v>3458148.1079756091</v>
      </c>
      <c r="E249" s="520">
        <f t="shared" si="76"/>
        <v>3803962.9187731701</v>
      </c>
      <c r="G249" s="219">
        <v>15</v>
      </c>
      <c r="H249" s="520">
        <f>IF($B249&lt;='Default Data'!$C$219,-IPMT('Default Data'!$C$218,$B249,'Default Data'!$C$219,'Default Data'!$C$216*'Default Data'!$K$20),0)</f>
        <v>0</v>
      </c>
      <c r="I249" s="520">
        <f>IF($B249&lt;='Default Data'!$C$219,-PPMT('Default Data'!$C$218,$B249,'Default Data'!$C$219,'Default Data'!$C$216*'Default Data'!$K$20),0)</f>
        <v>0</v>
      </c>
      <c r="J249" s="520">
        <f t="shared" si="77"/>
        <v>0</v>
      </c>
      <c r="L249" s="219">
        <v>15</v>
      </c>
      <c r="M249" s="520">
        <f>IF($B249&lt;='Default Data'!$C$219,-IPMT('Default Data'!$C$218,$B249,'Default Data'!$C$219,'Default Data'!$C$217*'Default Data'!$K$20),0)</f>
        <v>0</v>
      </c>
      <c r="N249" s="520">
        <f>IF($B249&lt;='Default Data'!$C$219,-PPMT('Default Data'!$C$218,$B249,'Default Data'!$C$219,'Default Data'!$C$217*'Default Data'!$K$20),0)</f>
        <v>0</v>
      </c>
      <c r="O249" s="520">
        <f t="shared" si="78"/>
        <v>0</v>
      </c>
    </row>
    <row r="250" spans="2:15" s="219" customFormat="1" x14ac:dyDescent="0.25">
      <c r="B250" s="219">
        <v>16</v>
      </c>
      <c r="C250" s="520">
        <f>IF($B250&lt;='Default Data'!$C$211,-IPMT('Default Data'!$C$212,$B250,'Default Data'!$C$211,'Default Data'!$C$210*'Default Data'!$K$20),0)</f>
        <v>0</v>
      </c>
      <c r="D250" s="520">
        <f>IF($B250&lt;='Default Data'!$C$211,-PPMT('Default Data'!$C$212,$B250,'Default Data'!$C$211,'Default Data'!$C$210*'Default Data'!$K$20),0)</f>
        <v>0</v>
      </c>
      <c r="E250" s="520">
        <f t="shared" si="76"/>
        <v>0</v>
      </c>
      <c r="G250" s="219">
        <v>16</v>
      </c>
      <c r="H250" s="520">
        <f>IF($B250&lt;='Default Data'!$C$219,-IPMT('Default Data'!$C$218,$B250,'Default Data'!$C$219,'Default Data'!$C$216*'Default Data'!$K$20),0)</f>
        <v>0</v>
      </c>
      <c r="I250" s="520">
        <f>IF($B250&lt;='Default Data'!$C$219,-PPMT('Default Data'!$C$218,$B250,'Default Data'!$C$219,'Default Data'!$C$216*'Default Data'!$K$20),0)</f>
        <v>0</v>
      </c>
      <c r="J250" s="520">
        <f t="shared" si="77"/>
        <v>0</v>
      </c>
      <c r="L250" s="219">
        <v>16</v>
      </c>
      <c r="M250" s="520">
        <f>IF($B250&lt;='Default Data'!$C$219,-IPMT('Default Data'!$C$218,$B250,'Default Data'!$C$219,'Default Data'!$C$217*'Default Data'!$K$20),0)</f>
        <v>0</v>
      </c>
      <c r="N250" s="520">
        <f>IF($B250&lt;='Default Data'!$C$219,-PPMT('Default Data'!$C$218,$B250,'Default Data'!$C$219,'Default Data'!$C$217*'Default Data'!$K$20),0)</f>
        <v>0</v>
      </c>
      <c r="O250" s="520">
        <f t="shared" si="78"/>
        <v>0</v>
      </c>
    </row>
    <row r="251" spans="2:15" s="219" customFormat="1" x14ac:dyDescent="0.25">
      <c r="B251" s="219">
        <v>17</v>
      </c>
      <c r="C251" s="520">
        <f>IF($B251&lt;='Default Data'!$C$211,-IPMT('Default Data'!$C$212,$B251,'Default Data'!$C$211,'Default Data'!$C$210*'Default Data'!$K$20),0)</f>
        <v>0</v>
      </c>
      <c r="D251" s="520">
        <f>IF($B251&lt;='Default Data'!$C$211,-PPMT('Default Data'!$C$212,$B251,'Default Data'!$C$211,'Default Data'!$C$210*'Default Data'!$K$20),0)</f>
        <v>0</v>
      </c>
      <c r="E251" s="520">
        <f t="shared" si="76"/>
        <v>0</v>
      </c>
      <c r="G251" s="219">
        <v>17</v>
      </c>
      <c r="H251" s="520">
        <f>IF($B251&lt;='Default Data'!$C$219,-IPMT('Default Data'!$C$218,$B251,'Default Data'!$C$219,'Default Data'!$C$216*'Default Data'!$K$20),0)</f>
        <v>0</v>
      </c>
      <c r="I251" s="520">
        <f>IF($B251&lt;='Default Data'!$C$219,-PPMT('Default Data'!$C$218,$B251,'Default Data'!$C$219,'Default Data'!$C$216*'Default Data'!$K$20),0)</f>
        <v>0</v>
      </c>
      <c r="J251" s="520">
        <f t="shared" si="77"/>
        <v>0</v>
      </c>
      <c r="L251" s="219">
        <v>17</v>
      </c>
      <c r="M251" s="520">
        <f>IF($B251&lt;='Default Data'!$C$219,-IPMT('Default Data'!$C$218,$B251,'Default Data'!$C$219,'Default Data'!$C$217*'Default Data'!$K$20),0)</f>
        <v>0</v>
      </c>
      <c r="N251" s="520">
        <f>IF($B251&lt;='Default Data'!$C$219,-PPMT('Default Data'!$C$218,$B251,'Default Data'!$C$219,'Default Data'!$C$217*'Default Data'!$K$20),0)</f>
        <v>0</v>
      </c>
      <c r="O251" s="520">
        <f t="shared" si="78"/>
        <v>0</v>
      </c>
    </row>
    <row r="252" spans="2:15" s="219" customFormat="1" x14ac:dyDescent="0.25">
      <c r="B252" s="219">
        <v>18</v>
      </c>
      <c r="C252" s="520">
        <f>IF($B252&lt;='Default Data'!$C$211,-IPMT('Default Data'!$C$212,$B252,'Default Data'!$C$211,'Default Data'!$C$210*'Default Data'!$K$20),0)</f>
        <v>0</v>
      </c>
      <c r="D252" s="520">
        <f>IF($B252&lt;='Default Data'!$C$211,-PPMT('Default Data'!$C$212,$B252,'Default Data'!$C$211,'Default Data'!$C$210*'Default Data'!$K$20),0)</f>
        <v>0</v>
      </c>
      <c r="E252" s="520">
        <f t="shared" si="76"/>
        <v>0</v>
      </c>
      <c r="G252" s="219">
        <v>18</v>
      </c>
      <c r="H252" s="520">
        <f>IF($B252&lt;='Default Data'!$C$219,-IPMT('Default Data'!$C$218,$B252,'Default Data'!$C$219,'Default Data'!$C$216*'Default Data'!$K$20),0)</f>
        <v>0</v>
      </c>
      <c r="I252" s="520">
        <f>IF($B252&lt;='Default Data'!$C$219,-PPMT('Default Data'!$C$218,$B252,'Default Data'!$C$219,'Default Data'!$C$216*'Default Data'!$K$20),0)</f>
        <v>0</v>
      </c>
      <c r="J252" s="520">
        <f t="shared" si="77"/>
        <v>0</v>
      </c>
      <c r="L252" s="219">
        <v>18</v>
      </c>
      <c r="M252" s="520">
        <f>IF($B252&lt;='Default Data'!$C$219,-IPMT('Default Data'!$C$218,$B252,'Default Data'!$C$219,'Default Data'!$C$217*'Default Data'!$K$20),0)</f>
        <v>0</v>
      </c>
      <c r="N252" s="520">
        <f>IF($B252&lt;='Default Data'!$C$219,-PPMT('Default Data'!$C$218,$B252,'Default Data'!$C$219,'Default Data'!$C$217*'Default Data'!$K$20),0)</f>
        <v>0</v>
      </c>
      <c r="O252" s="520">
        <f t="shared" si="78"/>
        <v>0</v>
      </c>
    </row>
    <row r="253" spans="2:15" s="219" customFormat="1" x14ac:dyDescent="0.25">
      <c r="B253" s="219">
        <v>19</v>
      </c>
      <c r="C253" s="520">
        <f>IF($B253&lt;='Default Data'!$C$211,-IPMT('Default Data'!$C$212,$B253,'Default Data'!$C$211,'Default Data'!$C$210*'Default Data'!$K$20),0)</f>
        <v>0</v>
      </c>
      <c r="D253" s="520">
        <f>IF($B253&lt;='Default Data'!$C$211,-PPMT('Default Data'!$C$212,$B253,'Default Data'!$C$211,'Default Data'!$C$210*'Default Data'!$K$20),0)</f>
        <v>0</v>
      </c>
      <c r="E253" s="520">
        <f t="shared" si="76"/>
        <v>0</v>
      </c>
      <c r="G253" s="219">
        <v>19</v>
      </c>
      <c r="H253" s="520">
        <f>IF($B253&lt;='Default Data'!$C$219,-IPMT('Default Data'!$C$218,$B253,'Default Data'!$C$219,'Default Data'!$C$216*'Default Data'!$K$20),0)</f>
        <v>0</v>
      </c>
      <c r="I253" s="520">
        <f>IF($B253&lt;='Default Data'!$C$219,-PPMT('Default Data'!$C$218,$B253,'Default Data'!$C$219,'Default Data'!$C$216*'Default Data'!$K$20),0)</f>
        <v>0</v>
      </c>
      <c r="J253" s="520">
        <f t="shared" si="77"/>
        <v>0</v>
      </c>
      <c r="L253" s="219">
        <v>19</v>
      </c>
      <c r="M253" s="520">
        <f>IF($B253&lt;='Default Data'!$C$219,-IPMT('Default Data'!$C$218,$B253,'Default Data'!$C$219,'Default Data'!$C$217*'Default Data'!$K$20),0)</f>
        <v>0</v>
      </c>
      <c r="N253" s="520">
        <f>IF($B253&lt;='Default Data'!$C$219,-PPMT('Default Data'!$C$218,$B253,'Default Data'!$C$219,'Default Data'!$C$217*'Default Data'!$K$20),0)</f>
        <v>0</v>
      </c>
      <c r="O253" s="520">
        <f t="shared" si="78"/>
        <v>0</v>
      </c>
    </row>
    <row r="254" spans="2:15" s="219" customFormat="1" x14ac:dyDescent="0.25">
      <c r="B254" s="219">
        <v>20</v>
      </c>
      <c r="C254" s="520">
        <f>IF($B254&lt;='Default Data'!$C$211,-IPMT('Default Data'!$C$212,$B254,'Default Data'!$C$211,'Default Data'!$C$210*'Default Data'!$K$20),0)</f>
        <v>0</v>
      </c>
      <c r="D254" s="520">
        <f>IF($B254&lt;='Default Data'!$C$211,-PPMT('Default Data'!$C$212,$B254,'Default Data'!$C$211,'Default Data'!$C$210*'Default Data'!$K$20),0)</f>
        <v>0</v>
      </c>
      <c r="E254" s="520">
        <f t="shared" si="76"/>
        <v>0</v>
      </c>
      <c r="G254" s="219">
        <v>20</v>
      </c>
      <c r="H254" s="520">
        <f>IF($B254&lt;='Default Data'!$C$219,-IPMT('Default Data'!$C$218,$B254,'Default Data'!$C$219,'Default Data'!$C$216*'Default Data'!$K$20),0)</f>
        <v>0</v>
      </c>
      <c r="I254" s="520">
        <f>IF($B254&lt;='Default Data'!$C$219,-PPMT('Default Data'!$C$218,$B254,'Default Data'!$C$219,'Default Data'!$C$216*'Default Data'!$K$20),0)</f>
        <v>0</v>
      </c>
      <c r="J254" s="520">
        <f t="shared" si="77"/>
        <v>0</v>
      </c>
      <c r="L254" s="219">
        <v>20</v>
      </c>
      <c r="M254" s="520">
        <f>IF($B254&lt;='Default Data'!$C$219,-IPMT('Default Data'!$C$218,$B254,'Default Data'!$C$219,'Default Data'!$C$217*'Default Data'!$K$20),0)</f>
        <v>0</v>
      </c>
      <c r="N254" s="520">
        <f>IF($B254&lt;='Default Data'!$C$219,-PPMT('Default Data'!$C$218,$B254,'Default Data'!$C$219,'Default Data'!$C$217*'Default Data'!$K$20),0)</f>
        <v>0</v>
      </c>
      <c r="O254" s="520">
        <f t="shared" si="78"/>
        <v>0</v>
      </c>
    </row>
    <row r="255" spans="2:15" s="219" customFormat="1" x14ac:dyDescent="0.25">
      <c r="B255" s="219">
        <v>21</v>
      </c>
      <c r="C255" s="520">
        <f>IF($B255&lt;='Default Data'!$C$211,-IPMT('Default Data'!$C$212,$B255,'Default Data'!$C$211,'Default Data'!$C$210*'Default Data'!$K$20),0)</f>
        <v>0</v>
      </c>
      <c r="D255" s="520">
        <f>IF($B255&lt;='Default Data'!$C$211,-PPMT('Default Data'!$C$212,$B255,'Default Data'!$C$211,'Default Data'!$C$210*'Default Data'!$K$20),0)</f>
        <v>0</v>
      </c>
      <c r="E255" s="520">
        <f t="shared" si="76"/>
        <v>0</v>
      </c>
      <c r="G255" s="219">
        <v>21</v>
      </c>
      <c r="H255" s="520">
        <f>IF($B255&lt;='Default Data'!$C$219,-IPMT('Default Data'!$C$218,$B255,'Default Data'!$C$219,'Default Data'!$C$216*'Default Data'!$K$20),0)</f>
        <v>0</v>
      </c>
      <c r="I255" s="520">
        <f>IF($B255&lt;='Default Data'!$C$219,-PPMT('Default Data'!$C$218,$B255,'Default Data'!$C$219,'Default Data'!$C$216*'Default Data'!$K$20),0)</f>
        <v>0</v>
      </c>
      <c r="J255" s="520">
        <f t="shared" si="77"/>
        <v>0</v>
      </c>
      <c r="L255" s="219">
        <v>21</v>
      </c>
      <c r="M255" s="520">
        <f>IF($B255&lt;='Default Data'!$C$219,-IPMT('Default Data'!$C$218,$B255,'Default Data'!$C$219,'Default Data'!$C$217*'Default Data'!$K$20),0)</f>
        <v>0</v>
      </c>
      <c r="N255" s="520">
        <f>IF($B255&lt;='Default Data'!$C$219,-PPMT('Default Data'!$C$218,$B255,'Default Data'!$C$219,'Default Data'!$C$217*'Default Data'!$K$20),0)</f>
        <v>0</v>
      </c>
      <c r="O255" s="520">
        <f t="shared" si="78"/>
        <v>0</v>
      </c>
    </row>
    <row r="256" spans="2:15" s="219" customFormat="1" x14ac:dyDescent="0.25">
      <c r="B256" s="219">
        <v>22</v>
      </c>
      <c r="C256" s="520">
        <f>IF($B256&lt;='Default Data'!$C$211,-IPMT('Default Data'!$C$212,$B256,'Default Data'!$C$211,'Default Data'!$C$210*'Default Data'!$K$20),0)</f>
        <v>0</v>
      </c>
      <c r="D256" s="520">
        <f>IF($B256&lt;='Default Data'!$C$211,-PPMT('Default Data'!$C$212,$B256,'Default Data'!$C$211,'Default Data'!$C$210*'Default Data'!$K$20),0)</f>
        <v>0</v>
      </c>
      <c r="E256" s="520">
        <f t="shared" si="76"/>
        <v>0</v>
      </c>
      <c r="G256" s="219">
        <v>22</v>
      </c>
      <c r="H256" s="520">
        <f>IF($B256&lt;='Default Data'!$C$219,-IPMT('Default Data'!$C$218,$B256,'Default Data'!$C$219,'Default Data'!$C$216*'Default Data'!$K$20),0)</f>
        <v>0</v>
      </c>
      <c r="I256" s="520">
        <f>IF($B256&lt;='Default Data'!$C$219,-PPMT('Default Data'!$C$218,$B256,'Default Data'!$C$219,'Default Data'!$C$216*'Default Data'!$K$20),0)</f>
        <v>0</v>
      </c>
      <c r="J256" s="520">
        <f t="shared" si="77"/>
        <v>0</v>
      </c>
      <c r="L256" s="219">
        <v>22</v>
      </c>
      <c r="M256" s="520">
        <f>IF($B256&lt;='Default Data'!$C$219,-IPMT('Default Data'!$C$218,$B256,'Default Data'!$C$219,'Default Data'!$C$217*'Default Data'!$K$20),0)</f>
        <v>0</v>
      </c>
      <c r="N256" s="520">
        <f>IF($B256&lt;='Default Data'!$C$219,-PPMT('Default Data'!$C$218,$B256,'Default Data'!$C$219,'Default Data'!$C$217*'Default Data'!$K$20),0)</f>
        <v>0</v>
      </c>
      <c r="O256" s="520">
        <f t="shared" si="78"/>
        <v>0</v>
      </c>
    </row>
    <row r="257" spans="2:15" s="219" customFormat="1" x14ac:dyDescent="0.25">
      <c r="B257" s="219">
        <v>23</v>
      </c>
      <c r="C257" s="520">
        <f>IF($B257&lt;='Default Data'!$C$211,-IPMT('Default Data'!$C$212,$B257,'Default Data'!$C$211,'Default Data'!$C$210*'Default Data'!$K$20),0)</f>
        <v>0</v>
      </c>
      <c r="D257" s="520">
        <f>IF($B257&lt;='Default Data'!$C$211,-PPMT('Default Data'!$C$212,$B257,'Default Data'!$C$211,'Default Data'!$C$210*'Default Data'!$K$20),0)</f>
        <v>0</v>
      </c>
      <c r="E257" s="520">
        <f t="shared" si="76"/>
        <v>0</v>
      </c>
      <c r="G257" s="219">
        <v>23</v>
      </c>
      <c r="H257" s="520">
        <f>IF($B257&lt;='Default Data'!$C$219,-IPMT('Default Data'!$C$218,$B257,'Default Data'!$C$219,'Default Data'!$C$216*'Default Data'!$K$20),0)</f>
        <v>0</v>
      </c>
      <c r="I257" s="520">
        <f>IF($B257&lt;='Default Data'!$C$219,-PPMT('Default Data'!$C$218,$B257,'Default Data'!$C$219,'Default Data'!$C$216*'Default Data'!$K$20),0)</f>
        <v>0</v>
      </c>
      <c r="J257" s="520">
        <f t="shared" si="77"/>
        <v>0</v>
      </c>
      <c r="L257" s="219">
        <v>23</v>
      </c>
      <c r="M257" s="520">
        <f>IF($B257&lt;='Default Data'!$C$219,-IPMT('Default Data'!$C$218,$B257,'Default Data'!$C$219,'Default Data'!$C$217*'Default Data'!$K$20),0)</f>
        <v>0</v>
      </c>
      <c r="N257" s="520">
        <f>IF($B257&lt;='Default Data'!$C$219,-PPMT('Default Data'!$C$218,$B257,'Default Data'!$C$219,'Default Data'!$C$217*'Default Data'!$K$20),0)</f>
        <v>0</v>
      </c>
      <c r="O257" s="520">
        <f t="shared" si="78"/>
        <v>0</v>
      </c>
    </row>
    <row r="258" spans="2:15" s="219" customFormat="1" x14ac:dyDescent="0.25">
      <c r="B258" s="219">
        <v>24</v>
      </c>
      <c r="C258" s="520">
        <f>IF($B258&lt;='Default Data'!$C$211,-IPMT('Default Data'!$C$212,$B258,'Default Data'!$C$211,'Default Data'!$C$210*'Default Data'!$K$20),0)</f>
        <v>0</v>
      </c>
      <c r="D258" s="520">
        <f>IF($B258&lt;='Default Data'!$C$211,-PPMT('Default Data'!$C$212,$B258,'Default Data'!$C$211,'Default Data'!$C$210*'Default Data'!$K$20),0)</f>
        <v>0</v>
      </c>
      <c r="E258" s="520">
        <f t="shared" si="76"/>
        <v>0</v>
      </c>
      <c r="G258" s="219">
        <v>24</v>
      </c>
      <c r="H258" s="520">
        <f>IF($B258&lt;='Default Data'!$C$219,-IPMT('Default Data'!$C$218,$B258,'Default Data'!$C$219,'Default Data'!$C$216*'Default Data'!$K$20),0)</f>
        <v>0</v>
      </c>
      <c r="I258" s="520">
        <f>IF($B258&lt;='Default Data'!$C$219,-PPMT('Default Data'!$C$218,$B258,'Default Data'!$C$219,'Default Data'!$C$216*'Default Data'!$K$20),0)</f>
        <v>0</v>
      </c>
      <c r="J258" s="520">
        <f t="shared" si="77"/>
        <v>0</v>
      </c>
      <c r="L258" s="219">
        <v>24</v>
      </c>
      <c r="M258" s="520">
        <f>IF($B258&lt;='Default Data'!$C$219,-IPMT('Default Data'!$C$218,$B258,'Default Data'!$C$219,'Default Data'!$C$217*'Default Data'!$K$20),0)</f>
        <v>0</v>
      </c>
      <c r="N258" s="520">
        <f>IF($B258&lt;='Default Data'!$C$219,-PPMT('Default Data'!$C$218,$B258,'Default Data'!$C$219,'Default Data'!$C$217*'Default Data'!$K$20),0)</f>
        <v>0</v>
      </c>
      <c r="O258" s="520">
        <f t="shared" si="78"/>
        <v>0</v>
      </c>
    </row>
    <row r="259" spans="2:15" s="219" customFormat="1" x14ac:dyDescent="0.25">
      <c r="B259" s="219">
        <v>25</v>
      </c>
      <c r="C259" s="520">
        <f>IF($B259&lt;='Default Data'!$C$211,-IPMT('Default Data'!$C$212,$B259,'Default Data'!$C$211,'Default Data'!$C$210*'Default Data'!$K$20),0)</f>
        <v>0</v>
      </c>
      <c r="D259" s="520">
        <f>IF($B259&lt;='Default Data'!$C$211,-PPMT('Default Data'!$C$212,$B259,'Default Data'!$C$211,'Default Data'!$C$210*'Default Data'!$K$20),0)</f>
        <v>0</v>
      </c>
      <c r="E259" s="520">
        <f t="shared" si="76"/>
        <v>0</v>
      </c>
      <c r="G259" s="219">
        <v>25</v>
      </c>
      <c r="H259" s="520">
        <f>IF($B259&lt;='Default Data'!$C$219,-IPMT('Default Data'!$C$218,$B259,'Default Data'!$C$219,'Default Data'!$C$216*'Default Data'!$K$20),0)</f>
        <v>0</v>
      </c>
      <c r="I259" s="520">
        <f>IF($B259&lt;='Default Data'!$C$219,-PPMT('Default Data'!$C$218,$B259,'Default Data'!$C$219,'Default Data'!$C$216*'Default Data'!$K$20),0)</f>
        <v>0</v>
      </c>
      <c r="J259" s="520">
        <f t="shared" si="77"/>
        <v>0</v>
      </c>
      <c r="L259" s="219">
        <v>25</v>
      </c>
      <c r="M259" s="520">
        <f>IF($B259&lt;='Default Data'!$C$219,-IPMT('Default Data'!$C$218,$B259,'Default Data'!$C$219,'Default Data'!$C$217*'Default Data'!$K$20),0)</f>
        <v>0</v>
      </c>
      <c r="N259" s="520">
        <f>IF($B259&lt;='Default Data'!$C$219,-PPMT('Default Data'!$C$218,$B259,'Default Data'!$C$219,'Default Data'!$C$217*'Default Data'!$K$20),0)</f>
        <v>0</v>
      </c>
      <c r="O259" s="520">
        <f t="shared" si="78"/>
        <v>0</v>
      </c>
    </row>
    <row r="260" spans="2:15" s="219" customFormat="1" x14ac:dyDescent="0.25">
      <c r="B260" s="219">
        <v>26</v>
      </c>
      <c r="C260" s="520">
        <f>IF($B260&lt;='Default Data'!$C$211,-IPMT('Default Data'!$C$212,$B260,'Default Data'!$C$211,'Default Data'!$C$210*'Default Data'!$K$20),0)</f>
        <v>0</v>
      </c>
      <c r="D260" s="520">
        <f>IF($B260&lt;='Default Data'!$C$211,-PPMT('Default Data'!$C$212,$B260,'Default Data'!$C$211,'Default Data'!$C$210*'Default Data'!$K$20),0)</f>
        <v>0</v>
      </c>
      <c r="E260" s="520">
        <f t="shared" si="76"/>
        <v>0</v>
      </c>
      <c r="G260" s="219">
        <v>26</v>
      </c>
      <c r="H260" s="520">
        <f>IF($B260&lt;='Default Data'!$C$219,-IPMT('Default Data'!$C$218,$B260,'Default Data'!$C$219,'Default Data'!$C$216*'Default Data'!$K$20),0)</f>
        <v>0</v>
      </c>
      <c r="I260" s="520">
        <f>IF($B260&lt;='Default Data'!$C$219,-PPMT('Default Data'!$C$218,$B260,'Default Data'!$C$219,'Default Data'!$C$216*'Default Data'!$K$20),0)</f>
        <v>0</v>
      </c>
      <c r="J260" s="520">
        <f t="shared" si="77"/>
        <v>0</v>
      </c>
      <c r="L260" s="219">
        <v>26</v>
      </c>
      <c r="M260" s="520">
        <f>IF($B260&lt;='Default Data'!$C$219,-IPMT('Default Data'!$C$218,$B260,'Default Data'!$C$219,'Default Data'!$C$217*'Default Data'!$K$20),0)</f>
        <v>0</v>
      </c>
      <c r="N260" s="520">
        <f>IF($B260&lt;='Default Data'!$C$219,-PPMT('Default Data'!$C$218,$B260,'Default Data'!$C$219,'Default Data'!$C$217*'Default Data'!$K$20),0)</f>
        <v>0</v>
      </c>
      <c r="O260" s="520">
        <f t="shared" si="78"/>
        <v>0</v>
      </c>
    </row>
    <row r="261" spans="2:15" s="219" customFormat="1" x14ac:dyDescent="0.25">
      <c r="B261" s="219">
        <v>27</v>
      </c>
      <c r="C261" s="520">
        <f>IF($B261&lt;='Default Data'!$C$211,-IPMT('Default Data'!$C$212,$B261,'Default Data'!$C$211,'Default Data'!$C$210*'Default Data'!$K$20),0)</f>
        <v>0</v>
      </c>
      <c r="D261" s="520">
        <f>IF($B261&lt;='Default Data'!$C$211,-PPMT('Default Data'!$C$212,$B261,'Default Data'!$C$211,'Default Data'!$C$210*'Default Data'!$K$20),0)</f>
        <v>0</v>
      </c>
      <c r="E261" s="520">
        <f t="shared" si="76"/>
        <v>0</v>
      </c>
      <c r="G261" s="219">
        <v>27</v>
      </c>
      <c r="H261" s="520">
        <f>IF($B261&lt;='Default Data'!$C$219,-IPMT('Default Data'!$C$218,$B261,'Default Data'!$C$219,'Default Data'!$C$216*'Default Data'!$K$20),0)</f>
        <v>0</v>
      </c>
      <c r="I261" s="520">
        <f>IF($B261&lt;='Default Data'!$C$219,-PPMT('Default Data'!$C$218,$B261,'Default Data'!$C$219,'Default Data'!$C$216*'Default Data'!$K$20),0)</f>
        <v>0</v>
      </c>
      <c r="J261" s="520">
        <f t="shared" si="77"/>
        <v>0</v>
      </c>
      <c r="L261" s="219">
        <v>27</v>
      </c>
      <c r="M261" s="520">
        <f>IF($B261&lt;='Default Data'!$C$219,-IPMT('Default Data'!$C$218,$B261,'Default Data'!$C$219,'Default Data'!$C$217*'Default Data'!$K$20),0)</f>
        <v>0</v>
      </c>
      <c r="N261" s="520">
        <f>IF($B261&lt;='Default Data'!$C$219,-PPMT('Default Data'!$C$218,$B261,'Default Data'!$C$219,'Default Data'!$C$217*'Default Data'!$K$20),0)</f>
        <v>0</v>
      </c>
      <c r="O261" s="520">
        <f t="shared" si="78"/>
        <v>0</v>
      </c>
    </row>
    <row r="262" spans="2:15" s="219" customFormat="1" x14ac:dyDescent="0.25">
      <c r="B262" s="219">
        <v>28</v>
      </c>
      <c r="C262" s="520">
        <f>IF($B262&lt;='Default Data'!$C$211,-IPMT('Default Data'!$C$212,$B262,'Default Data'!$C$211,'Default Data'!$C$210*'Default Data'!$K$20),0)</f>
        <v>0</v>
      </c>
      <c r="D262" s="520">
        <f>IF($B262&lt;='Default Data'!$C$211,-PPMT('Default Data'!$C$212,$B262,'Default Data'!$C$211,'Default Data'!$C$210*'Default Data'!$K$20),0)</f>
        <v>0</v>
      </c>
      <c r="E262" s="520">
        <f t="shared" si="76"/>
        <v>0</v>
      </c>
      <c r="G262" s="219">
        <v>28</v>
      </c>
      <c r="H262" s="520">
        <f>IF($B262&lt;='Default Data'!$C$219,-IPMT('Default Data'!$C$218,$B262,'Default Data'!$C$219,'Default Data'!$C$216*'Default Data'!$K$20),0)</f>
        <v>0</v>
      </c>
      <c r="I262" s="520">
        <f>IF($B262&lt;='Default Data'!$C$219,-PPMT('Default Data'!$C$218,$B262,'Default Data'!$C$219,'Default Data'!$C$216*'Default Data'!$K$20),0)</f>
        <v>0</v>
      </c>
      <c r="J262" s="520">
        <f t="shared" si="77"/>
        <v>0</v>
      </c>
      <c r="L262" s="219">
        <v>28</v>
      </c>
      <c r="M262" s="520">
        <f>IF($B262&lt;='Default Data'!$C$219,-IPMT('Default Data'!$C$218,$B262,'Default Data'!$C$219,'Default Data'!$C$217*'Default Data'!$K$20),0)</f>
        <v>0</v>
      </c>
      <c r="N262" s="520">
        <f>IF($B262&lt;='Default Data'!$C$219,-PPMT('Default Data'!$C$218,$B262,'Default Data'!$C$219,'Default Data'!$C$217*'Default Data'!$K$20),0)</f>
        <v>0</v>
      </c>
      <c r="O262" s="520">
        <f t="shared" si="78"/>
        <v>0</v>
      </c>
    </row>
    <row r="263" spans="2:15" s="219" customFormat="1" x14ac:dyDescent="0.25">
      <c r="B263" s="219">
        <v>29</v>
      </c>
      <c r="C263" s="520">
        <f>IF($B263&lt;='Default Data'!$C$211,-IPMT('Default Data'!$C$212,$B263,'Default Data'!$C$211,'Default Data'!$C$210*'Default Data'!$K$20),0)</f>
        <v>0</v>
      </c>
      <c r="D263" s="520">
        <f>IF($B263&lt;='Default Data'!$C$211,-PPMT('Default Data'!$C$212,$B263,'Default Data'!$C$211,'Default Data'!$C$210*'Default Data'!$K$20),0)</f>
        <v>0</v>
      </c>
      <c r="E263" s="520">
        <f t="shared" si="76"/>
        <v>0</v>
      </c>
      <c r="G263" s="219">
        <v>29</v>
      </c>
      <c r="H263" s="520">
        <f>IF($B263&lt;='Default Data'!$C$219,-IPMT('Default Data'!$C$218,$B263,'Default Data'!$C$219,'Default Data'!$C$216*'Default Data'!$K$20),0)</f>
        <v>0</v>
      </c>
      <c r="I263" s="520">
        <f>IF($B263&lt;='Default Data'!$C$219,-PPMT('Default Data'!$C$218,$B263,'Default Data'!$C$219,'Default Data'!$C$216*'Default Data'!$K$20),0)</f>
        <v>0</v>
      </c>
      <c r="J263" s="520">
        <f t="shared" si="77"/>
        <v>0</v>
      </c>
      <c r="L263" s="219">
        <v>29</v>
      </c>
      <c r="M263" s="520">
        <f>IF($B263&lt;='Default Data'!$C$219,-IPMT('Default Data'!$C$218,$B263,'Default Data'!$C$219,'Default Data'!$C$217*'Default Data'!$K$20),0)</f>
        <v>0</v>
      </c>
      <c r="N263" s="520">
        <f>IF($B263&lt;='Default Data'!$C$219,-PPMT('Default Data'!$C$218,$B263,'Default Data'!$C$219,'Default Data'!$C$217*'Default Data'!$K$20),0)</f>
        <v>0</v>
      </c>
      <c r="O263" s="520">
        <f t="shared" si="78"/>
        <v>0</v>
      </c>
    </row>
    <row r="264" spans="2:15" s="219" customFormat="1" x14ac:dyDescent="0.25">
      <c r="B264" s="219">
        <v>30</v>
      </c>
      <c r="C264" s="520">
        <f>IF($B264&lt;='Default Data'!$C$211,-IPMT('Default Data'!$C$212,$B264,'Default Data'!$C$211,'Default Data'!$C$210*'Default Data'!$K$20),0)</f>
        <v>0</v>
      </c>
      <c r="D264" s="520">
        <f>IF($B264&lt;='Default Data'!$C$211,-PPMT('Default Data'!$C$212,$B264,'Default Data'!$C$211,'Default Data'!$C$210*'Default Data'!$K$20),0)</f>
        <v>0</v>
      </c>
      <c r="E264" s="520">
        <f t="shared" si="76"/>
        <v>0</v>
      </c>
      <c r="G264" s="219">
        <v>30</v>
      </c>
      <c r="H264" s="520">
        <f>IF($B264&lt;='Default Data'!$C$219,-IPMT('Default Data'!$C$218,$B264,'Default Data'!$C$219,'Default Data'!$C$216*'Default Data'!$K$20),0)</f>
        <v>0</v>
      </c>
      <c r="I264" s="520">
        <f>IF($B264&lt;='Default Data'!$C$219,-PPMT('Default Data'!$C$218,$B264,'Default Data'!$C$219,'Default Data'!$C$216*'Default Data'!$K$20),0)</f>
        <v>0</v>
      </c>
      <c r="J264" s="520">
        <f t="shared" si="77"/>
        <v>0</v>
      </c>
      <c r="L264" s="219">
        <v>30</v>
      </c>
      <c r="M264" s="520">
        <f>IF($B264&lt;='Default Data'!$C$219,-IPMT('Default Data'!$C$218,$B264,'Default Data'!$C$219,'Default Data'!$C$217*'Default Data'!$K$20),0)</f>
        <v>0</v>
      </c>
      <c r="N264" s="520">
        <f>IF($B264&lt;='Default Data'!$C$219,-PPMT('Default Data'!$C$218,$B264,'Default Data'!$C$219,'Default Data'!$C$217*'Default Data'!$K$20),0)</f>
        <v>0</v>
      </c>
      <c r="O264" s="520">
        <f t="shared" si="78"/>
        <v>0</v>
      </c>
    </row>
    <row r="265" spans="2:15" s="219" customFormat="1" x14ac:dyDescent="0.25">
      <c r="B265" s="219" t="s">
        <v>624</v>
      </c>
      <c r="C265" s="520">
        <f>SUM(C235:C264)</f>
        <v>28126199.382359996</v>
      </c>
      <c r="D265" s="520">
        <f>SUM(D235:D264)</f>
        <v>28933244.399237558</v>
      </c>
      <c r="E265" s="520">
        <f t="shared" si="76"/>
        <v>57059443.781597555</v>
      </c>
      <c r="G265" s="219" t="s">
        <v>624</v>
      </c>
      <c r="H265" s="520">
        <f>SUM(H235:H264)</f>
        <v>0</v>
      </c>
      <c r="I265" s="520">
        <f>SUM(I235:I264)</f>
        <v>0</v>
      </c>
      <c r="J265" s="520">
        <f t="shared" si="77"/>
        <v>0</v>
      </c>
      <c r="L265" s="219" t="s">
        <v>624</v>
      </c>
      <c r="M265" s="520">
        <f>SUM(M235:M264)</f>
        <v>44185645.184407368</v>
      </c>
      <c r="N265" s="520">
        <f>SUM(N235:N264)</f>
        <v>41333206.284625083</v>
      </c>
      <c r="O265" s="520">
        <f t="shared" si="78"/>
        <v>85518851.469032452</v>
      </c>
    </row>
    <row r="266" spans="2:15" s="219" customFormat="1" x14ac:dyDescent="0.25">
      <c r="B266" s="219" t="s">
        <v>866</v>
      </c>
      <c r="C266" s="520">
        <f>C265/'Default Data'!$C$211</f>
        <v>1875079.9588239999</v>
      </c>
      <c r="D266" s="520">
        <f>D265/'Default Data'!$C$211</f>
        <v>1928882.9599491705</v>
      </c>
      <c r="E266" s="520">
        <f t="shared" si="76"/>
        <v>3803962.9187731706</v>
      </c>
      <c r="G266" s="219" t="s">
        <v>866</v>
      </c>
      <c r="H266" s="520">
        <f>H265/'Default Data'!$C$219</f>
        <v>0</v>
      </c>
      <c r="I266" s="520">
        <f>I265/'Default Data'!$C$219</f>
        <v>0</v>
      </c>
      <c r="J266" s="520">
        <f t="shared" si="77"/>
        <v>0</v>
      </c>
      <c r="L266" s="219" t="s">
        <v>866</v>
      </c>
      <c r="M266" s="520">
        <f>M265/'Default Data'!$C$219</f>
        <v>4418564.5184407365</v>
      </c>
      <c r="N266" s="520">
        <f>N265/'Default Data'!$C$219</f>
        <v>4133320.6284625083</v>
      </c>
      <c r="O266" s="520">
        <f t="shared" si="78"/>
        <v>8551885.1469032448</v>
      </c>
    </row>
    <row r="267" spans="2:15" s="219" customFormat="1" x14ac:dyDescent="0.25"/>
    <row r="268" spans="2:15" s="219" customFormat="1" x14ac:dyDescent="0.25">
      <c r="B268" s="487" t="s">
        <v>867</v>
      </c>
      <c r="G268" s="487" t="s">
        <v>868</v>
      </c>
      <c r="L268" s="487" t="s">
        <v>868</v>
      </c>
    </row>
    <row r="269" spans="2:15" s="219" customFormat="1" x14ac:dyDescent="0.25">
      <c r="B269" s="219" t="s">
        <v>869</v>
      </c>
      <c r="G269" s="487" t="s">
        <v>861</v>
      </c>
      <c r="L269" s="487" t="s">
        <v>862</v>
      </c>
    </row>
    <row r="270" spans="2:15" s="219" customFormat="1" x14ac:dyDescent="0.25">
      <c r="C270" s="219" t="s">
        <v>863</v>
      </c>
      <c r="D270" s="219" t="s">
        <v>864</v>
      </c>
      <c r="E270" s="219" t="s">
        <v>865</v>
      </c>
      <c r="H270" s="219" t="s">
        <v>863</v>
      </c>
      <c r="I270" s="219" t="s">
        <v>864</v>
      </c>
      <c r="J270" s="219" t="s">
        <v>865</v>
      </c>
      <c r="M270" s="219" t="s">
        <v>863</v>
      </c>
      <c r="N270" s="219" t="s">
        <v>864</v>
      </c>
      <c r="O270" s="219" t="s">
        <v>865</v>
      </c>
    </row>
    <row r="271" spans="2:15" s="219" customFormat="1" x14ac:dyDescent="0.25">
      <c r="B271" s="219">
        <v>1</v>
      </c>
      <c r="C271" s="520">
        <f>IF($B271&lt;=ProjectData!$B$167,-IPMT(ProjectData!$B$168,$B271,ProjectData!$B$167,ProjectData!$B$166*ProjectData!$D$137),0)</f>
        <v>3214995.9221584331</v>
      </c>
      <c r="D271" s="520">
        <f>IF($B271&lt;=ProjectData!$B$167,-PPMT(ProjectData!$B$168,$B271,ProjectData!$B$167,ProjectData!$B$166*ProjectData!$D$137),0)</f>
        <v>1011880.6434782604</v>
      </c>
      <c r="E271" s="520">
        <f t="shared" ref="E271:E302" si="79">D271+C271</f>
        <v>4226876.5656366935</v>
      </c>
      <c r="G271" s="219">
        <v>1</v>
      </c>
      <c r="H271" s="520">
        <f>IF($B271&lt;=ProjectData!$B$174,-IPMT(ProjectData!$B$173,$B271,ProjectData!$B$174,ProjectData!$B$171*ProjectData!$D$137),0)</f>
        <v>0</v>
      </c>
      <c r="I271" s="520">
        <f>IF($B271&lt;=ProjectData!$B$174,-PPMT(ProjectData!$B$173,$B271,ProjectData!$B$174,ProjectData!$B$171*ProjectData!$D$137),0)</f>
        <v>0</v>
      </c>
      <c r="J271" s="520">
        <f t="shared" ref="J271:J302" si="80">I271+H271</f>
        <v>0</v>
      </c>
      <c r="L271" s="219">
        <v>1</v>
      </c>
      <c r="M271" s="520">
        <f>IF($B271&lt;=ProjectData!$B$174,-IPMT(ProjectData!$B$173,$B271,ProjectData!$B$174,ProjectData!$B$172*ProjectData!$D$137),0)</f>
        <v>7348562.1077907048</v>
      </c>
      <c r="N271" s="520">
        <f>IF($B271&lt;=ProjectData!$B$174,-PPMT(ProjectData!$B$173,$B271,ProjectData!$B$174,ProjectData!$B$172*ProjectData!$D$137),0)</f>
        <v>2154097.0114837768</v>
      </c>
      <c r="O271" s="520">
        <f t="shared" ref="O271:O302" si="81">N271+M271</f>
        <v>9502659.1192744821</v>
      </c>
    </row>
    <row r="272" spans="2:15" s="219" customFormat="1" x14ac:dyDescent="0.25">
      <c r="B272" s="219">
        <v>2</v>
      </c>
      <c r="C272" s="520">
        <f>IF($B272&lt;=ProjectData!$B$167,-IPMT(ProjectData!$B$168,$B272,ProjectData!$B$167,ProjectData!$B$166*ProjectData!$D$137),0)</f>
        <v>3113807.8578106072</v>
      </c>
      <c r="D272" s="520">
        <f>IF($B272&lt;=ProjectData!$B$167,-PPMT(ProjectData!$B$168,$B272,ProjectData!$B$167,ProjectData!$B$166*ProjectData!$D$137),0)</f>
        <v>1113068.7078260866</v>
      </c>
      <c r="E272" s="520">
        <f t="shared" si="79"/>
        <v>4226876.5656366935</v>
      </c>
      <c r="G272" s="219">
        <v>2</v>
      </c>
      <c r="H272" s="520">
        <f>IF($B272&lt;=ProjectData!$B$174,-IPMT(ProjectData!$B$173,$B272,ProjectData!$B$174,ProjectData!$B$171*ProjectData!$D$137),0)</f>
        <v>0</v>
      </c>
      <c r="I272" s="520">
        <f>IF($B272&lt;=ProjectData!$B$174,-PPMT(ProjectData!$B$173,$B272,ProjectData!$B$174,ProjectData!$B$171*ProjectData!$D$137),0)</f>
        <v>0</v>
      </c>
      <c r="J272" s="520">
        <f t="shared" si="80"/>
        <v>0</v>
      </c>
      <c r="L272" s="219">
        <v>2</v>
      </c>
      <c r="M272" s="520">
        <f>IF($B272&lt;=ProjectData!$B$174,-IPMT(ProjectData!$B$173,$B272,ProjectData!$B$174,ProjectData!$B$172*ProjectData!$D$137),0)</f>
        <v>7003906.5859533018</v>
      </c>
      <c r="N272" s="520">
        <f>IF($B272&lt;=ProjectData!$B$174,-PPMT(ProjectData!$B$173,$B272,ProjectData!$B$174,ProjectData!$B$172*ProjectData!$D$137),0)</f>
        <v>2498752.5333211808</v>
      </c>
      <c r="O272" s="520">
        <f t="shared" si="81"/>
        <v>9502659.1192744821</v>
      </c>
    </row>
    <row r="273" spans="2:15" s="219" customFormat="1" x14ac:dyDescent="0.25">
      <c r="B273" s="219">
        <v>3</v>
      </c>
      <c r="C273" s="520">
        <f>IF($B273&lt;=ProjectData!$B$167,-IPMT(ProjectData!$B$168,$B273,ProjectData!$B$167,ProjectData!$B$166*ProjectData!$D$137),0)</f>
        <v>3002500.987027999</v>
      </c>
      <c r="D273" s="520">
        <f>IF($B273&lt;=ProjectData!$B$167,-PPMT(ProjectData!$B$168,$B273,ProjectData!$B$167,ProjectData!$B$166*ProjectData!$D$137),0)</f>
        <v>1224375.578608695</v>
      </c>
      <c r="E273" s="520">
        <f t="shared" si="79"/>
        <v>4226876.5656366944</v>
      </c>
      <c r="G273" s="219">
        <v>3</v>
      </c>
      <c r="H273" s="520">
        <f>IF($B273&lt;=ProjectData!$B$174,-IPMT(ProjectData!$B$173,$B273,ProjectData!$B$174,ProjectData!$B$171*ProjectData!$D$137),0)</f>
        <v>0</v>
      </c>
      <c r="I273" s="520">
        <f>IF($B273&lt;=ProjectData!$B$174,-PPMT(ProjectData!$B$173,$B273,ProjectData!$B$174,ProjectData!$B$171*ProjectData!$D$137),0)</f>
        <v>0</v>
      </c>
      <c r="J273" s="520">
        <f t="shared" si="80"/>
        <v>0</v>
      </c>
      <c r="L273" s="219">
        <v>3</v>
      </c>
      <c r="M273" s="520">
        <f>IF($B273&lt;=ProjectData!$B$174,-IPMT(ProjectData!$B$173,$B273,ProjectData!$B$174,ProjectData!$B$172*ProjectData!$D$137),0)</f>
        <v>6604106.1806219118</v>
      </c>
      <c r="N273" s="520">
        <f>IF($B273&lt;=ProjectData!$B$174,-PPMT(ProjectData!$B$173,$B273,ProjectData!$B$174,ProjectData!$B$172*ProjectData!$D$137),0)</f>
        <v>2898552.9386525699</v>
      </c>
      <c r="O273" s="520">
        <f t="shared" si="81"/>
        <v>9502659.1192744821</v>
      </c>
    </row>
    <row r="274" spans="2:15" s="219" customFormat="1" x14ac:dyDescent="0.25">
      <c r="B274" s="219">
        <v>4</v>
      </c>
      <c r="C274" s="520">
        <f>IF($B274&lt;=ProjectData!$B$167,-IPMT(ProjectData!$B$168,$B274,ProjectData!$B$167,ProjectData!$B$166*ProjectData!$D$137),0)</f>
        <v>2880063.4291671291</v>
      </c>
      <c r="D274" s="520">
        <f>IF($B274&lt;=ProjectData!$B$167,-PPMT(ProjectData!$B$168,$B274,ProjectData!$B$167,ProjectData!$B$166*ProjectData!$D$137),0)</f>
        <v>1346813.1364695649</v>
      </c>
      <c r="E274" s="520">
        <f t="shared" si="79"/>
        <v>4226876.5656366944</v>
      </c>
      <c r="G274" s="219">
        <v>4</v>
      </c>
      <c r="H274" s="520">
        <f>IF($B274&lt;=ProjectData!$B$174,-IPMT(ProjectData!$B$173,$B274,ProjectData!$B$174,ProjectData!$B$171*ProjectData!$D$137),0)</f>
        <v>0</v>
      </c>
      <c r="I274" s="520">
        <f>IF($B274&lt;=ProjectData!$B$174,-PPMT(ProjectData!$B$173,$B274,ProjectData!$B$174,ProjectData!$B$171*ProjectData!$D$137),0)</f>
        <v>0</v>
      </c>
      <c r="J274" s="520">
        <f t="shared" si="80"/>
        <v>0</v>
      </c>
      <c r="L274" s="219">
        <v>4</v>
      </c>
      <c r="M274" s="520">
        <f>IF($B274&lt;=ProjectData!$B$174,-IPMT(ProjectData!$B$173,$B274,ProjectData!$B$174,ProjectData!$B$172*ProjectData!$D$137),0)</f>
        <v>6140337.7104375008</v>
      </c>
      <c r="N274" s="520">
        <f>IF($B274&lt;=ProjectData!$B$174,-PPMT(ProjectData!$B$173,$B274,ProjectData!$B$174,ProjectData!$B$172*ProjectData!$D$137),0)</f>
        <v>3362321.4088369813</v>
      </c>
      <c r="O274" s="520">
        <f t="shared" si="81"/>
        <v>9502659.1192744821</v>
      </c>
    </row>
    <row r="275" spans="2:15" s="219" customFormat="1" x14ac:dyDescent="0.25">
      <c r="B275" s="219">
        <v>5</v>
      </c>
      <c r="C275" s="520">
        <f>IF($B275&lt;=ProjectData!$B$167,-IPMT(ProjectData!$B$168,$B275,ProjectData!$B$167,ProjectData!$B$166*ProjectData!$D$137),0)</f>
        <v>2745382.1155201728</v>
      </c>
      <c r="D275" s="520">
        <f>IF($B275&lt;=ProjectData!$B$167,-PPMT(ProjectData!$B$168,$B275,ProjectData!$B$167,ProjectData!$B$166*ProjectData!$D$137),0)</f>
        <v>1481494.450116521</v>
      </c>
      <c r="E275" s="520">
        <f t="shared" si="79"/>
        <v>4226876.5656366935</v>
      </c>
      <c r="G275" s="219">
        <v>5</v>
      </c>
      <c r="H275" s="520">
        <f>IF($B275&lt;=ProjectData!$B$174,-IPMT(ProjectData!$B$173,$B275,ProjectData!$B$174,ProjectData!$B$171*ProjectData!$D$137),0)</f>
        <v>0</v>
      </c>
      <c r="I275" s="520">
        <f>IF($B275&lt;=ProjectData!$B$174,-PPMT(ProjectData!$B$173,$B275,ProjectData!$B$174,ProjectData!$B$171*ProjectData!$D$137),0)</f>
        <v>0</v>
      </c>
      <c r="J275" s="520">
        <f t="shared" si="80"/>
        <v>0</v>
      </c>
      <c r="L275" s="219">
        <v>5</v>
      </c>
      <c r="M275" s="520">
        <f>IF($B275&lt;=ProjectData!$B$174,-IPMT(ProjectData!$B$173,$B275,ProjectData!$B$174,ProjectData!$B$172*ProjectData!$D$137),0)</f>
        <v>5602366.2850235831</v>
      </c>
      <c r="N275" s="520">
        <f>IF($B275&lt;=ProjectData!$B$174,-PPMT(ProjectData!$B$173,$B275,ProjectData!$B$174,ProjectData!$B$172*ProjectData!$D$137),0)</f>
        <v>3900292.8342508972</v>
      </c>
      <c r="O275" s="520">
        <f t="shared" si="81"/>
        <v>9502659.1192744803</v>
      </c>
    </row>
    <row r="276" spans="2:15" s="219" customFormat="1" x14ac:dyDescent="0.25">
      <c r="B276" s="219">
        <v>6</v>
      </c>
      <c r="C276" s="520">
        <f>IF($B276&lt;=ProjectData!$B$167,-IPMT(ProjectData!$B$168,$B276,ProjectData!$B$167,ProjectData!$B$166*ProjectData!$D$137),0)</f>
        <v>2597232.6705085207</v>
      </c>
      <c r="D276" s="520">
        <f>IF($B276&lt;=ProjectData!$B$167,-PPMT(ProjectData!$B$168,$B276,ProjectData!$B$167,ProjectData!$B$166*ProjectData!$D$137),0)</f>
        <v>1629643.8951281731</v>
      </c>
      <c r="E276" s="520">
        <f t="shared" si="79"/>
        <v>4226876.5656366935</v>
      </c>
      <c r="G276" s="219">
        <v>6</v>
      </c>
      <c r="H276" s="520">
        <f>IF($B276&lt;=ProjectData!$B$174,-IPMT(ProjectData!$B$173,$B276,ProjectData!$B$174,ProjectData!$B$171*ProjectData!$D$137),0)</f>
        <v>0</v>
      </c>
      <c r="I276" s="520">
        <f>IF($B276&lt;=ProjectData!$B$174,-PPMT(ProjectData!$B$173,$B276,ProjectData!$B$174,ProjectData!$B$171*ProjectData!$D$137),0)</f>
        <v>0</v>
      </c>
      <c r="J276" s="520">
        <f t="shared" si="80"/>
        <v>0</v>
      </c>
      <c r="L276" s="219">
        <v>6</v>
      </c>
      <c r="M276" s="520">
        <f>IF($B276&lt;=ProjectData!$B$174,-IPMT(ProjectData!$B$173,$B276,ProjectData!$B$174,ProjectData!$B$172*ProjectData!$D$137),0)</f>
        <v>4978319.4315434396</v>
      </c>
      <c r="N276" s="520">
        <f>IF($B276&lt;=ProjectData!$B$174,-PPMT(ProjectData!$B$173,$B276,ProjectData!$B$174,ProjectData!$B$172*ProjectData!$D$137),0)</f>
        <v>4524339.6877310416</v>
      </c>
      <c r="O276" s="520">
        <f t="shared" si="81"/>
        <v>9502659.1192744821</v>
      </c>
    </row>
    <row r="277" spans="2:15" s="219" customFormat="1" x14ac:dyDescent="0.25">
      <c r="B277" s="219">
        <v>7</v>
      </c>
      <c r="C277" s="520">
        <f>IF($B277&lt;=ProjectData!$B$167,-IPMT(ProjectData!$B$168,$B277,ProjectData!$B$167,ProjectData!$B$166*ProjectData!$D$137),0)</f>
        <v>2434268.2809957038</v>
      </c>
      <c r="D277" s="520">
        <f>IF($B277&lt;=ProjectData!$B$167,-PPMT(ProjectData!$B$168,$B277,ProjectData!$B$167,ProjectData!$B$166*ProjectData!$D$137),0)</f>
        <v>1792608.2846409902</v>
      </c>
      <c r="E277" s="520">
        <f t="shared" si="79"/>
        <v>4226876.5656366944</v>
      </c>
      <c r="G277" s="219">
        <v>7</v>
      </c>
      <c r="H277" s="520">
        <f>IF($B277&lt;=ProjectData!$B$174,-IPMT(ProjectData!$B$173,$B277,ProjectData!$B$174,ProjectData!$B$171*ProjectData!$D$137),0)</f>
        <v>0</v>
      </c>
      <c r="I277" s="520">
        <f>IF($B277&lt;=ProjectData!$B$174,-PPMT(ProjectData!$B$173,$B277,ProjectData!$B$174,ProjectData!$B$171*ProjectData!$D$137),0)</f>
        <v>0</v>
      </c>
      <c r="J277" s="520">
        <f t="shared" si="80"/>
        <v>0</v>
      </c>
      <c r="L277" s="219">
        <v>7</v>
      </c>
      <c r="M277" s="520">
        <f>IF($B277&lt;=ProjectData!$B$174,-IPMT(ProjectData!$B$173,$B277,ProjectData!$B$174,ProjectData!$B$172*ProjectData!$D$137),0)</f>
        <v>4254425.0815064739</v>
      </c>
      <c r="N277" s="520">
        <f>IF($B277&lt;=ProjectData!$B$174,-PPMT(ProjectData!$B$173,$B277,ProjectData!$B$174,ProjectData!$B$172*ProjectData!$D$137),0)</f>
        <v>5248234.0377680082</v>
      </c>
      <c r="O277" s="520">
        <f t="shared" si="81"/>
        <v>9502659.1192744821</v>
      </c>
    </row>
    <row r="278" spans="2:15" s="219" customFormat="1" x14ac:dyDescent="0.25">
      <c r="B278" s="219">
        <v>8</v>
      </c>
      <c r="C278" s="520">
        <f>IF($B278&lt;=ProjectData!$B$167,-IPMT(ProjectData!$B$168,$B278,ProjectData!$B$167,ProjectData!$B$166*ProjectData!$D$137),0)</f>
        <v>2255007.4525316041</v>
      </c>
      <c r="D278" s="520">
        <f>IF($B278&lt;=ProjectData!$B$167,-PPMT(ProjectData!$B$168,$B278,ProjectData!$B$167,ProjectData!$B$166*ProjectData!$D$137),0)</f>
        <v>1971869.1131050894</v>
      </c>
      <c r="E278" s="520">
        <f t="shared" si="79"/>
        <v>4226876.5656366935</v>
      </c>
      <c r="G278" s="219">
        <v>8</v>
      </c>
      <c r="H278" s="520">
        <f>IF($B278&lt;=ProjectData!$B$174,-IPMT(ProjectData!$B$173,$B278,ProjectData!$B$174,ProjectData!$B$171*ProjectData!$D$137),0)</f>
        <v>0</v>
      </c>
      <c r="I278" s="520">
        <f>IF($B278&lt;=ProjectData!$B$174,-PPMT(ProjectData!$B$173,$B278,ProjectData!$B$174,ProjectData!$B$171*ProjectData!$D$137),0)</f>
        <v>0</v>
      </c>
      <c r="J278" s="520">
        <f t="shared" si="80"/>
        <v>0</v>
      </c>
      <c r="L278" s="219">
        <v>8</v>
      </c>
      <c r="M278" s="520">
        <f>IF($B278&lt;=ProjectData!$B$174,-IPMT(ProjectData!$B$173,$B278,ProjectData!$B$174,ProjectData!$B$172*ProjectData!$D$137),0)</f>
        <v>3414707.6354635917</v>
      </c>
      <c r="N278" s="520">
        <f>IF($B278&lt;=ProjectData!$B$174,-PPMT(ProjectData!$B$173,$B278,ProjectData!$B$174,ProjectData!$B$172*ProjectData!$D$137),0)</f>
        <v>6087951.4838108895</v>
      </c>
      <c r="O278" s="520">
        <f t="shared" si="81"/>
        <v>9502659.1192744821</v>
      </c>
    </row>
    <row r="279" spans="2:15" s="219" customFormat="1" x14ac:dyDescent="0.25">
      <c r="B279" s="219">
        <v>9</v>
      </c>
      <c r="C279" s="520">
        <f>IF($B279&lt;=ProjectData!$B$167,-IPMT(ProjectData!$B$168,$B279,ProjectData!$B$167,ProjectData!$B$166*ProjectData!$D$137),0)</f>
        <v>2057820.5412210952</v>
      </c>
      <c r="D279" s="520">
        <f>IF($B279&lt;=ProjectData!$B$167,-PPMT(ProjectData!$B$168,$B279,ProjectData!$B$167,ProjectData!$B$166*ProjectData!$D$137),0)</f>
        <v>2169056.0244155987</v>
      </c>
      <c r="E279" s="520">
        <f t="shared" si="79"/>
        <v>4226876.5656366944</v>
      </c>
      <c r="G279" s="219">
        <v>9</v>
      </c>
      <c r="H279" s="520">
        <f>IF($B279&lt;=ProjectData!$B$174,-IPMT(ProjectData!$B$173,$B279,ProjectData!$B$174,ProjectData!$B$171*ProjectData!$D$137),0)</f>
        <v>0</v>
      </c>
      <c r="I279" s="520">
        <f>IF($B279&lt;=ProjectData!$B$174,-PPMT(ProjectData!$B$173,$B279,ProjectData!$B$174,ProjectData!$B$171*ProjectData!$D$137),0)</f>
        <v>0</v>
      </c>
      <c r="J279" s="520">
        <f t="shared" si="80"/>
        <v>0</v>
      </c>
      <c r="L279" s="219">
        <v>9</v>
      </c>
      <c r="M279" s="520">
        <f>IF($B279&lt;=ProjectData!$B$174,-IPMT(ProjectData!$B$173,$B279,ProjectData!$B$174,ProjectData!$B$172*ProjectData!$D$137),0)</f>
        <v>2440635.3980538505</v>
      </c>
      <c r="N279" s="520">
        <f>IF($B279&lt;=ProjectData!$B$174,-PPMT(ProjectData!$B$173,$B279,ProjectData!$B$174,ProjectData!$B$172*ProjectData!$D$137),0)</f>
        <v>7062023.7212206321</v>
      </c>
      <c r="O279" s="520">
        <f t="shared" si="81"/>
        <v>9502659.1192744821</v>
      </c>
    </row>
    <row r="280" spans="2:15" s="219" customFormat="1" x14ac:dyDescent="0.25">
      <c r="B280" s="219">
        <v>10</v>
      </c>
      <c r="C280" s="520">
        <f>IF($B280&lt;=ProjectData!$B$167,-IPMT(ProjectData!$B$168,$B280,ProjectData!$B$167,ProjectData!$B$166*ProjectData!$D$137),0)</f>
        <v>1840914.9387795357</v>
      </c>
      <c r="D280" s="520">
        <f>IF($B280&lt;=ProjectData!$B$167,-PPMT(ProjectData!$B$168,$B280,ProjectData!$B$167,ProjectData!$B$166*ProjectData!$D$137),0)</f>
        <v>2385961.6268571583</v>
      </c>
      <c r="E280" s="520">
        <f t="shared" si="79"/>
        <v>4226876.5656366944</v>
      </c>
      <c r="G280" s="219">
        <v>10</v>
      </c>
      <c r="H280" s="520">
        <f>IF($B280&lt;=ProjectData!$B$174,-IPMT(ProjectData!$B$173,$B280,ProjectData!$B$174,ProjectData!$B$171*ProjectData!$D$137),0)</f>
        <v>0</v>
      </c>
      <c r="I280" s="520">
        <f>IF($B280&lt;=ProjectData!$B$174,-PPMT(ProjectData!$B$173,$B280,ProjectData!$B$174,ProjectData!$B$171*ProjectData!$D$137),0)</f>
        <v>0</v>
      </c>
      <c r="J280" s="520">
        <f t="shared" si="80"/>
        <v>0</v>
      </c>
      <c r="L280" s="219">
        <v>10</v>
      </c>
      <c r="M280" s="520">
        <f>IF($B280&lt;=ProjectData!$B$174,-IPMT(ProjectData!$B$173,$B280,ProjectData!$B$174,ProjectData!$B$172*ProjectData!$D$137),0)</f>
        <v>1310711.6026585491</v>
      </c>
      <c r="N280" s="520">
        <f>IF($B280&lt;=ProjectData!$B$174,-PPMT(ProjectData!$B$173,$B280,ProjectData!$B$174,ProjectData!$B$172*ProjectData!$D$137),0)</f>
        <v>8191947.5166159337</v>
      </c>
      <c r="O280" s="520">
        <f t="shared" si="81"/>
        <v>9502659.1192744821</v>
      </c>
    </row>
    <row r="281" spans="2:15" s="219" customFormat="1" x14ac:dyDescent="0.25">
      <c r="B281" s="219">
        <v>11</v>
      </c>
      <c r="C281" s="520">
        <f>IF($B281&lt;=ProjectData!$B$167,-IPMT(ProjectData!$B$168,$B281,ProjectData!$B$167,ProjectData!$B$166*ProjectData!$D$137),0)</f>
        <v>1602318.7760938199</v>
      </c>
      <c r="D281" s="520">
        <f>IF($B281&lt;=ProjectData!$B$167,-PPMT(ProjectData!$B$168,$B281,ProjectData!$B$167,ProjectData!$B$166*ProjectData!$D$137),0)</f>
        <v>2624557.7895428739</v>
      </c>
      <c r="E281" s="520">
        <f t="shared" si="79"/>
        <v>4226876.5656366935</v>
      </c>
      <c r="G281" s="219">
        <v>11</v>
      </c>
      <c r="H281" s="520">
        <f>IF($B281&lt;=ProjectData!$B$174,-IPMT(ProjectData!$B$173,$B281,ProjectData!$B$174,ProjectData!$B$171*ProjectData!$D$137),0)</f>
        <v>0</v>
      </c>
      <c r="I281" s="520">
        <f>IF($B281&lt;=ProjectData!$B$174,-PPMT(ProjectData!$B$173,$B281,ProjectData!$B$174,ProjectData!$B$171*ProjectData!$D$137),0)</f>
        <v>0</v>
      </c>
      <c r="J281" s="520">
        <f t="shared" si="80"/>
        <v>0</v>
      </c>
      <c r="L281" s="219">
        <v>11</v>
      </c>
      <c r="M281" s="520">
        <f>IF($B281&lt;=ProjectData!$B$174,-IPMT(ProjectData!$B$173,$B281,ProjectData!$B$174,ProjectData!$B$172*ProjectData!$D$137),0)</f>
        <v>0</v>
      </c>
      <c r="N281" s="520">
        <f>IF($B281&lt;=ProjectData!$B$174,-PPMT(ProjectData!$B$173,$B281,ProjectData!$B$174,ProjectData!$B$172*ProjectData!$D$137),0)</f>
        <v>0</v>
      </c>
      <c r="O281" s="520">
        <f t="shared" si="81"/>
        <v>0</v>
      </c>
    </row>
    <row r="282" spans="2:15" s="219" customFormat="1" x14ac:dyDescent="0.25">
      <c r="B282" s="219">
        <v>12</v>
      </c>
      <c r="C282" s="520">
        <f>IF($B282&lt;=ProjectData!$B$167,-IPMT(ProjectData!$B$168,$B282,ProjectData!$B$167,ProjectData!$B$166*ProjectData!$D$137),0)</f>
        <v>1339862.9971395326</v>
      </c>
      <c r="D282" s="520">
        <f>IF($B282&lt;=ProjectData!$B$167,-PPMT(ProjectData!$B$168,$B282,ProjectData!$B$167,ProjectData!$B$166*ProjectData!$D$137),0)</f>
        <v>2887013.5684971618</v>
      </c>
      <c r="E282" s="520">
        <f t="shared" si="79"/>
        <v>4226876.5656366944</v>
      </c>
      <c r="G282" s="219">
        <v>12</v>
      </c>
      <c r="H282" s="520">
        <f>IF($B282&lt;=ProjectData!$B$174,-IPMT(ProjectData!$B$173,$B282,ProjectData!$B$174,ProjectData!$B$171*ProjectData!$D$137),0)</f>
        <v>0</v>
      </c>
      <c r="I282" s="520">
        <f>IF($B282&lt;=ProjectData!$B$174,-PPMT(ProjectData!$B$173,$B282,ProjectData!$B$174,ProjectData!$B$171*ProjectData!$D$137),0)</f>
        <v>0</v>
      </c>
      <c r="J282" s="520">
        <f t="shared" si="80"/>
        <v>0</v>
      </c>
      <c r="L282" s="219">
        <v>12</v>
      </c>
      <c r="M282" s="520">
        <f>IF($B282&lt;=ProjectData!$B$174,-IPMT(ProjectData!$B$173,$B282,ProjectData!$B$174,ProjectData!$B$172*ProjectData!$D$137),0)</f>
        <v>0</v>
      </c>
      <c r="N282" s="520">
        <f>IF($B282&lt;=ProjectData!$B$174,-PPMT(ProjectData!$B$173,$B282,ProjectData!$B$174,ProjectData!$B$172*ProjectData!$D$137),0)</f>
        <v>0</v>
      </c>
      <c r="O282" s="520">
        <f t="shared" si="81"/>
        <v>0</v>
      </c>
    </row>
    <row r="283" spans="2:15" s="219" customFormat="1" x14ac:dyDescent="0.25">
      <c r="B283" s="219">
        <v>13</v>
      </c>
      <c r="C283" s="520">
        <f>IF($B283&lt;=ProjectData!$B$167,-IPMT(ProjectData!$B$168,$B283,ProjectData!$B$167,ProjectData!$B$166*ProjectData!$D$137),0)</f>
        <v>1051161.6402898161</v>
      </c>
      <c r="D283" s="520">
        <f>IF($B283&lt;=ProjectData!$B$167,-PPMT(ProjectData!$B$168,$B283,ProjectData!$B$167,ProjectData!$B$166*ProjectData!$D$137),0)</f>
        <v>3175714.9253468774</v>
      </c>
      <c r="E283" s="520">
        <f t="shared" si="79"/>
        <v>4226876.5656366935</v>
      </c>
      <c r="G283" s="219">
        <v>13</v>
      </c>
      <c r="H283" s="520">
        <f>IF($B283&lt;=ProjectData!$B$174,-IPMT(ProjectData!$B$173,$B283,ProjectData!$B$174,ProjectData!$B$171*ProjectData!$D$137),0)</f>
        <v>0</v>
      </c>
      <c r="I283" s="520">
        <f>IF($B283&lt;=ProjectData!$B$174,-PPMT(ProjectData!$B$173,$B283,ProjectData!$B$174,ProjectData!$B$171*ProjectData!$D$137),0)</f>
        <v>0</v>
      </c>
      <c r="J283" s="520">
        <f t="shared" si="80"/>
        <v>0</v>
      </c>
      <c r="L283" s="219">
        <v>13</v>
      </c>
      <c r="M283" s="520">
        <f>IF($B283&lt;=ProjectData!$B$174,-IPMT(ProjectData!$B$173,$B283,ProjectData!$B$174,ProjectData!$B$172*ProjectData!$D$137),0)</f>
        <v>0</v>
      </c>
      <c r="N283" s="520">
        <f>IF($B283&lt;=ProjectData!$B$174,-PPMT(ProjectData!$B$173,$B283,ProjectData!$B$174,ProjectData!$B$172*ProjectData!$D$137),0)</f>
        <v>0</v>
      </c>
      <c r="O283" s="520">
        <f t="shared" si="81"/>
        <v>0</v>
      </c>
    </row>
    <row r="284" spans="2:15" s="219" customFormat="1" x14ac:dyDescent="0.25">
      <c r="B284" s="219">
        <v>14</v>
      </c>
      <c r="C284" s="520">
        <f>IF($B284&lt;=ProjectData!$B$167,-IPMT(ProjectData!$B$168,$B284,ProjectData!$B$167,ProjectData!$B$166*ProjectData!$D$137),0)</f>
        <v>733590.14775512856</v>
      </c>
      <c r="D284" s="520">
        <f>IF($B284&lt;=ProjectData!$B$167,-PPMT(ProjectData!$B$168,$B284,ProjectData!$B$167,ProjectData!$B$166*ProjectData!$D$137),0)</f>
        <v>3493286.4178815652</v>
      </c>
      <c r="E284" s="520">
        <f t="shared" si="79"/>
        <v>4226876.5656366935</v>
      </c>
      <c r="G284" s="219">
        <v>14</v>
      </c>
      <c r="H284" s="520">
        <f>IF($B284&lt;=ProjectData!$B$174,-IPMT(ProjectData!$B$173,$B284,ProjectData!$B$174,ProjectData!$B$171*ProjectData!$D$137),0)</f>
        <v>0</v>
      </c>
      <c r="I284" s="520">
        <f>IF($B284&lt;=ProjectData!$B$174,-PPMT(ProjectData!$B$173,$B284,ProjectData!$B$174,ProjectData!$B$171*ProjectData!$D$137),0)</f>
        <v>0</v>
      </c>
      <c r="J284" s="520">
        <f t="shared" si="80"/>
        <v>0</v>
      </c>
      <c r="L284" s="219">
        <v>14</v>
      </c>
      <c r="M284" s="520">
        <f>IF($B284&lt;=ProjectData!$B$174,-IPMT(ProjectData!$B$173,$B284,ProjectData!$B$174,ProjectData!$B$172*ProjectData!$D$137),0)</f>
        <v>0</v>
      </c>
      <c r="N284" s="520">
        <f>IF($B284&lt;=ProjectData!$B$174,-PPMT(ProjectData!$B$173,$B284,ProjectData!$B$174,ProjectData!$B$172*ProjectData!$D$137),0)</f>
        <v>0</v>
      </c>
      <c r="O284" s="520">
        <f t="shared" si="81"/>
        <v>0</v>
      </c>
    </row>
    <row r="285" spans="2:15" s="219" customFormat="1" x14ac:dyDescent="0.25">
      <c r="B285" s="219">
        <v>15</v>
      </c>
      <c r="C285" s="520">
        <f>IF($B285&lt;=ProjectData!$B$167,-IPMT(ProjectData!$B$168,$B285,ProjectData!$B$167,ProjectData!$B$166*ProjectData!$D$137),0)</f>
        <v>384261.50596697209</v>
      </c>
      <c r="D285" s="520">
        <f>IF($B285&lt;=ProjectData!$B$167,-PPMT(ProjectData!$B$168,$B285,ProjectData!$B$167,ProjectData!$B$166*ProjectData!$D$137),0)</f>
        <v>3842615.0596697214</v>
      </c>
      <c r="E285" s="520">
        <f t="shared" si="79"/>
        <v>4226876.5656366935</v>
      </c>
      <c r="G285" s="219">
        <v>15</v>
      </c>
      <c r="H285" s="520">
        <f>IF($B285&lt;=ProjectData!$B$174,-IPMT(ProjectData!$B$173,$B285,ProjectData!$B$174,ProjectData!$B$171*ProjectData!$D$137),0)</f>
        <v>0</v>
      </c>
      <c r="I285" s="520">
        <f>IF($B285&lt;=ProjectData!$B$174,-PPMT(ProjectData!$B$173,$B285,ProjectData!$B$174,ProjectData!$B$171*ProjectData!$D$137),0)</f>
        <v>0</v>
      </c>
      <c r="J285" s="520">
        <f t="shared" si="80"/>
        <v>0</v>
      </c>
      <c r="L285" s="219">
        <v>15</v>
      </c>
      <c r="M285" s="520">
        <f>IF($B285&lt;=ProjectData!$B$174,-IPMT(ProjectData!$B$173,$B285,ProjectData!$B$174,ProjectData!$B$172*ProjectData!$D$137),0)</f>
        <v>0</v>
      </c>
      <c r="N285" s="520">
        <f>IF($B285&lt;=ProjectData!$B$174,-PPMT(ProjectData!$B$173,$B285,ProjectData!$B$174,ProjectData!$B$172*ProjectData!$D$137),0)</f>
        <v>0</v>
      </c>
      <c r="O285" s="520">
        <f t="shared" si="81"/>
        <v>0</v>
      </c>
    </row>
    <row r="286" spans="2:15" s="219" customFormat="1" x14ac:dyDescent="0.25">
      <c r="B286" s="219">
        <v>16</v>
      </c>
      <c r="C286" s="520">
        <f>IF($B286&lt;=ProjectData!$B$167,-IPMT(ProjectData!$B$168,$B286,ProjectData!$B$167,ProjectData!$B$166*ProjectData!$D$137),0)</f>
        <v>0</v>
      </c>
      <c r="D286" s="520">
        <f>IF($B286&lt;=ProjectData!$B$167,-PPMT(ProjectData!$B$168,$B286,ProjectData!$B$167,ProjectData!$B$166*ProjectData!$D$137),0)</f>
        <v>0</v>
      </c>
      <c r="E286" s="520">
        <f t="shared" si="79"/>
        <v>0</v>
      </c>
      <c r="G286" s="219">
        <v>16</v>
      </c>
      <c r="H286" s="520">
        <f>IF($B286&lt;=ProjectData!$B$174,-IPMT(ProjectData!$B$173,$B286,ProjectData!$B$174,ProjectData!$B$171*ProjectData!$D$137),0)</f>
        <v>0</v>
      </c>
      <c r="I286" s="520">
        <f>IF($B286&lt;=ProjectData!$B$174,-PPMT(ProjectData!$B$173,$B286,ProjectData!$B$174,ProjectData!$B$171*ProjectData!$D$137),0)</f>
        <v>0</v>
      </c>
      <c r="J286" s="520">
        <f t="shared" si="80"/>
        <v>0</v>
      </c>
      <c r="L286" s="219">
        <v>16</v>
      </c>
      <c r="M286" s="520">
        <f>IF($B286&lt;=ProjectData!$B$174,-IPMT(ProjectData!$B$173,$B286,ProjectData!$B$174,ProjectData!$B$172*ProjectData!$D$137),0)</f>
        <v>0</v>
      </c>
      <c r="N286" s="520">
        <f>IF($B286&lt;=ProjectData!$B$174,-PPMT(ProjectData!$B$173,$B286,ProjectData!$B$174,ProjectData!$B$172*ProjectData!$D$137),0)</f>
        <v>0</v>
      </c>
      <c r="O286" s="520">
        <f t="shared" si="81"/>
        <v>0</v>
      </c>
    </row>
    <row r="287" spans="2:15" s="219" customFormat="1" x14ac:dyDescent="0.25">
      <c r="B287" s="219">
        <v>17</v>
      </c>
      <c r="C287" s="520">
        <f>IF($B287&lt;=ProjectData!$B$167,-IPMT(ProjectData!$B$168,$B287,ProjectData!$B$167,ProjectData!$B$166*ProjectData!$D$137),0)</f>
        <v>0</v>
      </c>
      <c r="D287" s="520">
        <f>IF($B287&lt;=ProjectData!$B$167,-PPMT(ProjectData!$B$168,$B287,ProjectData!$B$167,ProjectData!$B$166*ProjectData!$D$137),0)</f>
        <v>0</v>
      </c>
      <c r="E287" s="520">
        <f t="shared" si="79"/>
        <v>0</v>
      </c>
      <c r="G287" s="219">
        <v>17</v>
      </c>
      <c r="H287" s="520">
        <f>IF($B287&lt;=ProjectData!$B$174,-IPMT(ProjectData!$B$173,$B287,ProjectData!$B$174,ProjectData!$B$171*ProjectData!$D$137),0)</f>
        <v>0</v>
      </c>
      <c r="I287" s="520">
        <f>IF($B287&lt;=ProjectData!$B$174,-PPMT(ProjectData!$B$173,$B287,ProjectData!$B$174,ProjectData!$B$171*ProjectData!$D$137),0)</f>
        <v>0</v>
      </c>
      <c r="J287" s="520">
        <f t="shared" si="80"/>
        <v>0</v>
      </c>
      <c r="L287" s="219">
        <v>17</v>
      </c>
      <c r="M287" s="520">
        <f>IF($B287&lt;=ProjectData!$B$174,-IPMT(ProjectData!$B$173,$B287,ProjectData!$B$174,ProjectData!$B$172*ProjectData!$D$137),0)</f>
        <v>0</v>
      </c>
      <c r="N287" s="520">
        <f>IF($B287&lt;=ProjectData!$B$174,-PPMT(ProjectData!$B$173,$B287,ProjectData!$B$174,ProjectData!$B$172*ProjectData!$D$137),0)</f>
        <v>0</v>
      </c>
      <c r="O287" s="520">
        <f t="shared" si="81"/>
        <v>0</v>
      </c>
    </row>
    <row r="288" spans="2:15" s="219" customFormat="1" x14ac:dyDescent="0.25">
      <c r="B288" s="219">
        <v>18</v>
      </c>
      <c r="C288" s="520">
        <f>IF($B288&lt;=ProjectData!$B$167,-IPMT(ProjectData!$B$168,$B288,ProjectData!$B$167,ProjectData!$B$166*ProjectData!$D$137),0)</f>
        <v>0</v>
      </c>
      <c r="D288" s="520">
        <f>IF($B288&lt;=ProjectData!$B$167,-PPMT(ProjectData!$B$168,$B288,ProjectData!$B$167,ProjectData!$B$166*ProjectData!$D$137),0)</f>
        <v>0</v>
      </c>
      <c r="E288" s="520">
        <f t="shared" si="79"/>
        <v>0</v>
      </c>
      <c r="G288" s="219">
        <v>18</v>
      </c>
      <c r="H288" s="520">
        <f>IF($B288&lt;=ProjectData!$B$174,-IPMT(ProjectData!$B$173,$B288,ProjectData!$B$174,ProjectData!$B$171*ProjectData!$D$137),0)</f>
        <v>0</v>
      </c>
      <c r="I288" s="520">
        <f>IF($B288&lt;=ProjectData!$B$174,-PPMT(ProjectData!$B$173,$B288,ProjectData!$B$174,ProjectData!$B$171*ProjectData!$D$137),0)</f>
        <v>0</v>
      </c>
      <c r="J288" s="520">
        <f t="shared" si="80"/>
        <v>0</v>
      </c>
      <c r="L288" s="219">
        <v>18</v>
      </c>
      <c r="M288" s="520">
        <f>IF($B288&lt;=ProjectData!$B$174,-IPMT(ProjectData!$B$173,$B288,ProjectData!$B$174,ProjectData!$B$172*ProjectData!$D$137),0)</f>
        <v>0</v>
      </c>
      <c r="N288" s="520">
        <f>IF($B288&lt;=ProjectData!$B$174,-PPMT(ProjectData!$B$173,$B288,ProjectData!$B$174,ProjectData!$B$172*ProjectData!$D$137),0)</f>
        <v>0</v>
      </c>
      <c r="O288" s="520">
        <f t="shared" si="81"/>
        <v>0</v>
      </c>
    </row>
    <row r="289" spans="2:15" s="219" customFormat="1" x14ac:dyDescent="0.25">
      <c r="B289" s="219">
        <v>19</v>
      </c>
      <c r="C289" s="520">
        <f>IF($B289&lt;=ProjectData!$B$167,-IPMT(ProjectData!$B$168,$B289,ProjectData!$B$167,ProjectData!$B$166*ProjectData!$D$137),0)</f>
        <v>0</v>
      </c>
      <c r="D289" s="520">
        <f>IF($B289&lt;=ProjectData!$B$167,-PPMT(ProjectData!$B$168,$B289,ProjectData!$B$167,ProjectData!$B$166*ProjectData!$D$137),0)</f>
        <v>0</v>
      </c>
      <c r="E289" s="520">
        <f t="shared" si="79"/>
        <v>0</v>
      </c>
      <c r="G289" s="219">
        <v>19</v>
      </c>
      <c r="H289" s="520">
        <f>IF($B289&lt;=ProjectData!$B$174,-IPMT(ProjectData!$B$173,$B289,ProjectData!$B$174,ProjectData!$B$171*ProjectData!$D$137),0)</f>
        <v>0</v>
      </c>
      <c r="I289" s="520">
        <f>IF($B289&lt;=ProjectData!$B$174,-PPMT(ProjectData!$B$173,$B289,ProjectData!$B$174,ProjectData!$B$171*ProjectData!$D$137),0)</f>
        <v>0</v>
      </c>
      <c r="J289" s="520">
        <f t="shared" si="80"/>
        <v>0</v>
      </c>
      <c r="L289" s="219">
        <v>19</v>
      </c>
      <c r="M289" s="520">
        <f>IF($B289&lt;=ProjectData!$B$174,-IPMT(ProjectData!$B$173,$B289,ProjectData!$B$174,ProjectData!$B$172*ProjectData!$D$137),0)</f>
        <v>0</v>
      </c>
      <c r="N289" s="520">
        <f>IF($B289&lt;=ProjectData!$B$174,-PPMT(ProjectData!$B$173,$B289,ProjectData!$B$174,ProjectData!$B$172*ProjectData!$D$137),0)</f>
        <v>0</v>
      </c>
      <c r="O289" s="520">
        <f t="shared" si="81"/>
        <v>0</v>
      </c>
    </row>
    <row r="290" spans="2:15" s="219" customFormat="1" x14ac:dyDescent="0.25">
      <c r="B290" s="219">
        <v>20</v>
      </c>
      <c r="C290" s="520">
        <f>IF($B290&lt;=ProjectData!$B$167,-IPMT(ProjectData!$B$168,$B290,ProjectData!$B$167,ProjectData!$B$166*ProjectData!$D$137),0)</f>
        <v>0</v>
      </c>
      <c r="D290" s="520">
        <f>IF($B290&lt;=ProjectData!$B$167,-PPMT(ProjectData!$B$168,$B290,ProjectData!$B$167,ProjectData!$B$166*ProjectData!$D$137),0)</f>
        <v>0</v>
      </c>
      <c r="E290" s="520">
        <f t="shared" si="79"/>
        <v>0</v>
      </c>
      <c r="G290" s="219">
        <v>20</v>
      </c>
      <c r="H290" s="520">
        <f>IF($B290&lt;=ProjectData!$B$174,-IPMT(ProjectData!$B$173,$B290,ProjectData!$B$174,ProjectData!$B$171*ProjectData!$D$137),0)</f>
        <v>0</v>
      </c>
      <c r="I290" s="520">
        <f>IF($B290&lt;=ProjectData!$B$174,-PPMT(ProjectData!$B$173,$B290,ProjectData!$B$174,ProjectData!$B$171*ProjectData!$D$137),0)</f>
        <v>0</v>
      </c>
      <c r="J290" s="520">
        <f t="shared" si="80"/>
        <v>0</v>
      </c>
      <c r="L290" s="219">
        <v>20</v>
      </c>
      <c r="M290" s="520">
        <f>IF($B290&lt;=ProjectData!$B$174,-IPMT(ProjectData!$B$173,$B290,ProjectData!$B$174,ProjectData!$B$172*ProjectData!$D$137),0)</f>
        <v>0</v>
      </c>
      <c r="N290" s="520">
        <f>IF($B290&lt;=ProjectData!$B$174,-PPMT(ProjectData!$B$173,$B290,ProjectData!$B$174,ProjectData!$B$172*ProjectData!$D$137),0)</f>
        <v>0</v>
      </c>
      <c r="O290" s="520">
        <f t="shared" si="81"/>
        <v>0</v>
      </c>
    </row>
    <row r="291" spans="2:15" s="219" customFormat="1" x14ac:dyDescent="0.25">
      <c r="B291" s="219">
        <v>21</v>
      </c>
      <c r="C291" s="520">
        <f>IF($B291&lt;=ProjectData!$B$167,-IPMT(ProjectData!$B$168,$B291,ProjectData!$B$167,ProjectData!$B$166*ProjectData!$D$137),0)</f>
        <v>0</v>
      </c>
      <c r="D291" s="520">
        <f>IF($B291&lt;=ProjectData!$B$167,-PPMT(ProjectData!$B$168,$B291,ProjectData!$B$167,ProjectData!$B$166*ProjectData!$D$137),0)</f>
        <v>0</v>
      </c>
      <c r="E291" s="520">
        <f t="shared" si="79"/>
        <v>0</v>
      </c>
      <c r="G291" s="219">
        <v>21</v>
      </c>
      <c r="H291" s="520">
        <f>IF($B291&lt;=ProjectData!$B$174,-IPMT(ProjectData!$B$173,$B291,ProjectData!$B$174,ProjectData!$B$171*ProjectData!$D$137),0)</f>
        <v>0</v>
      </c>
      <c r="I291" s="520">
        <f>IF($B291&lt;=ProjectData!$B$174,-PPMT(ProjectData!$B$173,$B291,ProjectData!$B$174,ProjectData!$B$171*ProjectData!$D$137),0)</f>
        <v>0</v>
      </c>
      <c r="J291" s="520">
        <f t="shared" si="80"/>
        <v>0</v>
      </c>
      <c r="L291" s="219">
        <v>21</v>
      </c>
      <c r="M291" s="520">
        <f>IF($B291&lt;=ProjectData!$B$174,-IPMT(ProjectData!$B$173,$B291,ProjectData!$B$174,ProjectData!$B$172*ProjectData!$D$137),0)</f>
        <v>0</v>
      </c>
      <c r="N291" s="520">
        <f>IF($B291&lt;=ProjectData!$B$174,-PPMT(ProjectData!$B$173,$B291,ProjectData!$B$174,ProjectData!$B$172*ProjectData!$D$137),0)</f>
        <v>0</v>
      </c>
      <c r="O291" s="520">
        <f t="shared" si="81"/>
        <v>0</v>
      </c>
    </row>
    <row r="292" spans="2:15" s="219" customFormat="1" x14ac:dyDescent="0.25">
      <c r="B292" s="219">
        <v>22</v>
      </c>
      <c r="C292" s="520">
        <f>IF($B292&lt;=ProjectData!$B$167,-IPMT(ProjectData!$B$168,$B292,ProjectData!$B$167,ProjectData!$B$166*ProjectData!$D$137),0)</f>
        <v>0</v>
      </c>
      <c r="D292" s="520">
        <f>IF($B292&lt;=ProjectData!$B$167,-PPMT(ProjectData!$B$168,$B292,ProjectData!$B$167,ProjectData!$B$166*ProjectData!$D$137),0)</f>
        <v>0</v>
      </c>
      <c r="E292" s="520">
        <f t="shared" si="79"/>
        <v>0</v>
      </c>
      <c r="G292" s="219">
        <v>22</v>
      </c>
      <c r="H292" s="520">
        <f>IF($B292&lt;=ProjectData!$B$174,-IPMT(ProjectData!$B$173,$B292,ProjectData!$B$174,ProjectData!$B$171*ProjectData!$D$137),0)</f>
        <v>0</v>
      </c>
      <c r="I292" s="520">
        <f>IF($B292&lt;=ProjectData!$B$174,-PPMT(ProjectData!$B$173,$B292,ProjectData!$B$174,ProjectData!$B$171*ProjectData!$D$137),0)</f>
        <v>0</v>
      </c>
      <c r="J292" s="520">
        <f t="shared" si="80"/>
        <v>0</v>
      </c>
      <c r="L292" s="219">
        <v>22</v>
      </c>
      <c r="M292" s="520">
        <f>IF($B292&lt;=ProjectData!$B$174,-IPMT(ProjectData!$B$173,$B292,ProjectData!$B$174,ProjectData!$B$172*ProjectData!$D$137),0)</f>
        <v>0</v>
      </c>
      <c r="N292" s="520">
        <f>IF($B292&lt;=ProjectData!$B$174,-PPMT(ProjectData!$B$173,$B292,ProjectData!$B$174,ProjectData!$B$172*ProjectData!$D$137),0)</f>
        <v>0</v>
      </c>
      <c r="O292" s="520">
        <f t="shared" si="81"/>
        <v>0</v>
      </c>
    </row>
    <row r="293" spans="2:15" s="219" customFormat="1" x14ac:dyDescent="0.25">
      <c r="B293" s="219">
        <v>23</v>
      </c>
      <c r="C293" s="520">
        <f>IF($B293&lt;=ProjectData!$B$167,-IPMT(ProjectData!$B$168,$B293,ProjectData!$B$167,ProjectData!$B$166*ProjectData!$D$137),0)</f>
        <v>0</v>
      </c>
      <c r="D293" s="520">
        <f>IF($B293&lt;=ProjectData!$B$167,-PPMT(ProjectData!$B$168,$B293,ProjectData!$B$167,ProjectData!$B$166*ProjectData!$D$137),0)</f>
        <v>0</v>
      </c>
      <c r="E293" s="520">
        <f t="shared" si="79"/>
        <v>0</v>
      </c>
      <c r="G293" s="219">
        <v>23</v>
      </c>
      <c r="H293" s="520">
        <f>IF($B293&lt;=ProjectData!$B$174,-IPMT(ProjectData!$B$173,$B293,ProjectData!$B$174,ProjectData!$B$171*ProjectData!$D$137),0)</f>
        <v>0</v>
      </c>
      <c r="I293" s="520">
        <f>IF($B293&lt;=ProjectData!$B$174,-PPMT(ProjectData!$B$173,$B293,ProjectData!$B$174,ProjectData!$B$171*ProjectData!$D$137),0)</f>
        <v>0</v>
      </c>
      <c r="J293" s="520">
        <f t="shared" si="80"/>
        <v>0</v>
      </c>
      <c r="L293" s="219">
        <v>23</v>
      </c>
      <c r="M293" s="520">
        <f>IF($B293&lt;=ProjectData!$B$174,-IPMT(ProjectData!$B$173,$B293,ProjectData!$B$174,ProjectData!$B$172*ProjectData!$D$137),0)</f>
        <v>0</v>
      </c>
      <c r="N293" s="520">
        <f>IF($B293&lt;=ProjectData!$B$174,-PPMT(ProjectData!$B$173,$B293,ProjectData!$B$174,ProjectData!$B$172*ProjectData!$D$137),0)</f>
        <v>0</v>
      </c>
      <c r="O293" s="520">
        <f t="shared" si="81"/>
        <v>0</v>
      </c>
    </row>
    <row r="294" spans="2:15" s="219" customFormat="1" x14ac:dyDescent="0.25">
      <c r="B294" s="219">
        <v>24</v>
      </c>
      <c r="C294" s="520">
        <f>IF($B294&lt;=ProjectData!$B$167,-IPMT(ProjectData!$B$168,$B294,ProjectData!$B$167,ProjectData!$B$166*ProjectData!$D$137),0)</f>
        <v>0</v>
      </c>
      <c r="D294" s="520">
        <f>IF($B294&lt;=ProjectData!$B$167,-PPMT(ProjectData!$B$168,$B294,ProjectData!$B$167,ProjectData!$B$166*ProjectData!$D$137),0)</f>
        <v>0</v>
      </c>
      <c r="E294" s="520">
        <f t="shared" si="79"/>
        <v>0</v>
      </c>
      <c r="G294" s="219">
        <v>24</v>
      </c>
      <c r="H294" s="520">
        <f>IF($B294&lt;=ProjectData!$B$174,-IPMT(ProjectData!$B$173,$B294,ProjectData!$B$174,ProjectData!$B$171*ProjectData!$D$137),0)</f>
        <v>0</v>
      </c>
      <c r="I294" s="520">
        <f>IF($B294&lt;=ProjectData!$B$174,-PPMT(ProjectData!$B$173,$B294,ProjectData!$B$174,ProjectData!$B$171*ProjectData!$D$137),0)</f>
        <v>0</v>
      </c>
      <c r="J294" s="520">
        <f t="shared" si="80"/>
        <v>0</v>
      </c>
      <c r="L294" s="219">
        <v>24</v>
      </c>
      <c r="M294" s="520">
        <f>IF($B294&lt;=ProjectData!$B$174,-IPMT(ProjectData!$B$173,$B294,ProjectData!$B$174,ProjectData!$B$172*ProjectData!$D$137),0)</f>
        <v>0</v>
      </c>
      <c r="N294" s="520">
        <f>IF($B294&lt;=ProjectData!$B$174,-PPMT(ProjectData!$B$173,$B294,ProjectData!$B$174,ProjectData!$B$172*ProjectData!$D$137),0)</f>
        <v>0</v>
      </c>
      <c r="O294" s="520">
        <f t="shared" si="81"/>
        <v>0</v>
      </c>
    </row>
    <row r="295" spans="2:15" s="219" customFormat="1" x14ac:dyDescent="0.25">
      <c r="B295" s="219">
        <v>25</v>
      </c>
      <c r="C295" s="520">
        <f>IF($B295&lt;=ProjectData!$B$167,-IPMT(ProjectData!$B$168,$B295,ProjectData!$B$167,ProjectData!$B$166*ProjectData!$D$137),0)</f>
        <v>0</v>
      </c>
      <c r="D295" s="520">
        <f>IF($B295&lt;=ProjectData!$B$167,-PPMT(ProjectData!$B$168,$B295,ProjectData!$B$167,ProjectData!$B$166*ProjectData!$D$137),0)</f>
        <v>0</v>
      </c>
      <c r="E295" s="520">
        <f t="shared" si="79"/>
        <v>0</v>
      </c>
      <c r="G295" s="219">
        <v>25</v>
      </c>
      <c r="H295" s="520">
        <f>IF($B295&lt;=ProjectData!$B$174,-IPMT(ProjectData!$B$173,$B295,ProjectData!$B$174,ProjectData!$B$171*ProjectData!$D$137),0)</f>
        <v>0</v>
      </c>
      <c r="I295" s="520">
        <f>IF($B295&lt;=ProjectData!$B$174,-PPMT(ProjectData!$B$173,$B295,ProjectData!$B$174,ProjectData!$B$171*ProjectData!$D$137),0)</f>
        <v>0</v>
      </c>
      <c r="J295" s="520">
        <f t="shared" si="80"/>
        <v>0</v>
      </c>
      <c r="L295" s="219">
        <v>25</v>
      </c>
      <c r="M295" s="520">
        <f>IF($B295&lt;=ProjectData!$B$174,-IPMT(ProjectData!$B$173,$B295,ProjectData!$B$174,ProjectData!$B$172*ProjectData!$D$137),0)</f>
        <v>0</v>
      </c>
      <c r="N295" s="520">
        <f>IF($B295&lt;=ProjectData!$B$174,-PPMT(ProjectData!$B$173,$B295,ProjectData!$B$174,ProjectData!$B$172*ProjectData!$D$137),0)</f>
        <v>0</v>
      </c>
      <c r="O295" s="520">
        <f t="shared" si="81"/>
        <v>0</v>
      </c>
    </row>
    <row r="296" spans="2:15" s="219" customFormat="1" x14ac:dyDescent="0.25">
      <c r="B296" s="219">
        <v>26</v>
      </c>
      <c r="C296" s="520">
        <f>IF($B296&lt;=ProjectData!$B$167,-IPMT(ProjectData!$B$168,$B296,ProjectData!$B$167,ProjectData!$B$166*ProjectData!$D$137),0)</f>
        <v>0</v>
      </c>
      <c r="D296" s="520">
        <f>IF($B296&lt;=ProjectData!$B$167,-PPMT(ProjectData!$B$168,$B296,ProjectData!$B$167,ProjectData!$B$166*ProjectData!$D$137),0)</f>
        <v>0</v>
      </c>
      <c r="E296" s="520">
        <f t="shared" si="79"/>
        <v>0</v>
      </c>
      <c r="G296" s="219">
        <v>26</v>
      </c>
      <c r="H296" s="520">
        <f>IF($B296&lt;=ProjectData!$B$174,-IPMT(ProjectData!$B$173,$B296,ProjectData!$B$174,ProjectData!$B$171*ProjectData!$D$137),0)</f>
        <v>0</v>
      </c>
      <c r="I296" s="520">
        <f>IF($B296&lt;=ProjectData!$B$174,-PPMT(ProjectData!$B$173,$B296,ProjectData!$B$174,ProjectData!$B$171*ProjectData!$D$137),0)</f>
        <v>0</v>
      </c>
      <c r="J296" s="520">
        <f t="shared" si="80"/>
        <v>0</v>
      </c>
      <c r="L296" s="219">
        <v>26</v>
      </c>
      <c r="M296" s="520">
        <f>IF($B296&lt;=ProjectData!$B$174,-IPMT(ProjectData!$B$173,$B296,ProjectData!$B$174,ProjectData!$B$172*ProjectData!$D$137),0)</f>
        <v>0</v>
      </c>
      <c r="N296" s="520">
        <f>IF($B296&lt;=ProjectData!$B$174,-PPMT(ProjectData!$B$173,$B296,ProjectData!$B$174,ProjectData!$B$172*ProjectData!$D$137),0)</f>
        <v>0</v>
      </c>
      <c r="O296" s="520">
        <f t="shared" si="81"/>
        <v>0</v>
      </c>
    </row>
    <row r="297" spans="2:15" s="219" customFormat="1" x14ac:dyDescent="0.25">
      <c r="B297" s="219">
        <v>27</v>
      </c>
      <c r="C297" s="520">
        <f>IF($B297&lt;=ProjectData!$B$167,-IPMT(ProjectData!$B$168,$B297,ProjectData!$B$167,ProjectData!$B$166*ProjectData!$D$137),0)</f>
        <v>0</v>
      </c>
      <c r="D297" s="520">
        <f>IF($B297&lt;=ProjectData!$B$167,-PPMT(ProjectData!$B$168,$B297,ProjectData!$B$167,ProjectData!$B$166*ProjectData!$D$137),0)</f>
        <v>0</v>
      </c>
      <c r="E297" s="520">
        <f t="shared" si="79"/>
        <v>0</v>
      </c>
      <c r="G297" s="219">
        <v>27</v>
      </c>
      <c r="H297" s="520">
        <f>IF($B297&lt;=ProjectData!$B$174,-IPMT(ProjectData!$B$173,$B297,ProjectData!$B$174,ProjectData!$B$171*ProjectData!$D$137),0)</f>
        <v>0</v>
      </c>
      <c r="I297" s="520">
        <f>IF($B297&lt;=ProjectData!$B$174,-PPMT(ProjectData!$B$173,$B297,ProjectData!$B$174,ProjectData!$B$171*ProjectData!$D$137),0)</f>
        <v>0</v>
      </c>
      <c r="J297" s="520">
        <f t="shared" si="80"/>
        <v>0</v>
      </c>
      <c r="L297" s="219">
        <v>27</v>
      </c>
      <c r="M297" s="520">
        <f>IF($B297&lt;=ProjectData!$B$174,-IPMT(ProjectData!$B$173,$B297,ProjectData!$B$174,ProjectData!$B$172*ProjectData!$D$137),0)</f>
        <v>0</v>
      </c>
      <c r="N297" s="520">
        <f>IF($B297&lt;=ProjectData!$B$174,-PPMT(ProjectData!$B$173,$B297,ProjectData!$B$174,ProjectData!$B$172*ProjectData!$D$137),0)</f>
        <v>0</v>
      </c>
      <c r="O297" s="520">
        <f t="shared" si="81"/>
        <v>0</v>
      </c>
    </row>
    <row r="298" spans="2:15" s="219" customFormat="1" x14ac:dyDescent="0.25">
      <c r="B298" s="219">
        <v>28</v>
      </c>
      <c r="C298" s="520">
        <f>IF($B298&lt;=ProjectData!$B$167,-IPMT(ProjectData!$B$168,$B298,ProjectData!$B$167,ProjectData!$B$166*ProjectData!$D$137),0)</f>
        <v>0</v>
      </c>
      <c r="D298" s="520">
        <f>IF($B298&lt;=ProjectData!$B$167,-PPMT(ProjectData!$B$168,$B298,ProjectData!$B$167,ProjectData!$B$166*ProjectData!$D$137),0)</f>
        <v>0</v>
      </c>
      <c r="E298" s="520">
        <f t="shared" si="79"/>
        <v>0</v>
      </c>
      <c r="G298" s="219">
        <v>28</v>
      </c>
      <c r="H298" s="520">
        <f>IF($B298&lt;=ProjectData!$B$174,-IPMT(ProjectData!$B$173,$B298,ProjectData!$B$174,ProjectData!$B$171*ProjectData!$D$137),0)</f>
        <v>0</v>
      </c>
      <c r="I298" s="520">
        <f>IF($B298&lt;=ProjectData!$B$174,-PPMT(ProjectData!$B$173,$B298,ProjectData!$B$174,ProjectData!$B$171*ProjectData!$D$137),0)</f>
        <v>0</v>
      </c>
      <c r="J298" s="520">
        <f t="shared" si="80"/>
        <v>0</v>
      </c>
      <c r="L298" s="219">
        <v>28</v>
      </c>
      <c r="M298" s="520">
        <f>IF($B298&lt;=ProjectData!$B$174,-IPMT(ProjectData!$B$173,$B298,ProjectData!$B$174,ProjectData!$B$172*ProjectData!$D$137),0)</f>
        <v>0</v>
      </c>
      <c r="N298" s="520">
        <f>IF($B298&lt;=ProjectData!$B$174,-PPMT(ProjectData!$B$173,$B298,ProjectData!$B$174,ProjectData!$B$172*ProjectData!$D$137),0)</f>
        <v>0</v>
      </c>
      <c r="O298" s="520">
        <f t="shared" si="81"/>
        <v>0</v>
      </c>
    </row>
    <row r="299" spans="2:15" s="219" customFormat="1" x14ac:dyDescent="0.25">
      <c r="B299" s="219">
        <v>29</v>
      </c>
      <c r="C299" s="520">
        <f>IF($B299&lt;=ProjectData!$B$167,-IPMT(ProjectData!$B$168,$B299,ProjectData!$B$167,ProjectData!$B$166*ProjectData!$D$137),0)</f>
        <v>0</v>
      </c>
      <c r="D299" s="520">
        <f>IF($B299&lt;=ProjectData!$B$167,-PPMT(ProjectData!$B$168,$B299,ProjectData!$B$167,ProjectData!$B$166*ProjectData!$D$137),0)</f>
        <v>0</v>
      </c>
      <c r="E299" s="520">
        <f t="shared" si="79"/>
        <v>0</v>
      </c>
      <c r="G299" s="219">
        <v>29</v>
      </c>
      <c r="H299" s="520">
        <f>IF($B299&lt;=ProjectData!$B$174,-IPMT(ProjectData!$B$173,$B299,ProjectData!$B$174,ProjectData!$B$171*ProjectData!$D$137),0)</f>
        <v>0</v>
      </c>
      <c r="I299" s="520">
        <f>IF($B299&lt;=ProjectData!$B$174,-PPMT(ProjectData!$B$173,$B299,ProjectData!$B$174,ProjectData!$B$171*ProjectData!$D$137),0)</f>
        <v>0</v>
      </c>
      <c r="J299" s="520">
        <f t="shared" si="80"/>
        <v>0</v>
      </c>
      <c r="L299" s="219">
        <v>29</v>
      </c>
      <c r="M299" s="520">
        <f>IF($B299&lt;=ProjectData!$B$174,-IPMT(ProjectData!$B$173,$B299,ProjectData!$B$174,ProjectData!$B$172*ProjectData!$D$137),0)</f>
        <v>0</v>
      </c>
      <c r="N299" s="520">
        <f>IF($B299&lt;=ProjectData!$B$174,-PPMT(ProjectData!$B$173,$B299,ProjectData!$B$174,ProjectData!$B$172*ProjectData!$D$137),0)</f>
        <v>0</v>
      </c>
      <c r="O299" s="520">
        <f t="shared" si="81"/>
        <v>0</v>
      </c>
    </row>
    <row r="300" spans="2:15" s="219" customFormat="1" x14ac:dyDescent="0.25">
      <c r="B300" s="219">
        <v>30</v>
      </c>
      <c r="C300" s="520">
        <f>IF($B300&lt;=ProjectData!$B$167,-IPMT(ProjectData!$B$168,$B300,ProjectData!$B$167,ProjectData!$B$166*ProjectData!$D$137),0)</f>
        <v>0</v>
      </c>
      <c r="D300" s="520">
        <f>IF($B300&lt;=ProjectData!$B$167,-PPMT(ProjectData!$B$168,$B300,ProjectData!$B$167,ProjectData!$B$166*ProjectData!$D$137),0)</f>
        <v>0</v>
      </c>
      <c r="E300" s="520">
        <f t="shared" si="79"/>
        <v>0</v>
      </c>
      <c r="G300" s="219">
        <v>30</v>
      </c>
      <c r="H300" s="520">
        <f>IF($B300&lt;=ProjectData!$B$174,-IPMT(ProjectData!$B$173,$B300,ProjectData!$B$174,ProjectData!$B$171*ProjectData!$D$137),0)</f>
        <v>0</v>
      </c>
      <c r="I300" s="520">
        <f>IF($B300&lt;=ProjectData!$B$174,-PPMT(ProjectData!$B$173,$B300,ProjectData!$B$174,ProjectData!$B$171*ProjectData!$D$137),0)</f>
        <v>0</v>
      </c>
      <c r="J300" s="520">
        <f t="shared" si="80"/>
        <v>0</v>
      </c>
      <c r="L300" s="219">
        <v>30</v>
      </c>
      <c r="M300" s="520">
        <f>IF($B300&lt;=ProjectData!$B$174,-IPMT(ProjectData!$B$173,$B300,ProjectData!$B$174,ProjectData!$B$172*ProjectData!$D$137),0)</f>
        <v>0</v>
      </c>
      <c r="N300" s="520">
        <f>IF($B300&lt;=ProjectData!$B$174,-PPMT(ProjectData!$B$173,$B300,ProjectData!$B$174,ProjectData!$B$172*ProjectData!$D$137),0)</f>
        <v>0</v>
      </c>
      <c r="O300" s="520">
        <f t="shared" si="81"/>
        <v>0</v>
      </c>
    </row>
    <row r="301" spans="2:15" s="219" customFormat="1" x14ac:dyDescent="0.25">
      <c r="B301" s="219" t="s">
        <v>624</v>
      </c>
      <c r="C301" s="520">
        <f>SUM(C271:C300)</f>
        <v>31253189.26296607</v>
      </c>
      <c r="D301" s="520">
        <f>SUM(D271:D300)</f>
        <v>32149959.221584339</v>
      </c>
      <c r="E301" s="520">
        <f t="shared" si="79"/>
        <v>63403148.484550409</v>
      </c>
      <c r="G301" s="219" t="s">
        <v>624</v>
      </c>
      <c r="H301" s="520">
        <f>SUM(H271:H300)</f>
        <v>0</v>
      </c>
      <c r="I301" s="520">
        <f>SUM(I271:I300)</f>
        <v>0</v>
      </c>
      <c r="J301" s="520">
        <f t="shared" si="80"/>
        <v>0</v>
      </c>
      <c r="L301" s="219" t="s">
        <v>624</v>
      </c>
      <c r="M301" s="520">
        <f>SUM(M271:M300)</f>
        <v>49098078.019052908</v>
      </c>
      <c r="N301" s="520">
        <f>SUM(N271:N300)</f>
        <v>45928513.173691913</v>
      </c>
      <c r="O301" s="520">
        <f t="shared" si="81"/>
        <v>95026591.192744821</v>
      </c>
    </row>
    <row r="302" spans="2:15" s="219" customFormat="1" x14ac:dyDescent="0.25">
      <c r="B302" s="219" t="s">
        <v>866</v>
      </c>
      <c r="C302" s="520">
        <f>C301/'Default Data'!$C$211</f>
        <v>2083545.9508644047</v>
      </c>
      <c r="D302" s="520">
        <f>D301/'Default Data'!$C$211</f>
        <v>2143330.6147722891</v>
      </c>
      <c r="E302" s="520">
        <f t="shared" si="79"/>
        <v>4226876.5656366935</v>
      </c>
      <c r="G302" s="219" t="s">
        <v>866</v>
      </c>
      <c r="H302" s="520">
        <f>H301/'Default Data'!$C$211</f>
        <v>0</v>
      </c>
      <c r="I302" s="520">
        <f>I301/'Default Data'!$C$211</f>
        <v>0</v>
      </c>
      <c r="J302" s="520">
        <f t="shared" si="80"/>
        <v>0</v>
      </c>
      <c r="L302" s="219" t="s">
        <v>866</v>
      </c>
      <c r="M302" s="520">
        <f>M301/'Default Data'!$C$211</f>
        <v>3273205.2012701938</v>
      </c>
      <c r="N302" s="520">
        <f>N301/'Default Data'!$C$211</f>
        <v>3061900.8782461276</v>
      </c>
      <c r="O302" s="520">
        <f t="shared" si="81"/>
        <v>6335106.0795163214</v>
      </c>
    </row>
    <row r="305" spans="2:5" x14ac:dyDescent="0.25">
      <c r="B305" s="729" t="s">
        <v>890</v>
      </c>
    </row>
    <row r="306" spans="2:5" x14ac:dyDescent="0.25">
      <c r="B306" s="507" t="s">
        <v>991</v>
      </c>
    </row>
    <row r="307" spans="2:5" x14ac:dyDescent="0.25">
      <c r="B307" s="523" t="s">
        <v>992</v>
      </c>
    </row>
    <row r="308" spans="2:5" x14ac:dyDescent="0.25">
      <c r="B308" s="489" t="s">
        <v>993</v>
      </c>
      <c r="C308" s="499">
        <f>IF(ProjectData!$B$11="Advanced",ProjectData!B166,'Default Data'!C210)</f>
        <v>0.7</v>
      </c>
      <c r="E308" s="499">
        <f>IF(ProjectData!$B$11="Advanced",ProjectData!E166,'Default Data'!E210)</f>
        <v>0</v>
      </c>
    </row>
    <row r="309" spans="2:5" x14ac:dyDescent="0.25">
      <c r="B309" s="489" t="s">
        <v>994</v>
      </c>
      <c r="C309" s="478">
        <f>IF(ProjectData!$B$11="Advanced",ProjectData!B167,'Default Data'!C211)</f>
        <v>15</v>
      </c>
      <c r="D309" s="958"/>
      <c r="E309" s="499"/>
    </row>
    <row r="310" spans="2:5" x14ac:dyDescent="0.25">
      <c r="B310" s="489" t="s">
        <v>995</v>
      </c>
      <c r="C310" s="499">
        <f>IF(ProjectData!$B$11="Advanced",ProjectData!B168,'Default Data'!C212)</f>
        <v>0.1</v>
      </c>
      <c r="D310" s="958"/>
      <c r="E310" s="499"/>
    </row>
    <row r="311" spans="2:5" x14ac:dyDescent="0.25">
      <c r="B311" s="507" t="s">
        <v>996</v>
      </c>
    </row>
    <row r="312" spans="2:5" x14ac:dyDescent="0.25">
      <c r="B312" s="489" t="s">
        <v>997</v>
      </c>
      <c r="C312" s="499">
        <f>IF(ProjectData!$B$11="Advanced",ProjectData!B170,'Default Data'!C215)</f>
        <v>0.30000000000000004</v>
      </c>
      <c r="D312" s="958"/>
      <c r="E312" s="499"/>
    </row>
    <row r="313" spans="2:5" x14ac:dyDescent="0.25">
      <c r="B313" s="489" t="s">
        <v>998</v>
      </c>
      <c r="C313" s="499">
        <f>IF(ProjectData!$B$11="Advanced",ProjectData!B171,'Default Data'!C216)</f>
        <v>0</v>
      </c>
      <c r="D313" s="958"/>
      <c r="E313" s="499">
        <f>IF(ProjectData!$B$11="Advanced",ProjectData!E171,'Default Data'!E216)</f>
        <v>1</v>
      </c>
    </row>
    <row r="314" spans="2:5" x14ac:dyDescent="0.25">
      <c r="B314" s="489" t="s">
        <v>999</v>
      </c>
      <c r="C314" s="499">
        <f>IF(ProjectData!$B$11="Advanced",ProjectData!B172,'Default Data'!C217)</f>
        <v>1</v>
      </c>
      <c r="D314" s="958"/>
      <c r="E314" s="499">
        <f>IF(ProjectData!$B$11="Advanced",ProjectData!E172,'Default Data'!E217)</f>
        <v>0</v>
      </c>
    </row>
    <row r="315" spans="2:5" x14ac:dyDescent="0.25">
      <c r="B315" s="489" t="s">
        <v>1000</v>
      </c>
      <c r="C315" s="499">
        <f>IF(ProjectData!$B$11="Advanced",ProjectData!B173,'Default Data'!C218)</f>
        <v>0.16</v>
      </c>
      <c r="D315" s="958"/>
      <c r="E315" s="499"/>
    </row>
    <row r="316" spans="2:5" x14ac:dyDescent="0.25">
      <c r="B316" s="489" t="s">
        <v>1001</v>
      </c>
      <c r="C316" s="478">
        <f>IF(ProjectData!$B$11="Advanced",ProjectData!B174,'Default Data'!C219)</f>
        <v>10</v>
      </c>
      <c r="D316" s="958"/>
      <c r="E316" s="499"/>
    </row>
    <row r="317" spans="2:5" x14ac:dyDescent="0.25">
      <c r="B317" s="507" t="s">
        <v>1002</v>
      </c>
    </row>
    <row r="318" spans="2:5" x14ac:dyDescent="0.25">
      <c r="B318" s="489" t="s">
        <v>1003</v>
      </c>
      <c r="C318" s="499">
        <f>IF(ProjectData!$B$11="Advanced",ProjectData!B176,'Default Data'!C221)</f>
        <v>0</v>
      </c>
      <c r="D318" s="958"/>
      <c r="E318" s="499"/>
    </row>
    <row r="319" spans="2:5" x14ac:dyDescent="0.25">
      <c r="B319" s="489" t="s">
        <v>1004</v>
      </c>
      <c r="C319" s="499">
        <f>IF(ProjectData!$B$11="Advanced",ProjectData!B177,'Default Data'!C222)</f>
        <v>0</v>
      </c>
      <c r="D319" s="958"/>
      <c r="E319" s="499"/>
    </row>
    <row r="320" spans="2:5" x14ac:dyDescent="0.25">
      <c r="B320" s="489" t="s">
        <v>1005</v>
      </c>
      <c r="C320" s="499">
        <f>IF(ProjectData!$B$11="Advanced",ProjectData!B178,'Default Data'!C223)</f>
        <v>0</v>
      </c>
      <c r="D320" s="958"/>
      <c r="E320" s="499"/>
    </row>
    <row r="321" spans="2:6" x14ac:dyDescent="0.25">
      <c r="B321" s="489" t="s">
        <v>1006</v>
      </c>
      <c r="C321" s="501">
        <f>IF(ProjectData!$B$11="Advanced",ProjectData!B179,'Default Data'!C224)</f>
        <v>0</v>
      </c>
      <c r="D321" s="958"/>
      <c r="E321" s="499"/>
    </row>
    <row r="322" spans="2:6" x14ac:dyDescent="0.25">
      <c r="B322" s="489" t="s">
        <v>1007</v>
      </c>
      <c r="C322" s="499">
        <f>IF(ProjectData!$B$11="Advanced",ProjectData!B180,'Default Data'!C225)</f>
        <v>0</v>
      </c>
      <c r="D322" s="958"/>
      <c r="E322" s="499">
        <f>IF(ProjectData!$B$11="Advanced",ProjectData!E180,'Default Data'!E225)</f>
        <v>1</v>
      </c>
    </row>
    <row r="323" spans="2:6" x14ac:dyDescent="0.25">
      <c r="B323" s="507" t="s">
        <v>1008</v>
      </c>
    </row>
    <row r="324" spans="2:6" x14ac:dyDescent="0.25">
      <c r="B324" s="492" t="s">
        <v>1079</v>
      </c>
      <c r="C324" s="478">
        <f>IF(ProjectData!$B$11="Advanced",ProjectData!B182,'Default Data'!C227)</f>
        <v>2420</v>
      </c>
      <c r="D324" s="958"/>
      <c r="E324" s="499"/>
    </row>
    <row r="325" spans="2:6" x14ac:dyDescent="0.25">
      <c r="B325" s="502" t="s">
        <v>1127</v>
      </c>
      <c r="C325" s="501">
        <f>IF(ProjectData!$B$11="Advanced",ProjectData!B183,'Default Data'!C228)</f>
        <v>319</v>
      </c>
      <c r="D325" s="958"/>
      <c r="E325" s="499"/>
    </row>
    <row r="326" spans="2:6" x14ac:dyDescent="0.25">
      <c r="B326" s="502" t="s">
        <v>1128</v>
      </c>
      <c r="C326" s="501">
        <f>IF(ProjectData!$B$11="Advanced",ProjectData!B184,'Default Data'!C229)</f>
        <v>771980</v>
      </c>
      <c r="D326" s="958"/>
      <c r="E326" s="499"/>
    </row>
    <row r="327" spans="2:6" x14ac:dyDescent="0.25">
      <c r="B327" s="492" t="s">
        <v>1129</v>
      </c>
      <c r="C327" s="501">
        <f>IF(ProjectData!$B$11="Advanced",ProjectData!B185,'Default Data'!C230)</f>
        <v>5</v>
      </c>
    </row>
    <row r="328" spans="2:6" x14ac:dyDescent="0.25">
      <c r="B328" s="492" t="s">
        <v>1130</v>
      </c>
      <c r="C328" s="501">
        <f>IF(ProjectData!$B$11="Advanced",ProjectData!B186,'Default Data'!C231)</f>
        <v>12100</v>
      </c>
    </row>
    <row r="329" spans="2:6" x14ac:dyDescent="0.25">
      <c r="B329" s="492" t="s">
        <v>1094</v>
      </c>
      <c r="C329" s="499" t="str">
        <f>IF(ProjectData!$B$11="Advanced",ProjectData!B187,'Default Data'!C232)</f>
        <v>P</v>
      </c>
      <c r="D329" s="958"/>
      <c r="E329" s="499">
        <f>IF(ProjectData!$B$11="Advanced",ProjectData!E189,'Default Data'!E232)</f>
        <v>0</v>
      </c>
    </row>
    <row r="330" spans="2:6" x14ac:dyDescent="0.25">
      <c r="B330" s="976"/>
    </row>
    <row r="331" spans="2:6" ht="15.75" x14ac:dyDescent="0.25">
      <c r="B331" s="977" t="s">
        <v>1048</v>
      </c>
    </row>
    <row r="332" spans="2:6" x14ac:dyDescent="0.25">
      <c r="B332" s="976" t="s">
        <v>879</v>
      </c>
      <c r="C332" s="773">
        <f>IF(ProjectData!$B$11="Advanced",ProjectData!B190,'Rates &amp; Misc'!C10)</f>
        <v>1.5</v>
      </c>
    </row>
    <row r="333" spans="2:6" x14ac:dyDescent="0.25">
      <c r="B333" s="976" t="s">
        <v>767</v>
      </c>
      <c r="C333" s="364" t="s">
        <v>901</v>
      </c>
      <c r="E333" s="976" t="s">
        <v>1049</v>
      </c>
      <c r="F333" s="364" t="s">
        <v>901</v>
      </c>
    </row>
    <row r="334" spans="2:6" x14ac:dyDescent="0.25">
      <c r="B334" s="99" t="s">
        <v>98</v>
      </c>
      <c r="C334" s="554">
        <f>IF(ProjectData!$B$11="Advanced",ProjectData!B192,'Rates &amp; Misc'!G28)</f>
        <v>40</v>
      </c>
      <c r="E334" s="99" t="s">
        <v>109</v>
      </c>
      <c r="F334" s="554">
        <f>IF(ProjectData!$B$11="Advanced",ProjectData!F192,'Rates &amp; Misc'!G38)</f>
        <v>42.5</v>
      </c>
    </row>
    <row r="335" spans="2:6" x14ac:dyDescent="0.25">
      <c r="B335" s="99" t="s">
        <v>334</v>
      </c>
      <c r="C335" s="554">
        <f>IF(ProjectData!$B$11="Advanced",ProjectData!B193,'Rates &amp; Misc'!G29)</f>
        <v>13.7</v>
      </c>
      <c r="E335" s="99" t="s">
        <v>99</v>
      </c>
      <c r="F335" s="554">
        <f>IF(ProjectData!$B$11="Advanced",ProjectData!F193,'Rates &amp; Misc'!G39)</f>
        <v>13.71</v>
      </c>
    </row>
    <row r="336" spans="2:6" x14ac:dyDescent="0.25">
      <c r="B336" s="99" t="s">
        <v>387</v>
      </c>
      <c r="C336" s="554">
        <f>IF(ProjectData!$B$11="Advanced",ProjectData!B194,'Rates &amp; Misc'!G30)</f>
        <v>16.87</v>
      </c>
      <c r="E336" s="99" t="s">
        <v>107</v>
      </c>
      <c r="F336" s="554">
        <f>IF(ProjectData!$B$11="Advanced",ProjectData!F194,'Rates &amp; Misc'!G40)</f>
        <v>17.5</v>
      </c>
    </row>
    <row r="337" spans="2:6" x14ac:dyDescent="0.25">
      <c r="B337" s="99" t="s">
        <v>1047</v>
      </c>
      <c r="C337" s="554">
        <f>IF(ProjectData!$B$11="Advanced",ProjectData!B195,'Rates &amp; Misc'!G31)</f>
        <v>50</v>
      </c>
      <c r="E337" s="99" t="s">
        <v>83</v>
      </c>
      <c r="F337" s="554">
        <f>IF(ProjectData!$B$11="Advanced",ProjectData!F195,'Rates &amp; Misc'!G41)</f>
        <v>22.32</v>
      </c>
    </row>
    <row r="338" spans="2:6" x14ac:dyDescent="0.25">
      <c r="B338" s="99" t="s">
        <v>336</v>
      </c>
      <c r="C338" s="554">
        <f>IF(ProjectData!$B$11="Advanced",ProjectData!B196,'Rates &amp; Misc'!G32)</f>
        <v>13.7</v>
      </c>
      <c r="E338" s="99" t="s">
        <v>98</v>
      </c>
      <c r="F338" s="554">
        <f>IF(ProjectData!$B$11="Advanced",ProjectData!F196,'Rates &amp; Misc'!G42)</f>
        <v>40</v>
      </c>
    </row>
    <row r="339" spans="2:6" x14ac:dyDescent="0.25">
      <c r="B339" s="99" t="s">
        <v>339</v>
      </c>
      <c r="C339" s="554">
        <f>IF(ProjectData!$B$11="Advanced",ProjectData!B197,'Rates &amp; Misc'!G33)</f>
        <v>13.7</v>
      </c>
    </row>
    <row r="340" spans="2:6" x14ac:dyDescent="0.25">
      <c r="B340" s="99" t="s">
        <v>29</v>
      </c>
      <c r="C340" s="554">
        <f>IF(ProjectData!$B$11="Advanced",ProjectData!B198,'Rates &amp; Misc'!G34)</f>
        <v>17.920000000000002</v>
      </c>
    </row>
    <row r="341" spans="2:6" x14ac:dyDescent="0.25">
      <c r="B341" s="99" t="s">
        <v>340</v>
      </c>
      <c r="C341" s="554">
        <f>IF(ProjectData!$B$11="Advanced",ProjectData!B199,'Rates &amp; Misc'!G35)</f>
        <v>13.7</v>
      </c>
    </row>
    <row r="342" spans="2:6" x14ac:dyDescent="0.25">
      <c r="B342" s="99"/>
    </row>
    <row r="343" spans="2:6" ht="15.75" x14ac:dyDescent="0.25">
      <c r="B343" s="978" t="s">
        <v>1038</v>
      </c>
    </row>
    <row r="344" spans="2:6" x14ac:dyDescent="0.25">
      <c r="B344" s="976" t="s">
        <v>879</v>
      </c>
      <c r="C344" s="773">
        <f>IF(ProjectData!$B$11="Advanced",ProjectData!B202,'Rates &amp; Misc'!C12)</f>
        <v>2.5</v>
      </c>
    </row>
    <row r="345" spans="2:6" x14ac:dyDescent="0.25">
      <c r="B345" s="976" t="s">
        <v>767</v>
      </c>
    </row>
    <row r="346" spans="2:6" x14ac:dyDescent="0.25">
      <c r="B346" s="426" t="s">
        <v>768</v>
      </c>
      <c r="C346" s="554">
        <f>IF(ProjectData!$B$11="Advanced",ProjectData!B204,'Default Data'!C141)</f>
        <v>23.388090349075977</v>
      </c>
    </row>
    <row r="347" spans="2:6" x14ac:dyDescent="0.25">
      <c r="B347" s="426" t="s">
        <v>769</v>
      </c>
      <c r="C347" s="554">
        <f>IF(ProjectData!$B$11="Advanced",ProjectData!B205,'Default Data'!C142)</f>
        <v>28.06570841889117</v>
      </c>
    </row>
    <row r="348" spans="2:6" x14ac:dyDescent="0.25">
      <c r="B348" s="426" t="s">
        <v>770</v>
      </c>
      <c r="C348" s="554">
        <f>IF(ProjectData!$B$11="Advanced",ProjectData!B206,'Default Data'!C143)</f>
        <v>28.06570841889117</v>
      </c>
    </row>
    <row r="349" spans="2:6" x14ac:dyDescent="0.25">
      <c r="B349" s="426" t="s">
        <v>771</v>
      </c>
      <c r="C349" s="554">
        <f>IF(ProjectData!$B$11="Advanced",ProjectData!B207,'Default Data'!C144)</f>
        <v>20.464579055441479</v>
      </c>
    </row>
    <row r="350" spans="2:6" x14ac:dyDescent="0.25">
      <c r="B350" s="426" t="s">
        <v>772</v>
      </c>
      <c r="C350" s="554">
        <f>IF(ProjectData!$B$11="Advanced",ProjectData!B208,'Default Data'!C145)</f>
        <v>46.776180698151954</v>
      </c>
    </row>
    <row r="351" spans="2:6" x14ac:dyDescent="0.25">
      <c r="B351" s="426" t="s">
        <v>773</v>
      </c>
      <c r="C351" s="554">
        <f>IF(ProjectData!$B$11="Advanced",ProjectData!B209,'Default Data'!C146)</f>
        <v>35.082135523613964</v>
      </c>
    </row>
    <row r="352" spans="2:6" x14ac:dyDescent="0.25">
      <c r="B352" s="426" t="s">
        <v>774</v>
      </c>
      <c r="C352" s="554">
        <f>IF(ProjectData!$B$11="Advanced",ProjectData!B210,'Default Data'!C147)</f>
        <v>14.032854209445585</v>
      </c>
    </row>
  </sheetData>
  <sheetProtection password="DFD3" sheet="1" objects="1" scenarios="1"/>
  <conditionalFormatting sqref="B86:B91">
    <cfRule type="expression" dxfId="146" priority="42">
      <formula>$B$21="Flash"</formula>
    </cfRule>
    <cfRule type="expression" dxfId="145" priority="43">
      <formula>$B$21="Flash"</formula>
    </cfRule>
  </conditionalFormatting>
  <conditionalFormatting sqref="H100:N100 B125:B137 B106:B112 C103 F100:G101 B93:B104 G101:N101 E100 B86:B91 B1:B76 B78:B84 C100:D101">
    <cfRule type="expression" dxfId="144" priority="41">
      <formula>$B$14="Simple"</formula>
    </cfRule>
  </conditionalFormatting>
  <conditionalFormatting sqref="H100:N100 F100:G101 B93:B101 G101:N101 E100 C100:D101">
    <cfRule type="expression" dxfId="143" priority="40">
      <formula>$B$21="Binary"</formula>
    </cfRule>
  </conditionalFormatting>
  <conditionalFormatting sqref="B75 B59">
    <cfRule type="expression" dxfId="142" priority="35">
      <formula>#REF!="Simple"</formula>
    </cfRule>
  </conditionalFormatting>
  <conditionalFormatting sqref="B318:B322 B324:B329 B331:B352 E333:E338 C333 F333 B65 C91 B101:B103">
    <cfRule type="expression" dxfId="141" priority="33">
      <formula>$B$13="Simple"</formula>
    </cfRule>
  </conditionalFormatting>
  <conditionalFormatting sqref="B101">
    <cfRule type="expression" dxfId="140" priority="32">
      <formula>$B$19="Binary"</formula>
    </cfRule>
  </conditionalFormatting>
  <conditionalFormatting sqref="B328:B337">
    <cfRule type="expression" dxfId="139" priority="20">
      <formula>$B$16="Simple"</formula>
    </cfRule>
  </conditionalFormatting>
  <conditionalFormatting sqref="B324:B329 B318:B322 B331:B352 E333:E338 C333 F333 C91 B101:B103">
    <cfRule type="expression" dxfId="138" priority="18">
      <formula>$B$13="Simple"</formula>
    </cfRule>
  </conditionalFormatting>
  <conditionalFormatting sqref="C91">
    <cfRule type="expression" dxfId="137" priority="6">
      <formula>$B$20="Flash"</formula>
    </cfRule>
  </conditionalFormatting>
  <pageMargins left="0.7" right="0.7" top="0.75" bottom="0.75" header="0.3" footer="0.3"/>
  <pageSetup orientation="portrait" horizontalDpi="4294967293" verticalDpi="0"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AT290"/>
  <sheetViews>
    <sheetView workbookViewId="0">
      <selection activeCell="D1" sqref="D1"/>
    </sheetView>
  </sheetViews>
  <sheetFormatPr defaultColWidth="9.140625" defaultRowHeight="15" x14ac:dyDescent="0.25"/>
  <cols>
    <col min="1" max="1" width="140.42578125" style="225" customWidth="1"/>
    <col min="2" max="2" width="57" style="99" customWidth="1"/>
    <col min="3" max="3" width="16.5703125" style="99" customWidth="1"/>
    <col min="4" max="4" width="14.85546875" style="99" customWidth="1"/>
    <col min="5" max="5" width="13.85546875" style="99" customWidth="1"/>
    <col min="6" max="6" width="30.7109375" style="99" customWidth="1"/>
    <col min="7" max="7" width="17.42578125" style="99" customWidth="1"/>
    <col min="8" max="9" width="7.5703125" style="99" customWidth="1"/>
    <col min="10" max="10" width="53.28515625" style="99" customWidth="1"/>
    <col min="11" max="11" width="20.140625" style="99" customWidth="1"/>
    <col min="12" max="12" width="13.42578125" style="99" customWidth="1"/>
    <col min="13" max="13" width="14.7109375" style="99" customWidth="1"/>
    <col min="14" max="14" width="13.5703125" style="99" customWidth="1"/>
    <col min="15" max="15" width="11.42578125" style="99" customWidth="1"/>
    <col min="16" max="16" width="15.85546875" style="99" customWidth="1"/>
    <col min="17" max="17" width="12.85546875" style="99" customWidth="1"/>
    <col min="18" max="18" width="9.140625" style="99"/>
    <col min="19" max="19" width="14.85546875" style="99" customWidth="1"/>
    <col min="20" max="20" width="18.85546875" style="99" customWidth="1"/>
    <col min="21" max="21" width="13.85546875" style="99" customWidth="1"/>
    <col min="22" max="22" width="10.85546875" style="99" customWidth="1"/>
    <col min="23" max="23" width="10.140625" style="99" bestFit="1" customWidth="1"/>
    <col min="24" max="24" width="27.42578125" style="99" customWidth="1"/>
    <col min="25" max="26" width="9.140625" style="99"/>
    <col min="27" max="27" width="10" style="99" customWidth="1"/>
    <col min="28" max="28" width="9.140625" style="99"/>
    <col min="29" max="29" width="13.28515625" style="99" bestFit="1" customWidth="1"/>
    <col min="30" max="30" width="12.7109375" style="99" customWidth="1"/>
    <col min="31" max="31" width="12.28515625" style="99" customWidth="1"/>
    <col min="32" max="32" width="13.140625" style="99" customWidth="1"/>
    <col min="33" max="33" width="14.28515625" style="99" customWidth="1"/>
    <col min="34" max="38" width="9.140625" style="99"/>
    <col min="39" max="39" width="13.7109375" style="99" customWidth="1"/>
    <col min="40" max="40" width="12.5703125" style="99" customWidth="1"/>
    <col min="41" max="41" width="13" style="99" customWidth="1"/>
    <col min="42" max="44" width="15.28515625" style="99" customWidth="1"/>
    <col min="45" max="70" width="9.140625" style="99"/>
    <col min="71" max="71" width="12.7109375" style="99" bestFit="1" customWidth="1"/>
    <col min="72" max="16384" width="9.140625" style="99"/>
  </cols>
  <sheetData>
    <row r="1" spans="1:27" x14ac:dyDescent="0.25">
      <c r="A1" s="217"/>
    </row>
    <row r="2" spans="1:27" x14ac:dyDescent="0.25">
      <c r="A2" s="217"/>
      <c r="X2" s="99" t="s">
        <v>1131</v>
      </c>
      <c r="Y2" s="99" t="s">
        <v>1132</v>
      </c>
    </row>
    <row r="3" spans="1:27" x14ac:dyDescent="0.25">
      <c r="A3" s="217"/>
      <c r="B3" s="99" t="s">
        <v>139</v>
      </c>
      <c r="C3" s="626">
        <f>IF(ProjectData!C19="Celsius",ProjectData!B19,(ProjectData!B19-32) *(5/9))</f>
        <v>200</v>
      </c>
      <c r="X3" s="99" t="s">
        <v>32</v>
      </c>
      <c r="Y3" s="99" t="s">
        <v>534</v>
      </c>
      <c r="Z3" s="99" t="s">
        <v>279</v>
      </c>
      <c r="AA3" s="99" t="s">
        <v>1133</v>
      </c>
    </row>
    <row r="4" spans="1:27" ht="13.5" customHeight="1" x14ac:dyDescent="0.25">
      <c r="A4" s="217"/>
      <c r="B4" s="99" t="s">
        <v>434</v>
      </c>
      <c r="C4" s="626">
        <f>IF(ProjectData!C20="meters",ProjectData!B20,ProjectData!B20/3.28083)</f>
        <v>2250</v>
      </c>
      <c r="X4" s="99" t="s">
        <v>119</v>
      </c>
      <c r="Y4" s="99">
        <v>6.3841988093562702E-3</v>
      </c>
      <c r="Z4" s="99">
        <v>7.0896368209688214E-3</v>
      </c>
      <c r="AA4" s="99">
        <v>7.80866880953319E-3</v>
      </c>
    </row>
    <row r="5" spans="1:27" ht="20.25" customHeight="1" x14ac:dyDescent="0.35">
      <c r="A5" s="221" t="s">
        <v>591</v>
      </c>
      <c r="B5" s="99" t="s">
        <v>451</v>
      </c>
      <c r="C5" s="377">
        <f>ProjectData!B25</f>
        <v>80</v>
      </c>
      <c r="X5" s="99" t="s">
        <v>326</v>
      </c>
      <c r="Y5" s="99">
        <v>7.2962272106928804E-3</v>
      </c>
      <c r="Z5" s="99">
        <v>8.1024420811072247E-3</v>
      </c>
      <c r="AA5" s="99">
        <v>8.9241929251807888E-3</v>
      </c>
    </row>
    <row r="6" spans="1:27" x14ac:dyDescent="0.25">
      <c r="A6" s="217"/>
      <c r="X6" s="99" t="s">
        <v>337</v>
      </c>
      <c r="Y6" s="99">
        <v>5.4265689879528296E-2</v>
      </c>
      <c r="Z6" s="99">
        <v>6.026191297823498E-2</v>
      </c>
      <c r="AA6" s="99">
        <v>6.6373684881032111E-2</v>
      </c>
    </row>
    <row r="7" spans="1:27" ht="15.75" x14ac:dyDescent="0.25">
      <c r="A7" s="223" t="s">
        <v>594</v>
      </c>
      <c r="X7" s="99" t="s">
        <v>1134</v>
      </c>
      <c r="Y7" s="99">
        <v>1.4501251581252097E-2</v>
      </c>
      <c r="Z7" s="99">
        <v>1.6103603636200607E-2</v>
      </c>
      <c r="AA7" s="99">
        <v>1.7736833438796815E-2</v>
      </c>
    </row>
    <row r="8" spans="1:27" ht="15.75" x14ac:dyDescent="0.25">
      <c r="A8" s="224"/>
      <c r="X8" s="99" t="s">
        <v>1135</v>
      </c>
      <c r="Y8" s="99">
        <v>4.3503754743756291E-2</v>
      </c>
      <c r="Z8" s="99">
        <v>4.8310810908601821E-2</v>
      </c>
      <c r="AA8" s="99">
        <v>5.3210500316390442E-2</v>
      </c>
    </row>
    <row r="9" spans="1:27" ht="15.75" x14ac:dyDescent="0.25">
      <c r="A9" s="223" t="s">
        <v>597</v>
      </c>
      <c r="X9" s="99" t="s">
        <v>111</v>
      </c>
      <c r="Y9" s="99">
        <v>1.5021644257308871E-2</v>
      </c>
      <c r="Z9" s="99">
        <v>1.6681498402279581E-2</v>
      </c>
      <c r="AA9" s="99">
        <v>1.8373338375372208E-2</v>
      </c>
    </row>
    <row r="10" spans="1:27" ht="15.75" x14ac:dyDescent="0.25">
      <c r="A10" s="223"/>
      <c r="X10" s="99" t="s">
        <v>332</v>
      </c>
      <c r="Y10" s="99">
        <v>0.14592454421385759</v>
      </c>
      <c r="Z10" s="99">
        <v>0.16204884162214447</v>
      </c>
      <c r="AA10" s="99">
        <v>0.17848385850361576</v>
      </c>
    </row>
    <row r="11" spans="1:27" ht="21" x14ac:dyDescent="0.35">
      <c r="A11" s="223" t="s">
        <v>600</v>
      </c>
      <c r="B11" s="356" t="s">
        <v>147</v>
      </c>
      <c r="E11" s="357"/>
      <c r="F11" s="358"/>
      <c r="J11" s="359"/>
      <c r="X11" s="99" t="s">
        <v>341</v>
      </c>
      <c r="Y11" s="99">
        <v>0</v>
      </c>
      <c r="Z11" s="99">
        <v>0</v>
      </c>
      <c r="AA11" s="99">
        <v>0</v>
      </c>
    </row>
    <row r="12" spans="1:27" ht="15" customHeight="1" x14ac:dyDescent="0.3">
      <c r="A12" s="217"/>
      <c r="B12" s="359" t="s">
        <v>146</v>
      </c>
      <c r="D12" s="360"/>
      <c r="G12" s="373">
        <f>D185/C17</f>
        <v>199199.34076258639</v>
      </c>
      <c r="X12" s="99" t="s">
        <v>98</v>
      </c>
      <c r="Y12" s="99">
        <v>9.9612042423904501E-4</v>
      </c>
      <c r="Z12" s="99">
        <v>9.5183725421922984E-4</v>
      </c>
      <c r="AA12" s="99">
        <v>9.0670073580778718E-4</v>
      </c>
    </row>
    <row r="13" spans="1:27" x14ac:dyDescent="0.25">
      <c r="A13" s="217"/>
      <c r="B13" s="362" t="s">
        <v>887</v>
      </c>
      <c r="C13" s="622" t="str">
        <f>ProjectData!B11</f>
        <v>Advanced</v>
      </c>
      <c r="D13" s="360"/>
      <c r="F13" s="363" t="s">
        <v>470</v>
      </c>
      <c r="J13" s="362" t="s">
        <v>875</v>
      </c>
      <c r="S13" s="598" t="s">
        <v>888</v>
      </c>
      <c r="X13" s="99" t="s">
        <v>334</v>
      </c>
      <c r="Y13" s="99">
        <v>2.4903010605976123E-2</v>
      </c>
      <c r="Z13" s="99">
        <v>2.3795931355480748E-2</v>
      </c>
      <c r="AA13" s="99">
        <v>2.266751839519468E-2</v>
      </c>
    </row>
    <row r="14" spans="1:27" x14ac:dyDescent="0.25">
      <c r="A14" s="217"/>
      <c r="B14" s="363" t="s">
        <v>145</v>
      </c>
      <c r="C14" s="623"/>
      <c r="D14" s="360"/>
      <c r="F14" s="99" t="s">
        <v>139</v>
      </c>
      <c r="G14" s="626">
        <f>IF(D20="Celsius",C20,(C20-32) *(5/9))</f>
        <v>200</v>
      </c>
      <c r="J14" s="99" t="str">
        <f>CONCATENATE("Exploration Costs               (", ROUND(K14/K20,3)*100, " % )")</f>
        <v>Exploration Costs               (5.9 % )</v>
      </c>
      <c r="K14" s="368">
        <f>E47</f>
        <v>2426980</v>
      </c>
      <c r="L14" s="368"/>
      <c r="S14" s="99" t="str">
        <f>CONCATENATE("Exploration Costs               (", ROUND(T14/T20,3)*100, " % )")</f>
        <v>Exploration Costs               (5.3 % )</v>
      </c>
      <c r="T14" s="368">
        <f>ProjectData!D48</f>
        <v>2426980</v>
      </c>
      <c r="X14" s="99" t="s">
        <v>387</v>
      </c>
      <c r="Y14" s="99">
        <v>0.32860020554797625</v>
      </c>
      <c r="Z14" s="99">
        <v>0.31399207342183966</v>
      </c>
      <c r="AA14" s="99">
        <v>0.29910243872827291</v>
      </c>
    </row>
    <row r="15" spans="1:27" x14ac:dyDescent="0.25">
      <c r="A15" s="217"/>
      <c r="B15" s="362" t="s">
        <v>144</v>
      </c>
      <c r="C15" s="624" t="str">
        <f>ProjectData!B13</f>
        <v>IDAHO</v>
      </c>
      <c r="D15" s="360"/>
      <c r="F15" s="99" t="s">
        <v>434</v>
      </c>
      <c r="G15" s="626">
        <f>C4</f>
        <v>2250</v>
      </c>
      <c r="J15" s="99" t="str">
        <f>CONCATENATE(C19," Plant Capital Cost","  (",ROUND(K15/K20,3)*100," % )")</f>
        <v>Binary Plant Capital Cost  (57 % )</v>
      </c>
      <c r="K15" s="368">
        <f>G17</f>
        <v>23549341.05120967</v>
      </c>
      <c r="L15" s="368"/>
      <c r="S15" s="99" t="str">
        <f>CONCATENATE(ProjectData!B18," Plant Capital Cost","  (",ROUND(T15/T20,3)*100," % )")</f>
        <v>Binary Plant Capital Cost  (51.3 % )</v>
      </c>
      <c r="T15" s="368">
        <f>ProjectData!G15</f>
        <v>23549341.05120967</v>
      </c>
      <c r="X15" s="99" t="s">
        <v>335</v>
      </c>
      <c r="Y15" s="99">
        <v>2.4903010605976123E-2</v>
      </c>
      <c r="Z15" s="99">
        <v>2.3795931355480748E-2</v>
      </c>
      <c r="AA15" s="99">
        <v>2.266751839519468E-2</v>
      </c>
    </row>
    <row r="16" spans="1:27" x14ac:dyDescent="0.25">
      <c r="A16" s="217"/>
      <c r="B16" s="362" t="s">
        <v>142</v>
      </c>
      <c r="C16" s="624">
        <f>ProjectData!B14</f>
        <v>2010</v>
      </c>
      <c r="F16" s="99" t="s">
        <v>141</v>
      </c>
      <c r="G16" s="372">
        <f>(1+G18)*C17</f>
        <v>12.226195879750069</v>
      </c>
      <c r="J16" s="99" t="s">
        <v>390</v>
      </c>
      <c r="K16" s="369">
        <f>IF(C25="Low",'Drill Cost Curves'!G7*1000,IF(C25="Medium",'Drill Cost Curves'!G8*1000,'Drill Cost Curves'!G9*1000))</f>
        <v>3463571.1819329681</v>
      </c>
      <c r="L16" s="369"/>
      <c r="S16" s="99" t="s">
        <v>390</v>
      </c>
      <c r="T16" s="369">
        <f>IF(ProjectData!B27="Low",'Drill Cost Curves'!G7*1000,IF(ProjectData!B27="Medium",'Drill Cost Curves'!G8*1000,'Drill Cost Curves'!G9*1000))</f>
        <v>3463571.1819329681</v>
      </c>
      <c r="X16" s="99" t="s">
        <v>338</v>
      </c>
      <c r="Y16" s="99">
        <v>4.4825419090757025E-2</v>
      </c>
      <c r="Z16" s="99">
        <v>4.2832676439865346E-2</v>
      </c>
      <c r="AA16" s="99">
        <v>4.0801533111350423E-2</v>
      </c>
    </row>
    <row r="17" spans="1:32" x14ac:dyDescent="0.25">
      <c r="A17" s="217"/>
      <c r="B17" s="362" t="s">
        <v>500</v>
      </c>
      <c r="C17" s="624">
        <f>ProjectData!B16</f>
        <v>10</v>
      </c>
      <c r="F17" s="99" t="s">
        <v>328</v>
      </c>
      <c r="G17" s="376">
        <f>G19*C17*1000</f>
        <v>23549341.05120967</v>
      </c>
      <c r="J17" s="370" t="str">
        <f>CONCATENATE("Stimulation Costs            (", ROUND(K17/K20,3)*100, " % )")</f>
        <v>Stimulation Costs            (0 % )</v>
      </c>
      <c r="K17" s="369">
        <f>IF(C18="EGS",(C24)*(G22+G23),0)</f>
        <v>0</v>
      </c>
      <c r="L17" s="369">
        <f>M107</f>
        <v>0</v>
      </c>
      <c r="S17" s="370" t="str">
        <f>CONCATENATE("Stimulation Costs            (", ROUND(T17/T20,3)*100, " % )")</f>
        <v>Stimulation Costs            (0 % )</v>
      </c>
      <c r="T17" s="369">
        <f>IF(ProjectData!B17="EGS",(ProjectData!B26)*(ProjectData!G19+ProjectData!G20),0)</f>
        <v>0</v>
      </c>
      <c r="X17" s="99" t="s">
        <v>336</v>
      </c>
      <c r="Y17" s="99">
        <v>4.9806021211952246E-2</v>
      </c>
      <c r="Z17" s="99">
        <v>4.7591862710961497E-2</v>
      </c>
      <c r="AA17" s="99">
        <v>4.533503679038936E-2</v>
      </c>
    </row>
    <row r="18" spans="1:32" x14ac:dyDescent="0.25">
      <c r="A18" s="217"/>
      <c r="B18" s="362" t="s">
        <v>432</v>
      </c>
      <c r="C18" s="624" t="str">
        <f>ProjectData!B17</f>
        <v>Hydrothermal</v>
      </c>
      <c r="D18" s="360"/>
      <c r="F18" s="99" t="s">
        <v>450</v>
      </c>
      <c r="G18" s="830">
        <f>ProjectData!B21</f>
        <v>0.22261958797500686</v>
      </c>
      <c r="J18" s="99" t="str">
        <f>CONCATENATE("Total Well Costs               (", ROUND(K18/K20,3)*100, " % )")</f>
        <v>Total Well Costs               (32.4 % )</v>
      </c>
      <c r="K18" s="369">
        <f>M68+M89</f>
        <v>13388637.315099925</v>
      </c>
      <c r="L18" s="369">
        <f>M68+M89</f>
        <v>13388637.315099925</v>
      </c>
      <c r="S18" s="99" t="str">
        <f>CONCATENATE("Total Well Costs               (", ROUND(T18/T20,3)*100, " % )")</f>
        <v>Total Well Costs               (38.7 % )</v>
      </c>
      <c r="T18" s="619">
        <f>ProjectData!D69+ProjectData!D90</f>
        <v>17765120.066592146</v>
      </c>
      <c r="U18" s="368">
        <f>U68+U89</f>
        <v>18206033.165858723</v>
      </c>
      <c r="X18" s="99" t="s">
        <v>339</v>
      </c>
      <c r="Y18" s="99">
        <v>9.9612042423904493E-3</v>
      </c>
      <c r="Z18" s="99">
        <v>9.5183725421922986E-3</v>
      </c>
      <c r="AA18" s="99">
        <v>9.0670073580778714E-3</v>
      </c>
    </row>
    <row r="19" spans="1:32" ht="15.75" thickBot="1" x14ac:dyDescent="0.3">
      <c r="A19" s="217"/>
      <c r="B19" s="362" t="s">
        <v>431</v>
      </c>
      <c r="C19" s="624" t="str">
        <f>ProjectData!B18</f>
        <v>Binary</v>
      </c>
      <c r="D19" s="360"/>
      <c r="F19" s="99" t="str">
        <f>CONCATENATE(C19," Installed Plant Cost ($/kW)")</f>
        <v>Binary Installed Plant Cost ($/kW)</v>
      </c>
      <c r="G19" s="376">
        <f>ProjectData!G16</f>
        <v>2354.9341051209672</v>
      </c>
      <c r="J19" s="99" t="s">
        <v>898</v>
      </c>
      <c r="K19" s="369">
        <f>SUM(K18,K17,K15,K14)*'Rates &amp; Misc'!C6</f>
        <v>1968247.91831548</v>
      </c>
      <c r="L19" s="369"/>
      <c r="S19" s="99" t="s">
        <v>898</v>
      </c>
      <c r="T19" s="369">
        <f>SUM(T18,T17,T15,T14)*ProjectData!B29</f>
        <v>2187072.0558900908</v>
      </c>
      <c r="X19" s="99" t="s">
        <v>29</v>
      </c>
      <c r="Y19" s="99">
        <v>2.4903010605976123E-2</v>
      </c>
      <c r="Z19" s="99">
        <v>2.3795931355480748E-2</v>
      </c>
      <c r="AA19" s="99">
        <v>2.266751839519468E-2</v>
      </c>
    </row>
    <row r="20" spans="1:32" ht="16.5" thickBot="1" x14ac:dyDescent="0.3">
      <c r="A20" s="223" t="s">
        <v>608</v>
      </c>
      <c r="B20" s="362" t="s">
        <v>443</v>
      </c>
      <c r="C20" s="624">
        <f>ProjectData!B19</f>
        <v>200</v>
      </c>
      <c r="D20" s="352" t="str">
        <f>ProjectData!C19</f>
        <v>Celsius</v>
      </c>
      <c r="F20" s="99" t="s">
        <v>418</v>
      </c>
      <c r="G20" s="376">
        <f>D185/(C17*1000)</f>
        <v>199.19934076258639</v>
      </c>
      <c r="J20" s="19" t="s">
        <v>949</v>
      </c>
      <c r="K20" s="371">
        <f>SUM(K17,K18,K15,K14,K19)</f>
        <v>41333206.284625076</v>
      </c>
      <c r="L20" s="410"/>
      <c r="S20" s="19" t="s">
        <v>327</v>
      </c>
      <c r="T20" s="371">
        <f>SUM(T17,T18,T15,T14,T19)</f>
        <v>45928513.173691906</v>
      </c>
      <c r="X20" s="99" t="s">
        <v>340</v>
      </c>
      <c r="Y20" s="99">
        <v>4.9806021211952246E-3</v>
      </c>
      <c r="Z20" s="99">
        <v>4.7591862710961493E-3</v>
      </c>
      <c r="AA20" s="99">
        <v>4.5335036790389357E-3</v>
      </c>
    </row>
    <row r="21" spans="1:32" x14ac:dyDescent="0.25">
      <c r="A21" s="217"/>
      <c r="B21" s="362" t="s">
        <v>442</v>
      </c>
      <c r="C21" s="624">
        <f>ProjectData!B20</f>
        <v>2250</v>
      </c>
      <c r="D21" s="352" t="str">
        <f>ProjectData!C20</f>
        <v>Meters</v>
      </c>
      <c r="F21" s="99" t="s">
        <v>419</v>
      </c>
      <c r="G21" s="662">
        <f>K20/(G16*1000)</f>
        <v>3380.7086595990331</v>
      </c>
      <c r="X21" s="99" t="s">
        <v>473</v>
      </c>
      <c r="Y21" s="99">
        <v>0.19922408484780899</v>
      </c>
      <c r="Z21" s="99">
        <v>0.19036745084384599</v>
      </c>
      <c r="AA21" s="99">
        <v>0.18134014716155744</v>
      </c>
    </row>
    <row r="22" spans="1:32" x14ac:dyDescent="0.25">
      <c r="A22" s="217"/>
      <c r="B22" s="362" t="s">
        <v>138</v>
      </c>
      <c r="C22" s="624">
        <f>ProjectData!B22</f>
        <v>2</v>
      </c>
      <c r="D22" s="360"/>
      <c r="F22" s="99" t="s">
        <v>137</v>
      </c>
      <c r="G22" s="626">
        <f>IF(C19="Binary",(C17*1000/((G25*'Brine effectiveness'!C14)/1000)),(C17*1000/((G25*'Brine effectiveness'!C25)/1000)))</f>
        <v>1.8639767008858921</v>
      </c>
      <c r="J22" s="99" t="s">
        <v>474</v>
      </c>
    </row>
    <row r="23" spans="1:32" x14ac:dyDescent="0.25">
      <c r="A23" s="217"/>
      <c r="B23" s="362" t="s">
        <v>729</v>
      </c>
      <c r="C23" s="624">
        <f>ProjectData!B23</f>
        <v>2</v>
      </c>
      <c r="D23" s="360"/>
      <c r="F23" s="99" t="s">
        <v>136</v>
      </c>
      <c r="G23" s="626">
        <f>G22/C22</f>
        <v>0.93198835044294603</v>
      </c>
      <c r="J23" s="99" t="s">
        <v>331</v>
      </c>
      <c r="K23" s="591">
        <f>K24/0.85</f>
        <v>46.943513513513516</v>
      </c>
      <c r="L23" s="379"/>
    </row>
    <row r="24" spans="1:32" x14ac:dyDescent="0.25">
      <c r="A24" s="217"/>
      <c r="B24" s="362" t="s">
        <v>430</v>
      </c>
      <c r="C24" s="624">
        <f>ProjectData!B26</f>
        <v>700000</v>
      </c>
      <c r="D24" s="360"/>
      <c r="F24" s="99" t="s">
        <v>451</v>
      </c>
      <c r="G24" s="377">
        <f>C27</f>
        <v>80</v>
      </c>
      <c r="J24" s="99" t="s">
        <v>342</v>
      </c>
      <c r="K24" s="591">
        <f>IF(ProjectData!B28="Easy",('Default Data'!C4*3.28083)/215,IF(ProjectData!B28="Medium",('Default Data'!C4*3.28083)/185,('Default Data'!C4*3.28083)/160))</f>
        <v>39.901986486486486</v>
      </c>
      <c r="L24" s="379"/>
    </row>
    <row r="25" spans="1:32" x14ac:dyDescent="0.25">
      <c r="A25" s="217"/>
      <c r="B25" s="362" t="s">
        <v>730</v>
      </c>
      <c r="C25" s="624" t="str">
        <f>ProjectData!B27</f>
        <v>Medium</v>
      </c>
      <c r="D25" s="360"/>
      <c r="F25" s="99" t="s">
        <v>411</v>
      </c>
      <c r="G25" s="615">
        <f>G24*2.20462*60*60</f>
        <v>634930.55999999994</v>
      </c>
      <c r="J25" s="99" t="s">
        <v>343</v>
      </c>
      <c r="K25" s="591">
        <f>K23*0.15</f>
        <v>7.0415270270270272</v>
      </c>
      <c r="L25" s="379"/>
    </row>
    <row r="26" spans="1:32" x14ac:dyDescent="0.25">
      <c r="A26" s="217"/>
      <c r="B26" s="362" t="s">
        <v>731</v>
      </c>
      <c r="C26" s="624" t="str">
        <f>ProjectData!B28</f>
        <v>Medium</v>
      </c>
      <c r="D26" s="360"/>
      <c r="F26" s="99" t="s">
        <v>471</v>
      </c>
      <c r="G26" s="378">
        <f>G25*G22</f>
        <v>1183495.7705204319</v>
      </c>
    </row>
    <row r="27" spans="1:32" x14ac:dyDescent="0.25">
      <c r="A27" s="217"/>
      <c r="B27" s="362" t="s">
        <v>451</v>
      </c>
      <c r="C27" s="624">
        <f>ProjectData!B25</f>
        <v>80</v>
      </c>
      <c r="D27" s="360"/>
      <c r="F27" s="99" t="s">
        <v>472</v>
      </c>
      <c r="G27" s="616">
        <f>7.4805*G25/('Fluid Density'!E18*60)</f>
        <v>1466.508428622469</v>
      </c>
    </row>
    <row r="28" spans="1:32" x14ac:dyDescent="0.25">
      <c r="A28" s="217"/>
      <c r="B28" s="362"/>
      <c r="C28" s="586"/>
      <c r="D28" s="360"/>
    </row>
    <row r="29" spans="1:32" x14ac:dyDescent="0.25">
      <c r="A29" s="217"/>
      <c r="B29" s="362"/>
      <c r="C29" s="586"/>
      <c r="D29" s="360"/>
    </row>
    <row r="30" spans="1:32" x14ac:dyDescent="0.25">
      <c r="A30" s="217"/>
      <c r="B30" s="362"/>
      <c r="C30" s="586"/>
      <c r="D30" s="360"/>
    </row>
    <row r="31" spans="1:32" x14ac:dyDescent="0.25">
      <c r="A31" s="217"/>
      <c r="B31" s="422"/>
      <c r="C31" s="640"/>
      <c r="D31" s="358"/>
      <c r="E31" s="358"/>
    </row>
    <row r="32" spans="1:32" x14ac:dyDescent="0.25">
      <c r="A32" s="217"/>
      <c r="B32" s="383"/>
      <c r="C32" s="384"/>
      <c r="D32" s="384"/>
      <c r="E32" s="384"/>
      <c r="J32" s="362" t="s">
        <v>875</v>
      </c>
      <c r="S32" s="598" t="s">
        <v>888</v>
      </c>
      <c r="AF32" s="423"/>
    </row>
    <row r="33" spans="1:46" ht="18.75" x14ac:dyDescent="0.3">
      <c r="A33" s="217"/>
      <c r="B33" s="386" t="s">
        <v>130</v>
      </c>
      <c r="C33" s="384"/>
      <c r="D33" s="387" t="s">
        <v>752</v>
      </c>
      <c r="E33" s="387" t="s">
        <v>148</v>
      </c>
      <c r="F33" s="364"/>
      <c r="H33" s="384" t="s">
        <v>751</v>
      </c>
      <c r="I33" s="384"/>
      <c r="J33" s="359" t="s">
        <v>126</v>
      </c>
      <c r="K33" s="596" t="s">
        <v>32</v>
      </c>
      <c r="L33" s="597"/>
      <c r="M33" s="597" t="s">
        <v>148</v>
      </c>
      <c r="N33" s="381" t="s">
        <v>426</v>
      </c>
      <c r="O33" s="382" t="s">
        <v>34</v>
      </c>
      <c r="P33" s="382" t="s">
        <v>425</v>
      </c>
      <c r="Q33" s="381" t="s">
        <v>424</v>
      </c>
      <c r="S33" s="102" t="s">
        <v>126</v>
      </c>
      <c r="T33" s="596" t="s">
        <v>32</v>
      </c>
      <c r="U33" s="597" t="s">
        <v>148</v>
      </c>
      <c r="V33" s="381" t="s">
        <v>426</v>
      </c>
      <c r="W33" s="382" t="s">
        <v>34</v>
      </c>
      <c r="X33" s="382" t="s">
        <v>425</v>
      </c>
      <c r="Y33" s="381" t="s">
        <v>424</v>
      </c>
      <c r="AA33" s="567" t="s">
        <v>424</v>
      </c>
      <c r="AB33" s="567" t="s">
        <v>889</v>
      </c>
      <c r="AC33" s="364" t="s">
        <v>102</v>
      </c>
      <c r="AD33" s="364" t="s">
        <v>895</v>
      </c>
      <c r="AE33" s="364" t="s">
        <v>896</v>
      </c>
      <c r="AF33" s="362" t="s">
        <v>952</v>
      </c>
      <c r="AG33" s="99" t="s">
        <v>624</v>
      </c>
      <c r="AH33" s="99" t="s">
        <v>925</v>
      </c>
      <c r="AM33" s="423" t="s">
        <v>929</v>
      </c>
      <c r="AN33" s="423" t="s">
        <v>928</v>
      </c>
      <c r="AO33" s="423" t="s">
        <v>926</v>
      </c>
      <c r="AP33" s="423" t="s">
        <v>927</v>
      </c>
      <c r="AQ33" s="423" t="s">
        <v>952</v>
      </c>
      <c r="AR33" s="423"/>
      <c r="AS33" s="423" t="s">
        <v>954</v>
      </c>
      <c r="AT33" s="423" t="s">
        <v>953</v>
      </c>
    </row>
    <row r="34" spans="1:46" x14ac:dyDescent="0.25">
      <c r="A34" s="217"/>
      <c r="B34" s="389" t="s">
        <v>125</v>
      </c>
      <c r="C34" s="358"/>
      <c r="D34" s="358"/>
      <c r="E34" s="358"/>
      <c r="H34" s="370"/>
      <c r="I34" s="370"/>
      <c r="J34" s="362" t="s">
        <v>125</v>
      </c>
      <c r="K34" s="385"/>
      <c r="L34" s="569"/>
      <c r="N34" s="353"/>
      <c r="P34" s="385"/>
      <c r="Q34" s="385"/>
      <c r="S34" s="96" t="s">
        <v>125</v>
      </c>
      <c r="T34" s="385"/>
      <c r="U34" s="569"/>
      <c r="V34" s="353"/>
      <c r="X34" s="566"/>
      <c r="Y34" s="385"/>
    </row>
    <row r="35" spans="1:46" x14ac:dyDescent="0.25">
      <c r="A35" s="217"/>
      <c r="B35" s="99" t="s">
        <v>124</v>
      </c>
      <c r="D35" s="782">
        <f>'Rates &amp; Misc'!D20</f>
        <v>75</v>
      </c>
      <c r="E35" s="594">
        <v>100000</v>
      </c>
      <c r="F35" s="396"/>
      <c r="H35" s="370">
        <f>IF(ProjectData!$B$13="UNITED STATES",1,'Local Share'!D4)</f>
        <v>0</v>
      </c>
      <c r="I35" s="370"/>
      <c r="J35" s="99" t="s">
        <v>124</v>
      </c>
      <c r="K35" s="576">
        <f>E35</f>
        <v>100000</v>
      </c>
      <c r="L35" s="576"/>
      <c r="M35" s="368">
        <f>K35</f>
        <v>100000</v>
      </c>
      <c r="N35" s="642">
        <f>D35</f>
        <v>75</v>
      </c>
      <c r="P35" s="669">
        <f>K35/N35</f>
        <v>1333.3333333333333</v>
      </c>
      <c r="Q35" s="671">
        <f>P35/'Rates &amp; Misc'!$C$4</f>
        <v>0.64102564102564097</v>
      </c>
      <c r="S35" t="s">
        <v>124</v>
      </c>
      <c r="T35" s="576">
        <f>ProjectData!D36</f>
        <v>100000</v>
      </c>
      <c r="U35" s="368">
        <f>T35</f>
        <v>100000</v>
      </c>
      <c r="V35" s="642">
        <f>ProjectData!B36</f>
        <v>75</v>
      </c>
      <c r="X35" s="388">
        <f>T35/V35</f>
        <v>1333.3333333333333</v>
      </c>
      <c r="Y35" s="563">
        <f>X35/'Rates &amp; Misc'!$C$4</f>
        <v>0.64102564102564097</v>
      </c>
      <c r="Z35" s="375">
        <f>IF(C$13="Simple",(M35*ProjectData!B$29)/'Default Data'!N35/'Rates &amp; Misc'!C$4,(U35*ProjectData!B$29)/'Default Data'!V35/'Rates &amp; Misc'!C$4)</f>
        <v>3.2051282051282055E-2</v>
      </c>
      <c r="AA35" s="379">
        <f>IF(C$13="Simple",Q35+Z35,Y35+Z35)*Calculations!D3</f>
        <v>0</v>
      </c>
      <c r="AB35" s="591">
        <v>1</v>
      </c>
      <c r="AC35" s="369">
        <f>IF(C$13="Simple",M35*AB35,U35*AB35)</f>
        <v>100000</v>
      </c>
      <c r="AD35" s="368">
        <f t="shared" ref="AD35:AD46" si="0">IF($C$13="Simple",M35-AC35,U35-AC35)</f>
        <v>0</v>
      </c>
      <c r="AG35" s="368">
        <f t="shared" ref="AG35:AG46" si="1">SUM(AC35:AF35)</f>
        <v>100000</v>
      </c>
      <c r="AM35" s="368">
        <f t="shared" ref="AM35:AM46" si="2">AC35</f>
        <v>100000</v>
      </c>
      <c r="AO35" s="99">
        <f t="shared" ref="AO35:AO46" si="3">AE35</f>
        <v>0</v>
      </c>
      <c r="AP35" s="368">
        <f t="shared" ref="AP35:AP46" si="4">AD35</f>
        <v>0</v>
      </c>
      <c r="AS35" s="379">
        <f>IF(AM35&gt;0,AA35,0)</f>
        <v>0</v>
      </c>
      <c r="AT35" s="379">
        <f>IF(AN35&gt;0,AA35,0)</f>
        <v>0</v>
      </c>
    </row>
    <row r="36" spans="1:46" x14ac:dyDescent="0.25">
      <c r="A36" s="217"/>
      <c r="B36" s="99" t="s">
        <v>123</v>
      </c>
      <c r="D36" s="782">
        <f>'Rates &amp; Misc'!D21</f>
        <v>75</v>
      </c>
      <c r="E36" s="592">
        <v>200000</v>
      </c>
      <c r="F36" s="396"/>
      <c r="H36" s="370">
        <f>IF(ProjectData!$B$13="UNITED STATES",1,'Local Share'!D5)</f>
        <v>0</v>
      </c>
      <c r="I36" s="370"/>
      <c r="J36" s="99" t="s">
        <v>123</v>
      </c>
      <c r="K36" s="576">
        <f>E36</f>
        <v>200000</v>
      </c>
      <c r="L36" s="576"/>
      <c r="M36" s="368">
        <f>K36</f>
        <v>200000</v>
      </c>
      <c r="N36" s="642">
        <f>D36</f>
        <v>75</v>
      </c>
      <c r="P36" s="669">
        <f>K36/N36</f>
        <v>2666.6666666666665</v>
      </c>
      <c r="Q36" s="671">
        <f>P36/'Rates &amp; Misc'!$C$4</f>
        <v>1.2820512820512819</v>
      </c>
      <c r="S36" t="s">
        <v>123</v>
      </c>
      <c r="T36" s="576">
        <f>ProjectData!D37</f>
        <v>200000</v>
      </c>
      <c r="U36" s="368">
        <f>T36</f>
        <v>200000</v>
      </c>
      <c r="V36" s="642">
        <f>ProjectData!B37</f>
        <v>75</v>
      </c>
      <c r="X36" s="388">
        <f>T36/V36</f>
        <v>2666.6666666666665</v>
      </c>
      <c r="Y36" s="563">
        <f>X36/'Rates &amp; Misc'!$C$4</f>
        <v>1.2820512820512819</v>
      </c>
      <c r="Z36" s="375">
        <f>IF(C$13="Simple",(M36*ProjectData!B$29)/'Default Data'!N36/'Rates &amp; Misc'!C$4,(U36*ProjectData!B$29)/'Default Data'!V36/'Rates &amp; Misc'!C$4)</f>
        <v>6.4102564102564111E-2</v>
      </c>
      <c r="AA36" s="379">
        <f>IF(C$13="Simple",Q36+Z36,Y36+Z36)*Calculations!D4</f>
        <v>0</v>
      </c>
      <c r="AB36" s="591">
        <v>1</v>
      </c>
      <c r="AC36" s="369">
        <f>IF(C$13="Simple",M36*AB36,U36*AB36)</f>
        <v>200000</v>
      </c>
      <c r="AD36" s="368">
        <f t="shared" si="0"/>
        <v>0</v>
      </c>
      <c r="AG36" s="368">
        <f t="shared" si="1"/>
        <v>200000</v>
      </c>
      <c r="AM36" s="368">
        <f t="shared" si="2"/>
        <v>200000</v>
      </c>
      <c r="AO36" s="99">
        <f t="shared" si="3"/>
        <v>0</v>
      </c>
      <c r="AP36" s="368">
        <f t="shared" si="4"/>
        <v>0</v>
      </c>
      <c r="AS36" s="379">
        <f>IF(AM36&gt;0,AA36,0)</f>
        <v>0</v>
      </c>
      <c r="AT36" s="379">
        <f>IF(AN36&gt;0,AA36,0)</f>
        <v>0</v>
      </c>
    </row>
    <row r="37" spans="1:46" x14ac:dyDescent="0.25">
      <c r="A37" s="217"/>
      <c r="B37" s="99" t="s">
        <v>122</v>
      </c>
      <c r="D37" s="782"/>
      <c r="E37" s="592"/>
      <c r="F37" s="396"/>
      <c r="H37" s="370">
        <f>IF(ProjectData!$B$13="UNITED STATES",1,'Local Share'!D6)</f>
        <v>0</v>
      </c>
      <c r="I37" s="370"/>
      <c r="J37" s="99" t="s">
        <v>122</v>
      </c>
      <c r="K37" s="577"/>
      <c r="L37" s="577"/>
      <c r="M37" s="368">
        <f>K37</f>
        <v>0</v>
      </c>
      <c r="N37" s="643"/>
      <c r="P37" s="578"/>
      <c r="Q37" s="578"/>
      <c r="S37" t="s">
        <v>122</v>
      </c>
      <c r="T37" s="577"/>
      <c r="U37" s="368">
        <f>T37</f>
        <v>0</v>
      </c>
      <c r="V37" s="354"/>
      <c r="X37" s="388"/>
      <c r="Y37" s="361"/>
      <c r="Z37" s="375"/>
      <c r="AA37" s="379">
        <f>IF(C$13="Simple",Q37+Z37,Y37+Z37)*Calculations!D5</f>
        <v>0</v>
      </c>
      <c r="AC37" s="369">
        <f>IF(C$13="Simple",M37*AB37,U37*AB37)</f>
        <v>0</v>
      </c>
      <c r="AF37" s="368">
        <f>IF($C$13="Simple",M37-AC37,U37-AC37)</f>
        <v>0</v>
      </c>
      <c r="AG37" s="368">
        <f>SUM(AC37:AF37)</f>
        <v>0</v>
      </c>
      <c r="AM37" s="368">
        <f t="shared" si="2"/>
        <v>0</v>
      </c>
      <c r="AO37" s="99">
        <f t="shared" si="3"/>
        <v>0</v>
      </c>
      <c r="AP37" s="368">
        <f>AF37</f>
        <v>0</v>
      </c>
      <c r="AS37" s="379">
        <f>IF(AM37&gt;0,AA37,0)</f>
        <v>0</v>
      </c>
      <c r="AT37" s="379">
        <f>IF(AN37&gt;0,AA37,0)</f>
        <v>0</v>
      </c>
    </row>
    <row r="38" spans="1:46" x14ac:dyDescent="0.25">
      <c r="A38" s="217"/>
      <c r="B38" s="99" t="s">
        <v>420</v>
      </c>
      <c r="D38" s="782"/>
      <c r="E38" s="355">
        <f>'Rates &amp; Misc'!C75</f>
        <v>771980</v>
      </c>
      <c r="F38" s="396"/>
      <c r="H38" s="370">
        <f>IF(ProjectData!$B$13="UNITED STATES",1,'Local Share'!D7)</f>
        <v>0</v>
      </c>
      <c r="I38" s="370"/>
      <c r="J38" s="99" t="s">
        <v>121</v>
      </c>
      <c r="K38" s="576">
        <f>E38</f>
        <v>771980</v>
      </c>
      <c r="L38" s="576"/>
      <c r="M38" s="368">
        <f>K38</f>
        <v>771980</v>
      </c>
      <c r="N38" s="643"/>
      <c r="P38" s="578"/>
      <c r="Q38" s="578"/>
      <c r="S38" t="s">
        <v>121</v>
      </c>
      <c r="T38" s="576">
        <f>ProjectData!D39</f>
        <v>771980</v>
      </c>
      <c r="U38" s="368">
        <f>T38</f>
        <v>771980</v>
      </c>
      <c r="V38" s="354"/>
      <c r="X38" s="388"/>
      <c r="Y38" s="361"/>
      <c r="Z38" s="375"/>
      <c r="AA38" s="379">
        <f>IF(C$13="Simple",Q38+Z38,Y38+Z38)*Calculations!D6</f>
        <v>0</v>
      </c>
      <c r="AC38" s="369">
        <f>IF(C$13="Simple",M38*AB38,U38*AB38)</f>
        <v>0</v>
      </c>
      <c r="AF38" s="368">
        <f>IF($C$13="Simple",M38-AC38,U38-AC38)</f>
        <v>771980</v>
      </c>
      <c r="AG38" s="368">
        <f>SUM(AC38:AF38)</f>
        <v>771980</v>
      </c>
      <c r="AM38" s="368">
        <f t="shared" si="2"/>
        <v>0</v>
      </c>
      <c r="AO38" s="99">
        <f t="shared" si="3"/>
        <v>0</v>
      </c>
      <c r="AQ38" s="368">
        <f>AF38</f>
        <v>771980</v>
      </c>
      <c r="AR38" s="368"/>
      <c r="AS38" s="379">
        <f>IF(AM38&gt;0,AA38,0)</f>
        <v>0</v>
      </c>
      <c r="AT38" s="379">
        <f>IF(AN38&gt;0,AA38,0)</f>
        <v>0</v>
      </c>
    </row>
    <row r="39" spans="1:46" ht="15.75" x14ac:dyDescent="0.25">
      <c r="A39" s="217"/>
      <c r="B39" s="390" t="s">
        <v>120</v>
      </c>
      <c r="D39" s="450"/>
      <c r="E39" s="355"/>
      <c r="F39" s="375"/>
      <c r="H39" s="370"/>
      <c r="I39" s="370"/>
      <c r="J39" s="390" t="s">
        <v>120</v>
      </c>
      <c r="K39" s="578"/>
      <c r="L39" s="578"/>
      <c r="N39" s="579"/>
      <c r="P39" s="578"/>
      <c r="Q39" s="578"/>
      <c r="S39" s="106" t="s">
        <v>120</v>
      </c>
      <c r="T39" s="361"/>
      <c r="U39" s="361"/>
      <c r="V39" s="361"/>
      <c r="X39" s="388"/>
      <c r="Y39" s="361"/>
      <c r="Z39" s="375"/>
      <c r="AA39" s="379"/>
      <c r="AC39" s="369"/>
      <c r="AD39" s="368"/>
      <c r="AG39" s="368"/>
      <c r="AM39" s="368"/>
      <c r="AP39" s="368"/>
      <c r="AT39" s="379"/>
    </row>
    <row r="40" spans="1:46" x14ac:dyDescent="0.25">
      <c r="A40" s="217"/>
      <c r="B40" s="99" t="s">
        <v>119</v>
      </c>
      <c r="D40" s="782">
        <f>'Rates &amp; Misc'!D24</f>
        <v>59.37</v>
      </c>
      <c r="E40" s="592">
        <v>100000</v>
      </c>
      <c r="F40" s="396"/>
      <c r="H40" s="370">
        <f>IF(ProjectData!$B$13="UNITED STATES",1,'Local Share'!D9)</f>
        <v>1</v>
      </c>
      <c r="I40" s="370"/>
      <c r="J40" s="99" t="s">
        <v>119</v>
      </c>
      <c r="K40" s="576">
        <f t="shared" ref="K40:K46" si="5">E40</f>
        <v>100000</v>
      </c>
      <c r="L40" s="576"/>
      <c r="M40" s="368">
        <f t="shared" ref="M40:M46" si="6">K40</f>
        <v>100000</v>
      </c>
      <c r="N40" s="642">
        <f t="shared" ref="N40:N45" si="7">D40</f>
        <v>59.37</v>
      </c>
      <c r="O40" s="587"/>
      <c r="P40" s="669">
        <f t="shared" ref="P40:P45" si="8">K40/N40</f>
        <v>1684.3523665150751</v>
      </c>
      <c r="Q40" s="671">
        <f>P40/'Rates &amp; Misc'!$C$4</f>
        <v>0.80978479159378614</v>
      </c>
      <c r="S40" t="s">
        <v>119</v>
      </c>
      <c r="T40" s="576">
        <f>ProjectData!D41</f>
        <v>100000</v>
      </c>
      <c r="U40" s="368">
        <f t="shared" ref="U40:U46" si="9">T40</f>
        <v>100000</v>
      </c>
      <c r="V40" s="642">
        <f>ProjectData!B41</f>
        <v>59.37</v>
      </c>
      <c r="X40" s="388">
        <f t="shared" ref="X40:X45" si="10">T40/V40</f>
        <v>1684.3523665150751</v>
      </c>
      <c r="Y40" s="563">
        <f>X40/'Rates &amp; Misc'!$C$4</f>
        <v>0.80978479159378614</v>
      </c>
      <c r="Z40" s="375">
        <f>IF(C$13="Simple",(M40*ProjectData!B$29)/'Default Data'!N40/'Rates &amp; Misc'!C$4,(U40*ProjectData!B$29)/'Default Data'!V40/'Rates &amp; Misc'!C$4)</f>
        <v>4.04892395796893E-2</v>
      </c>
      <c r="AA40" s="379">
        <f>IF(C$13="Simple",Q40+Z40,Y40+Z40)*Calculations!D8</f>
        <v>0.85027403117347544</v>
      </c>
      <c r="AB40" s="591">
        <v>1</v>
      </c>
      <c r="AC40" s="369">
        <f t="shared" ref="AC40:AC46" si="11">IF(C$13="Simple",M40*AB40,U40*AB40)</f>
        <v>100000</v>
      </c>
      <c r="AD40" s="368">
        <f t="shared" si="0"/>
        <v>0</v>
      </c>
      <c r="AG40" s="368">
        <f t="shared" si="1"/>
        <v>100000</v>
      </c>
      <c r="AM40" s="368">
        <f t="shared" si="2"/>
        <v>100000</v>
      </c>
      <c r="AO40" s="99">
        <f t="shared" si="3"/>
        <v>0</v>
      </c>
      <c r="AP40" s="368">
        <f t="shared" si="4"/>
        <v>0</v>
      </c>
      <c r="AS40" s="379">
        <f t="shared" ref="AS40:AS46" si="12">IF(AM40&gt;0,AA40,0)</f>
        <v>0.85027403117347544</v>
      </c>
      <c r="AT40" s="379">
        <f t="shared" ref="AT40:AT46" si="13">IF(AN40&gt;0,AA40,0)</f>
        <v>0</v>
      </c>
    </row>
    <row r="41" spans="1:46" x14ac:dyDescent="0.25">
      <c r="A41" s="217"/>
      <c r="B41" s="99" t="s">
        <v>118</v>
      </c>
      <c r="D41" s="782">
        <f>'Rates &amp; Misc'!D25</f>
        <v>59.37</v>
      </c>
      <c r="E41" s="592">
        <v>80000</v>
      </c>
      <c r="F41" s="396"/>
      <c r="H41" s="370">
        <f>IF(ProjectData!$B$13="UNITED STATES",1,'Local Share'!D10)</f>
        <v>0</v>
      </c>
      <c r="I41" s="370"/>
      <c r="J41" s="99" t="s">
        <v>118</v>
      </c>
      <c r="K41" s="576">
        <f t="shared" si="5"/>
        <v>80000</v>
      </c>
      <c r="L41" s="576"/>
      <c r="M41" s="368">
        <f t="shared" si="6"/>
        <v>80000</v>
      </c>
      <c r="N41" s="642">
        <f t="shared" si="7"/>
        <v>59.37</v>
      </c>
      <c r="P41" s="669">
        <f t="shared" si="8"/>
        <v>1347.48189321206</v>
      </c>
      <c r="Q41" s="671">
        <f>P41/'Rates &amp; Misc'!$C$4</f>
        <v>0.6478278332750288</v>
      </c>
      <c r="S41" t="s">
        <v>118</v>
      </c>
      <c r="T41" s="576">
        <f>ProjectData!D42</f>
        <v>80000</v>
      </c>
      <c r="U41" s="368">
        <f t="shared" si="9"/>
        <v>80000</v>
      </c>
      <c r="V41" s="642">
        <f>ProjectData!B42</f>
        <v>59.37</v>
      </c>
      <c r="X41" s="388">
        <f t="shared" si="10"/>
        <v>1347.48189321206</v>
      </c>
      <c r="Y41" s="563">
        <f>X41/'Rates &amp; Misc'!$C$4</f>
        <v>0.6478278332750288</v>
      </c>
      <c r="Z41" s="375">
        <f>IF(C$13="Simple",(M41*ProjectData!B$29)/'Default Data'!N41/'Rates &amp; Misc'!C$4,(U41*ProjectData!B$29)/'Default Data'!V41/'Rates &amp; Misc'!C$4)</f>
        <v>3.2391391663751448E-2</v>
      </c>
      <c r="AA41" s="379">
        <f>IF(C$13="Simple",Q41+Z41,Y41+Z41)*Calculations!D9</f>
        <v>0</v>
      </c>
      <c r="AB41" s="591">
        <v>1</v>
      </c>
      <c r="AC41" s="369">
        <f t="shared" si="11"/>
        <v>80000</v>
      </c>
      <c r="AD41" s="368">
        <f t="shared" si="0"/>
        <v>0</v>
      </c>
      <c r="AG41" s="368">
        <f t="shared" si="1"/>
        <v>80000</v>
      </c>
      <c r="AM41" s="368">
        <f t="shared" si="2"/>
        <v>80000</v>
      </c>
      <c r="AO41" s="99">
        <f t="shared" si="3"/>
        <v>0</v>
      </c>
      <c r="AP41" s="368">
        <f t="shared" si="4"/>
        <v>0</v>
      </c>
      <c r="AS41" s="379">
        <f t="shared" si="12"/>
        <v>0</v>
      </c>
      <c r="AT41" s="379">
        <f t="shared" si="13"/>
        <v>0</v>
      </c>
    </row>
    <row r="42" spans="1:46" x14ac:dyDescent="0.25">
      <c r="A42" s="217"/>
      <c r="B42" s="99" t="s">
        <v>117</v>
      </c>
      <c r="D42" s="782">
        <f>'Rates &amp; Misc'!D26</f>
        <v>59.37</v>
      </c>
      <c r="E42" s="592">
        <v>50000</v>
      </c>
      <c r="F42" s="396"/>
      <c r="H42" s="370">
        <f>IF(ProjectData!$B$13="UNITED STATES",1,'Local Share'!D11)</f>
        <v>0</v>
      </c>
      <c r="I42" s="370"/>
      <c r="J42" s="99" t="s">
        <v>117</v>
      </c>
      <c r="K42" s="576">
        <f t="shared" si="5"/>
        <v>50000</v>
      </c>
      <c r="L42" s="576"/>
      <c r="M42" s="368">
        <f t="shared" si="6"/>
        <v>50000</v>
      </c>
      <c r="N42" s="642">
        <f t="shared" si="7"/>
        <v>59.37</v>
      </c>
      <c r="P42" s="669">
        <f t="shared" si="8"/>
        <v>842.17618325753756</v>
      </c>
      <c r="Q42" s="671">
        <f>P42/'Rates &amp; Misc'!$C$4</f>
        <v>0.40489239579689307</v>
      </c>
      <c r="S42" t="s">
        <v>117</v>
      </c>
      <c r="T42" s="576">
        <f>ProjectData!D43</f>
        <v>50000</v>
      </c>
      <c r="U42" s="368">
        <f t="shared" si="9"/>
        <v>50000</v>
      </c>
      <c r="V42" s="642">
        <f>ProjectData!B43</f>
        <v>59.37</v>
      </c>
      <c r="X42" s="388">
        <f t="shared" si="10"/>
        <v>842.17618325753756</v>
      </c>
      <c r="Y42" s="563">
        <f>X42/'Rates &amp; Misc'!$C$4</f>
        <v>0.40489239579689307</v>
      </c>
      <c r="Z42" s="375">
        <f>IF(C$13="Simple",(M42*ProjectData!B$29)/'Default Data'!N42/'Rates &amp; Misc'!C$4,(U42*ProjectData!B$29)/'Default Data'!V42/'Rates &amp; Misc'!C$4)</f>
        <v>2.024461978984465E-2</v>
      </c>
      <c r="AA42" s="379">
        <f>IF(C$13="Simple",Q42+Z42,Y42+Z42)*Calculations!D10</f>
        <v>0</v>
      </c>
      <c r="AB42" s="591">
        <v>1</v>
      </c>
      <c r="AC42" s="369">
        <f t="shared" si="11"/>
        <v>50000</v>
      </c>
      <c r="AD42" s="368">
        <f t="shared" si="0"/>
        <v>0</v>
      </c>
      <c r="AG42" s="368">
        <f t="shared" si="1"/>
        <v>50000</v>
      </c>
      <c r="AM42" s="368">
        <f t="shared" si="2"/>
        <v>50000</v>
      </c>
      <c r="AO42" s="99">
        <f t="shared" si="3"/>
        <v>0</v>
      </c>
      <c r="AP42" s="368">
        <f t="shared" si="4"/>
        <v>0</v>
      </c>
      <c r="AS42" s="379">
        <f t="shared" si="12"/>
        <v>0</v>
      </c>
      <c r="AT42" s="379">
        <f t="shared" si="13"/>
        <v>0</v>
      </c>
    </row>
    <row r="43" spans="1:46" x14ac:dyDescent="0.25">
      <c r="A43" s="217"/>
      <c r="B43" s="99" t="s">
        <v>116</v>
      </c>
      <c r="D43" s="782">
        <f>'Rates &amp; Misc'!D27</f>
        <v>59.37</v>
      </c>
      <c r="E43" s="592">
        <v>75000</v>
      </c>
      <c r="F43" s="396"/>
      <c r="H43" s="370">
        <f>IF(ProjectData!$B$13="UNITED STATES",1,'Local Share'!D12)</f>
        <v>0</v>
      </c>
      <c r="I43" s="370"/>
      <c r="J43" s="99" t="s">
        <v>116</v>
      </c>
      <c r="K43" s="621">
        <f t="shared" si="5"/>
        <v>75000</v>
      </c>
      <c r="L43" s="824"/>
      <c r="M43" s="368">
        <f t="shared" si="6"/>
        <v>75000</v>
      </c>
      <c r="N43" s="642">
        <f t="shared" si="7"/>
        <v>59.37</v>
      </c>
      <c r="P43" s="669">
        <f t="shared" si="8"/>
        <v>1263.2642748863063</v>
      </c>
      <c r="Q43" s="671">
        <f>P43/'Rates &amp; Misc'!$C$4</f>
        <v>0.6073385936953396</v>
      </c>
      <c r="S43" t="s">
        <v>116</v>
      </c>
      <c r="T43" s="621">
        <f>ProjectData!D44</f>
        <v>75000</v>
      </c>
      <c r="U43" s="368">
        <f t="shared" si="9"/>
        <v>75000</v>
      </c>
      <c r="V43" s="642">
        <f>ProjectData!B44</f>
        <v>59.37</v>
      </c>
      <c r="X43" s="388">
        <f t="shared" si="10"/>
        <v>1263.2642748863063</v>
      </c>
      <c r="Y43" s="563">
        <f>X43/'Rates &amp; Misc'!$C$4</f>
        <v>0.6073385936953396</v>
      </c>
      <c r="Z43" s="375">
        <f>IF(C$13="Simple",(M43*ProjectData!B$29)/'Default Data'!N43/'Rates &amp; Misc'!C$4,(U43*ProjectData!B$29)/'Default Data'!V43/'Rates &amp; Misc'!C$4)</f>
        <v>3.0366929684766977E-2</v>
      </c>
      <c r="AA43" s="379">
        <f>IF(C$13="Simple",Q43+Z43,Y43+Z43)*Calculations!D11</f>
        <v>0</v>
      </c>
      <c r="AB43" s="591">
        <v>1</v>
      </c>
      <c r="AC43" s="369">
        <f t="shared" si="11"/>
        <v>75000</v>
      </c>
      <c r="AD43" s="368">
        <f t="shared" si="0"/>
        <v>0</v>
      </c>
      <c r="AG43" s="368">
        <f t="shared" si="1"/>
        <v>75000</v>
      </c>
      <c r="AM43" s="368">
        <f t="shared" si="2"/>
        <v>75000</v>
      </c>
      <c r="AO43" s="99">
        <f t="shared" si="3"/>
        <v>0</v>
      </c>
      <c r="AP43" s="368">
        <f t="shared" si="4"/>
        <v>0</v>
      </c>
      <c r="AS43" s="379">
        <f t="shared" si="12"/>
        <v>0</v>
      </c>
      <c r="AT43" s="379">
        <f t="shared" si="13"/>
        <v>0</v>
      </c>
    </row>
    <row r="44" spans="1:46" x14ac:dyDescent="0.25">
      <c r="A44" s="217"/>
      <c r="B44" s="99" t="s">
        <v>115</v>
      </c>
      <c r="D44" s="782">
        <f>'Rates &amp; Misc'!D28</f>
        <v>30</v>
      </c>
      <c r="E44" s="592">
        <v>50000</v>
      </c>
      <c r="F44" s="396"/>
      <c r="H44" s="370">
        <f>IF(ProjectData!$B$13="UNITED STATES",1,'Local Share'!D13)</f>
        <v>0</v>
      </c>
      <c r="I44" s="370"/>
      <c r="J44" s="99" t="s">
        <v>115</v>
      </c>
      <c r="K44" s="621">
        <f t="shared" si="5"/>
        <v>50000</v>
      </c>
      <c r="L44" s="824"/>
      <c r="M44" s="368">
        <f t="shared" si="6"/>
        <v>50000</v>
      </c>
      <c r="N44" s="642">
        <f t="shared" si="7"/>
        <v>30</v>
      </c>
      <c r="P44" s="669">
        <f t="shared" si="8"/>
        <v>1666.6666666666667</v>
      </c>
      <c r="Q44" s="671">
        <f>P44/'Rates &amp; Misc'!$C$4</f>
        <v>0.80128205128205132</v>
      </c>
      <c r="S44" t="s">
        <v>115</v>
      </c>
      <c r="T44" s="621">
        <f>ProjectData!D45</f>
        <v>50000</v>
      </c>
      <c r="U44" s="368">
        <f t="shared" si="9"/>
        <v>50000</v>
      </c>
      <c r="V44" s="642">
        <f>ProjectData!B45</f>
        <v>30</v>
      </c>
      <c r="X44" s="388">
        <f t="shared" si="10"/>
        <v>1666.6666666666667</v>
      </c>
      <c r="Y44" s="563">
        <f>X44/'Rates &amp; Misc'!$C$4</f>
        <v>0.80128205128205132</v>
      </c>
      <c r="Z44" s="375">
        <f>IF(C$13="Simple",(M44*ProjectData!B$29)/'Default Data'!N44/'Rates &amp; Misc'!C$4,(U44*ProjectData!B$29)/'Default Data'!V44/'Rates &amp; Misc'!C$4)</f>
        <v>4.0064102564102561E-2</v>
      </c>
      <c r="AA44" s="379">
        <f>IF(C$13="Simple",Q44+Z44,Y44+Z44)*Calculations!D12</f>
        <v>0</v>
      </c>
      <c r="AB44" s="591">
        <v>1</v>
      </c>
      <c r="AC44" s="369">
        <f t="shared" si="11"/>
        <v>50000</v>
      </c>
      <c r="AD44" s="368">
        <f t="shared" si="0"/>
        <v>0</v>
      </c>
      <c r="AG44" s="368">
        <f t="shared" si="1"/>
        <v>50000</v>
      </c>
      <c r="AM44" s="368">
        <f t="shared" si="2"/>
        <v>50000</v>
      </c>
      <c r="AO44" s="99">
        <f t="shared" si="3"/>
        <v>0</v>
      </c>
      <c r="AP44" s="368">
        <f t="shared" si="4"/>
        <v>0</v>
      </c>
      <c r="AS44" s="379">
        <f t="shared" si="12"/>
        <v>0</v>
      </c>
      <c r="AT44" s="379">
        <f t="shared" si="13"/>
        <v>0</v>
      </c>
    </row>
    <row r="45" spans="1:46" x14ac:dyDescent="0.25">
      <c r="A45" s="217"/>
      <c r="B45" s="99" t="s">
        <v>98</v>
      </c>
      <c r="D45" s="782">
        <f>'Rates &amp; Misc'!D29</f>
        <v>60</v>
      </c>
      <c r="E45" s="592">
        <f>C45*90</f>
        <v>0</v>
      </c>
      <c r="F45" s="396"/>
      <c r="H45" s="370">
        <f>IF(ProjectData!$B$13="UNITED STATES",1,'Local Share'!D14)</f>
        <v>0</v>
      </c>
      <c r="I45" s="370"/>
      <c r="J45" s="99" t="s">
        <v>98</v>
      </c>
      <c r="K45" s="621">
        <f t="shared" si="5"/>
        <v>0</v>
      </c>
      <c r="L45" s="824"/>
      <c r="M45" s="368">
        <f t="shared" si="6"/>
        <v>0</v>
      </c>
      <c r="N45" s="642">
        <f t="shared" si="7"/>
        <v>60</v>
      </c>
      <c r="P45" s="669">
        <f t="shared" si="8"/>
        <v>0</v>
      </c>
      <c r="Q45" s="671">
        <f>P45/'Rates &amp; Misc'!$C$4</f>
        <v>0</v>
      </c>
      <c r="S45" t="s">
        <v>98</v>
      </c>
      <c r="T45" s="621">
        <f>ProjectData!D46</f>
        <v>0</v>
      </c>
      <c r="U45" s="368">
        <f t="shared" si="9"/>
        <v>0</v>
      </c>
      <c r="V45" s="642">
        <f>ProjectData!B46</f>
        <v>60</v>
      </c>
      <c r="X45" s="388">
        <f t="shared" si="10"/>
        <v>0</v>
      </c>
      <c r="Y45" s="563">
        <f>X45/'Rates &amp; Misc'!$C$4</f>
        <v>0</v>
      </c>
      <c r="Z45" s="375">
        <f>IF(C$13="Simple",(M45*ProjectData!B$29)/'Default Data'!N45/'Rates &amp; Misc'!C$4,(U45*ProjectData!B$29)/'Default Data'!V45/'Rates &amp; Misc'!C$4)</f>
        <v>0</v>
      </c>
      <c r="AA45" s="379">
        <f>IF(C$13="Simple",Q45+Z45,Y45+Z45)*Calculations!D13</f>
        <v>0</v>
      </c>
      <c r="AB45" s="591">
        <v>1</v>
      </c>
      <c r="AC45" s="369">
        <f t="shared" si="11"/>
        <v>0</v>
      </c>
      <c r="AD45" s="368">
        <f t="shared" si="0"/>
        <v>0</v>
      </c>
      <c r="AG45" s="368">
        <f t="shared" si="1"/>
        <v>0</v>
      </c>
      <c r="AM45" s="368">
        <f t="shared" si="2"/>
        <v>0</v>
      </c>
      <c r="AO45" s="99">
        <f t="shared" si="3"/>
        <v>0</v>
      </c>
      <c r="AP45" s="368">
        <f t="shared" si="4"/>
        <v>0</v>
      </c>
      <c r="AS45" s="379">
        <f t="shared" si="12"/>
        <v>0</v>
      </c>
      <c r="AT45" s="379">
        <f t="shared" si="13"/>
        <v>0</v>
      </c>
    </row>
    <row r="46" spans="1:46" x14ac:dyDescent="0.25">
      <c r="A46" s="217"/>
      <c r="B46" s="99" t="s">
        <v>114</v>
      </c>
      <c r="E46" s="592">
        <v>1000000</v>
      </c>
      <c r="F46" s="396"/>
      <c r="H46" s="370">
        <f>IF(ProjectData!$B$13="UNITED STATES",1,'Local Share'!D15)</f>
        <v>0</v>
      </c>
      <c r="I46" s="370"/>
      <c r="J46" s="99" t="s">
        <v>114</v>
      </c>
      <c r="K46" s="621">
        <f t="shared" si="5"/>
        <v>1000000</v>
      </c>
      <c r="L46" s="824"/>
      <c r="M46" s="368">
        <f t="shared" si="6"/>
        <v>1000000</v>
      </c>
      <c r="N46" s="668"/>
      <c r="P46" s="388"/>
      <c r="Q46" s="361"/>
      <c r="S46" t="s">
        <v>114</v>
      </c>
      <c r="T46" s="621">
        <f>ProjectData!D47</f>
        <v>1000000</v>
      </c>
      <c r="U46" s="368">
        <f t="shared" si="9"/>
        <v>1000000</v>
      </c>
      <c r="V46" s="361"/>
      <c r="X46" s="388"/>
      <c r="Y46" s="361"/>
      <c r="Z46" s="375"/>
      <c r="AA46" s="379"/>
      <c r="AC46" s="369">
        <f t="shared" si="11"/>
        <v>0</v>
      </c>
      <c r="AD46" s="368">
        <f t="shared" si="0"/>
        <v>1000000</v>
      </c>
      <c r="AG46" s="368">
        <f t="shared" si="1"/>
        <v>1000000</v>
      </c>
      <c r="AM46" s="368">
        <f t="shared" si="2"/>
        <v>0</v>
      </c>
      <c r="AO46" s="99">
        <f t="shared" si="3"/>
        <v>0</v>
      </c>
      <c r="AP46" s="368">
        <f t="shared" si="4"/>
        <v>1000000</v>
      </c>
      <c r="AS46" s="379">
        <f t="shared" si="12"/>
        <v>0</v>
      </c>
      <c r="AT46" s="379">
        <f t="shared" si="13"/>
        <v>0</v>
      </c>
    </row>
    <row r="47" spans="1:46" x14ac:dyDescent="0.25">
      <c r="A47" s="217"/>
      <c r="B47" s="99" t="s">
        <v>220</v>
      </c>
      <c r="D47" s="392"/>
      <c r="E47" s="393">
        <f>SUM(E35:E46)</f>
        <v>2426980</v>
      </c>
      <c r="F47" s="375"/>
      <c r="H47" s="370"/>
      <c r="I47" s="370"/>
      <c r="M47" s="368">
        <f>SUM(M35:M46)</f>
        <v>2426980</v>
      </c>
      <c r="P47" s="368"/>
      <c r="S47"/>
      <c r="X47" s="368"/>
      <c r="AA47" s="379"/>
      <c r="AT47" s="379"/>
    </row>
    <row r="48" spans="1:46" x14ac:dyDescent="0.25">
      <c r="A48" s="217"/>
      <c r="F48" s="375"/>
      <c r="H48" s="394"/>
      <c r="I48" s="394"/>
      <c r="K48" s="373"/>
      <c r="P48" s="368"/>
      <c r="S48"/>
      <c r="X48" s="368"/>
      <c r="AA48" s="379"/>
      <c r="AT48" s="379"/>
    </row>
    <row r="49" spans="1:46" ht="15.75" x14ac:dyDescent="0.25">
      <c r="A49" s="217"/>
      <c r="B49" s="390" t="s">
        <v>113</v>
      </c>
      <c r="C49" s="387"/>
      <c r="D49" s="387" t="s">
        <v>33</v>
      </c>
      <c r="E49" s="387" t="s">
        <v>758</v>
      </c>
      <c r="F49" s="600" t="s">
        <v>148</v>
      </c>
      <c r="H49" s="370"/>
      <c r="I49" s="370"/>
      <c r="J49" s="390" t="s">
        <v>422</v>
      </c>
      <c r="K49" s="361"/>
      <c r="L49" s="36" t="s">
        <v>1136</v>
      </c>
      <c r="M49" s="826" t="s">
        <v>148</v>
      </c>
      <c r="N49" s="361"/>
      <c r="O49" s="579"/>
      <c r="P49" s="388"/>
      <c r="Q49" s="361"/>
      <c r="S49" s="106" t="s">
        <v>422</v>
      </c>
      <c r="T49" s="361"/>
      <c r="U49" s="361"/>
      <c r="V49" s="361"/>
      <c r="X49" s="388"/>
      <c r="Y49" s="361"/>
      <c r="AA49" s="379"/>
      <c r="AB49" s="362" t="s">
        <v>877</v>
      </c>
      <c r="AC49" s="364" t="s">
        <v>102</v>
      </c>
      <c r="AD49" s="364" t="s">
        <v>895</v>
      </c>
      <c r="AE49" s="364" t="s">
        <v>896</v>
      </c>
      <c r="AF49" s="362"/>
      <c r="AG49" s="99" t="s">
        <v>624</v>
      </c>
      <c r="AH49" s="99" t="s">
        <v>925</v>
      </c>
      <c r="AM49" s="423" t="s">
        <v>929</v>
      </c>
      <c r="AN49" s="423" t="s">
        <v>928</v>
      </c>
      <c r="AO49" s="423" t="s">
        <v>926</v>
      </c>
      <c r="AP49" s="423" t="s">
        <v>927</v>
      </c>
      <c r="AQ49" s="423" t="s">
        <v>952</v>
      </c>
      <c r="AR49" s="423"/>
      <c r="AS49" s="423" t="s">
        <v>954</v>
      </c>
      <c r="AT49" s="607" t="s">
        <v>953</v>
      </c>
    </row>
    <row r="50" spans="1:46" x14ac:dyDescent="0.25">
      <c r="A50" s="217"/>
      <c r="B50" s="391" t="s">
        <v>119</v>
      </c>
      <c r="C50" s="587"/>
      <c r="D50" s="355">
        <f>'Rates &amp; Misc'!G20</f>
        <v>700</v>
      </c>
      <c r="E50" s="395">
        <f>D50*'Default Data'!$K$24</f>
        <v>27931.390540540538</v>
      </c>
      <c r="F50" s="396">
        <f>E50*C$23</f>
        <v>55862.781081081077</v>
      </c>
      <c r="H50" s="370">
        <f>IF(ProjectData!$B$13="UNITED STATES",1,'Local Share'!D19)</f>
        <v>1</v>
      </c>
      <c r="I50" s="370"/>
      <c r="J50" s="391" t="s">
        <v>119</v>
      </c>
      <c r="K50" s="576">
        <f>K$68*L50</f>
        <v>12277.730891739237</v>
      </c>
      <c r="L50" s="825">
        <f t="shared" ref="L50:L60" si="14">IF($C$25="low",Y4,IF($C$25="medium",Z4,AA4))</f>
        <v>7.0896368209688214E-3</v>
      </c>
      <c r="M50" s="827">
        <f t="shared" ref="M50:M56" si="15">K50*(C$23)</f>
        <v>24555.461783478473</v>
      </c>
      <c r="N50" s="451">
        <f>'Rates &amp; Misc'!H20</f>
        <v>58.333333333333336</v>
      </c>
      <c r="O50" s="395">
        <f>D50</f>
        <v>700</v>
      </c>
      <c r="P50" s="669">
        <f>M50/N50</f>
        <v>420.95077343105953</v>
      </c>
      <c r="Q50" s="671">
        <f>P50/'Rates &amp; Misc'!$C$4</f>
        <v>0.20238017953416323</v>
      </c>
      <c r="S50" s="118" t="s">
        <v>119</v>
      </c>
      <c r="T50" s="576">
        <f>ProjectData!C51</f>
        <v>27931.390540540538</v>
      </c>
      <c r="U50" s="576">
        <f>ProjectData!D51</f>
        <v>55862.781081081077</v>
      </c>
      <c r="V50" s="642">
        <f>W50/'Rates &amp; Misc'!I$20</f>
        <v>58.333333333333336</v>
      </c>
      <c r="W50" s="395">
        <f>ProjectData!B51</f>
        <v>700</v>
      </c>
      <c r="X50" s="620">
        <f>U50/V50</f>
        <v>957.6476756756756</v>
      </c>
      <c r="Y50" s="563">
        <f>X50/'Rates &amp; Misc'!$C$4</f>
        <v>0.46040753638253634</v>
      </c>
      <c r="Z50" s="375">
        <f>IF(C$13="Simple",(M50*ProjectData!B$29)/'Default Data'!N50/'Rates &amp; Misc'!C$4,(U50*ProjectData!B$29)/'Default Data'!V50/'Rates &amp; Misc'!C$4)</f>
        <v>2.3020376819126821E-2</v>
      </c>
      <c r="AA50" s="379">
        <f>IF(C$13="Simple",Q50+Z50,Y50+Z50)*Calculations!D18</f>
        <v>0.48342791320166317</v>
      </c>
      <c r="AB50" s="591">
        <v>1</v>
      </c>
      <c r="AC50" s="369">
        <f t="shared" ref="AC50:AC67" si="16">IF(C$13="Simple",M50*AB50,U50*AB50)</f>
        <v>55862.781081081077</v>
      </c>
      <c r="AD50" s="368">
        <f t="shared" ref="AD50:AD55" si="17">IF($C$13="Simple",M50-AC50,U50-AC50)</f>
        <v>0</v>
      </c>
      <c r="AG50" s="368">
        <f>SUM(AC50:AF50)</f>
        <v>55862.781081081077</v>
      </c>
      <c r="AM50" s="368">
        <f>AC50</f>
        <v>55862.781081081077</v>
      </c>
      <c r="AO50" s="99">
        <f>AE50</f>
        <v>0</v>
      </c>
      <c r="AP50" s="368">
        <f>AD50</f>
        <v>0</v>
      </c>
      <c r="AS50" s="379">
        <f>IF(AM50&gt;0,AA50,0)</f>
        <v>0.48342791320166317</v>
      </c>
      <c r="AT50" s="379">
        <f>IF(AN50&gt;0,AA50,0)</f>
        <v>0</v>
      </c>
    </row>
    <row r="51" spans="1:46" x14ac:dyDescent="0.25">
      <c r="A51" s="217"/>
      <c r="B51" s="391" t="s">
        <v>326</v>
      </c>
      <c r="D51" s="355">
        <f>'Rates &amp; Misc'!G21</f>
        <v>800</v>
      </c>
      <c r="E51" s="395">
        <f>D51*'Default Data'!$K$24</f>
        <v>31921.589189189188</v>
      </c>
      <c r="F51" s="396">
        <f t="shared" ref="F51:F67" si="18">E51*C$23</f>
        <v>63843.178378378376</v>
      </c>
      <c r="H51" s="370">
        <f>IF(ProjectData!$B$13="UNITED STATES",1,'Local Share'!D20)</f>
        <v>0</v>
      </c>
      <c r="I51" s="370"/>
      <c r="J51" s="391" t="s">
        <v>326</v>
      </c>
      <c r="K51" s="576">
        <f t="shared" ref="K51:K67" si="19">K$68*L51</f>
        <v>14031.692447701984</v>
      </c>
      <c r="L51" s="825">
        <f t="shared" si="14"/>
        <v>8.1024420811072247E-3</v>
      </c>
      <c r="M51" s="827">
        <f t="shared" si="15"/>
        <v>28063.384895403968</v>
      </c>
      <c r="N51" s="451">
        <f>'Rates &amp; Misc'!H21</f>
        <v>66.666666666666671</v>
      </c>
      <c r="O51" s="395">
        <f>D51</f>
        <v>800</v>
      </c>
      <c r="P51" s="669">
        <f>M51/N51</f>
        <v>420.95077343105947</v>
      </c>
      <c r="Q51" s="671">
        <f>P51/'Rates &amp; Misc'!$C$4</f>
        <v>0.20238017953416321</v>
      </c>
      <c r="S51" s="118" t="s">
        <v>326</v>
      </c>
      <c r="T51" s="576">
        <f>ProjectData!C52</f>
        <v>31921.589189189188</v>
      </c>
      <c r="U51" s="576">
        <f>ProjectData!D52</f>
        <v>63843.178378378376</v>
      </c>
      <c r="V51" s="642">
        <f>W51/'Rates &amp; Misc'!I$20</f>
        <v>66.666666666666671</v>
      </c>
      <c r="W51" s="395">
        <f>ProjectData!B52</f>
        <v>800</v>
      </c>
      <c r="X51" s="620">
        <f>U51/V51</f>
        <v>957.6476756756756</v>
      </c>
      <c r="Y51" s="563">
        <f>X51/'Rates &amp; Misc'!$C$4</f>
        <v>0.46040753638253634</v>
      </c>
      <c r="Z51" s="375">
        <f>IF(C$13="Simple",(M51*ProjectData!B$29)/'Default Data'!N51/'Rates &amp; Misc'!C$4,(U51*ProjectData!B$29)/'Default Data'!V51/'Rates &amp; Misc'!C$4)</f>
        <v>2.3020376819126817E-2</v>
      </c>
      <c r="AA51" s="379">
        <f>IF(C$13="Simple",Q51+Z51,Y51+Z51)*Calculations!D19</f>
        <v>0</v>
      </c>
      <c r="AB51" s="591">
        <v>1</v>
      </c>
      <c r="AC51" s="369">
        <f t="shared" si="16"/>
        <v>63843.178378378376</v>
      </c>
      <c r="AD51" s="368">
        <f t="shared" si="17"/>
        <v>0</v>
      </c>
      <c r="AG51" s="368">
        <f t="shared" ref="AG51:AG67" si="20">SUM(AC51:AF51)</f>
        <v>63843.178378378376</v>
      </c>
      <c r="AM51" s="368">
        <f t="shared" ref="AM51:AM67" si="21">AC51</f>
        <v>63843.178378378376</v>
      </c>
      <c r="AO51" s="99">
        <f t="shared" ref="AO51:AO67" si="22">AE51</f>
        <v>0</v>
      </c>
      <c r="AP51" s="368">
        <f t="shared" ref="AP51:AP67" si="23">AD51</f>
        <v>0</v>
      </c>
      <c r="AS51" s="379">
        <f t="shared" ref="AS51:AS67" si="24">IF(AM51&gt;0,AA51,0)</f>
        <v>0</v>
      </c>
      <c r="AT51" s="379">
        <f t="shared" ref="AT51:AT67" si="25">IF(AN51&gt;0,AA51,0)</f>
        <v>0</v>
      </c>
    </row>
    <row r="52" spans="1:46" x14ac:dyDescent="0.25">
      <c r="A52" s="217"/>
      <c r="B52" s="99" t="s">
        <v>936</v>
      </c>
      <c r="D52" s="355">
        <f>'Rates &amp; Misc'!G22</f>
        <v>5950</v>
      </c>
      <c r="E52" s="395">
        <f>D52*'Default Data'!$K$24</f>
        <v>237416.81959459459</v>
      </c>
      <c r="F52" s="396">
        <f t="shared" si="18"/>
        <v>474833.63918918918</v>
      </c>
      <c r="H52" s="370">
        <f>IF(ProjectData!$B$13="UNITED STATES",1,'Local Share'!D21)</f>
        <v>0</v>
      </c>
      <c r="I52" s="370"/>
      <c r="J52" s="99" t="s">
        <v>337</v>
      </c>
      <c r="K52" s="576">
        <f t="shared" si="19"/>
        <v>104360.7125797835</v>
      </c>
      <c r="L52" s="825">
        <f t="shared" si="14"/>
        <v>6.026191297823498E-2</v>
      </c>
      <c r="M52" s="827">
        <f t="shared" si="15"/>
        <v>208721.42515956701</v>
      </c>
      <c r="N52" s="354"/>
      <c r="O52" s="395">
        <f>D52</f>
        <v>5950</v>
      </c>
      <c r="P52" s="669"/>
      <c r="Q52" s="672"/>
      <c r="S52" t="s">
        <v>337</v>
      </c>
      <c r="T52" s="576">
        <f>ProjectData!C53</f>
        <v>237416.81959459459</v>
      </c>
      <c r="U52" s="576">
        <f>ProjectData!D53</f>
        <v>474833.63918918918</v>
      </c>
      <c r="V52" s="642"/>
      <c r="W52" s="395">
        <f>ProjectData!B53</f>
        <v>5950</v>
      </c>
      <c r="X52" s="620"/>
      <c r="Y52" s="365"/>
      <c r="Z52" s="375"/>
      <c r="AA52" s="379">
        <f>IF(C$13="Simple",Q52+Z52,Y52+Z52)*Calculations!D20</f>
        <v>0</v>
      </c>
      <c r="AB52" s="379"/>
      <c r="AC52" s="369">
        <f t="shared" si="16"/>
        <v>0</v>
      </c>
      <c r="AD52" s="368">
        <f t="shared" si="17"/>
        <v>474833.63918918918</v>
      </c>
      <c r="AG52" s="368">
        <f t="shared" si="20"/>
        <v>474833.63918918918</v>
      </c>
      <c r="AM52" s="368">
        <f t="shared" si="21"/>
        <v>0</v>
      </c>
      <c r="AO52" s="99">
        <f t="shared" si="22"/>
        <v>0</v>
      </c>
      <c r="AP52" s="368">
        <f t="shared" si="23"/>
        <v>474833.63918918918</v>
      </c>
      <c r="AS52" s="379">
        <f t="shared" si="24"/>
        <v>0</v>
      </c>
      <c r="AT52" s="379">
        <f t="shared" si="25"/>
        <v>0</v>
      </c>
    </row>
    <row r="53" spans="1:46" x14ac:dyDescent="0.25">
      <c r="A53" s="217"/>
      <c r="B53" t="s">
        <v>755</v>
      </c>
      <c r="D53" s="355">
        <f>'Rates &amp; Misc'!G23</f>
        <v>2649.9999999999995</v>
      </c>
      <c r="E53" s="395">
        <f>D53*(K$24*'Rates &amp; Misc'!M$25)</f>
        <v>63444.158513513496</v>
      </c>
      <c r="F53" s="396">
        <f t="shared" si="18"/>
        <v>126888.31702702699</v>
      </c>
      <c r="H53" s="370">
        <f>IF(ProjectData!$B$13="UNITED STATES",1,'Local Share'!D22)</f>
        <v>0</v>
      </c>
      <c r="I53" s="370"/>
      <c r="J53" t="s">
        <v>755</v>
      </c>
      <c r="K53" s="576">
        <f t="shared" si="19"/>
        <v>27887.98873980769</v>
      </c>
      <c r="L53" s="825">
        <f t="shared" si="14"/>
        <v>1.6103603636200607E-2</v>
      </c>
      <c r="M53" s="827">
        <f t="shared" si="15"/>
        <v>55775.97747961538</v>
      </c>
      <c r="N53" s="451">
        <f>'Rates &amp; Misc'!H23</f>
        <v>55.208333333333321</v>
      </c>
      <c r="O53" s="395">
        <f>D53</f>
        <v>2649.9999999999995</v>
      </c>
      <c r="P53" s="669">
        <f>M53/N53</f>
        <v>1010.2818562345429</v>
      </c>
      <c r="Q53" s="671">
        <f>P53/'Rates &amp; Misc'!$C$4</f>
        <v>0.48571243088199179</v>
      </c>
      <c r="S53" t="s">
        <v>755</v>
      </c>
      <c r="T53" s="576">
        <f>ProjectData!C54</f>
        <v>63444.158513513496</v>
      </c>
      <c r="U53" s="576">
        <f>ProjectData!D54</f>
        <v>126888.31702702699</v>
      </c>
      <c r="V53" s="642">
        <f>W53/('Rates &amp; Misc'!P23*'Rates &amp; Misc'!P25)</f>
        <v>55.208333333333321</v>
      </c>
      <c r="W53" s="395">
        <f>ProjectData!B54</f>
        <v>2649.9999999999995</v>
      </c>
      <c r="X53" s="620">
        <f>U53/V53</f>
        <v>2298.3544216216214</v>
      </c>
      <c r="Y53" s="563">
        <f>X53/'Rates &amp; Misc'!$C$4</f>
        <v>1.1049780873180872</v>
      </c>
      <c r="Z53" s="375">
        <f>IF(C$13="Simple",(M53*ProjectData!B$29)/'Default Data'!N53/'Rates &amp; Misc'!C$4,(U53*ProjectData!B$29)/'Default Data'!V53/'Rates &amp; Misc'!C$4)</f>
        <v>5.5248904365904364E-2</v>
      </c>
      <c r="AA53" s="379">
        <f>IF(C$13="Simple",Q53+Z53,Y53+Z53)*Calculations!D21</f>
        <v>0</v>
      </c>
      <c r="AB53" s="591">
        <v>1</v>
      </c>
      <c r="AC53" s="369">
        <f t="shared" si="16"/>
        <v>126888.31702702699</v>
      </c>
      <c r="AD53" s="368">
        <f t="shared" si="17"/>
        <v>0</v>
      </c>
      <c r="AG53" s="368">
        <f t="shared" si="20"/>
        <v>126888.31702702699</v>
      </c>
      <c r="AN53" s="368">
        <f>AC53</f>
        <v>126888.31702702699</v>
      </c>
      <c r="AO53" s="99">
        <f t="shared" si="22"/>
        <v>0</v>
      </c>
      <c r="AP53" s="368">
        <f t="shared" si="23"/>
        <v>0</v>
      </c>
      <c r="AS53" s="379">
        <f t="shared" si="24"/>
        <v>0</v>
      </c>
      <c r="AT53" s="379">
        <f t="shared" si="25"/>
        <v>0</v>
      </c>
    </row>
    <row r="54" spans="1:46" x14ac:dyDescent="0.25">
      <c r="B54" t="s">
        <v>754</v>
      </c>
      <c r="C54" s="396"/>
      <c r="D54" s="355">
        <f>'Rates &amp; Misc'!G24</f>
        <v>7858</v>
      </c>
      <c r="E54" s="395">
        <f>D54*(K$24*'Rates &amp; Misc'!M$25)</f>
        <v>188129.88588648647</v>
      </c>
      <c r="F54" s="396">
        <f t="shared" si="18"/>
        <v>376259.77177297295</v>
      </c>
      <c r="H54" s="370">
        <f>IF(ProjectData!$B$13="UNITED STATES",1,'Local Share'!D23)</f>
        <v>0</v>
      </c>
      <c r="I54" s="370"/>
      <c r="J54" t="s">
        <v>754</v>
      </c>
      <c r="K54" s="576">
        <f t="shared" si="19"/>
        <v>83663.966219423062</v>
      </c>
      <c r="L54" s="825">
        <f t="shared" si="14"/>
        <v>4.8310810908601821E-2</v>
      </c>
      <c r="M54" s="827">
        <f t="shared" si="15"/>
        <v>167327.93243884612</v>
      </c>
      <c r="N54" s="354"/>
      <c r="O54" s="395"/>
      <c r="P54" s="669"/>
      <c r="Q54" s="671">
        <f>P54/'Rates &amp; Misc'!$C$4</f>
        <v>0</v>
      </c>
      <c r="S54" t="s">
        <v>754</v>
      </c>
      <c r="T54" s="576">
        <f>ProjectData!C55</f>
        <v>188129.88588648647</v>
      </c>
      <c r="U54" s="576">
        <f>ProjectData!D55</f>
        <v>376259.77177297295</v>
      </c>
      <c r="V54" s="642"/>
      <c r="W54" s="395"/>
      <c r="X54" s="620"/>
      <c r="Y54" s="563">
        <f>X54/'Rates &amp; Misc'!$C$4</f>
        <v>0</v>
      </c>
      <c r="Z54" s="375"/>
      <c r="AA54" s="379">
        <f>IF(C$13="Simple",Q54+Z54,Y54+Z54)*Calculations!D22</f>
        <v>0</v>
      </c>
      <c r="AB54" s="379"/>
      <c r="AC54" s="369">
        <f t="shared" si="16"/>
        <v>0</v>
      </c>
      <c r="AD54" s="368">
        <f t="shared" si="17"/>
        <v>376259.77177297295</v>
      </c>
      <c r="AG54" s="368">
        <f t="shared" si="20"/>
        <v>376259.77177297295</v>
      </c>
      <c r="AM54" s="368">
        <f t="shared" si="21"/>
        <v>0</v>
      </c>
      <c r="AO54" s="99">
        <f t="shared" si="22"/>
        <v>0</v>
      </c>
      <c r="AP54" s="368">
        <f t="shared" si="23"/>
        <v>376259.77177297295</v>
      </c>
      <c r="AS54" s="379">
        <f t="shared" si="24"/>
        <v>0</v>
      </c>
      <c r="AT54" s="379">
        <f t="shared" si="25"/>
        <v>0</v>
      </c>
    </row>
    <row r="55" spans="1:46" x14ac:dyDescent="0.25">
      <c r="B55" s="99" t="s">
        <v>111</v>
      </c>
      <c r="D55" s="355">
        <f>'Rates &amp; Misc'!G25</f>
        <v>1400</v>
      </c>
      <c r="E55" s="395">
        <f>D55*'Default Data'!K23</f>
        <v>65720.91891891892</v>
      </c>
      <c r="F55" s="396">
        <f t="shared" si="18"/>
        <v>131441.83783783784</v>
      </c>
      <c r="H55" s="370">
        <f>IF(ProjectData!$B$13="UNITED STATES",1,'Local Share'!D24)</f>
        <v>0</v>
      </c>
      <c r="I55" s="370"/>
      <c r="J55" s="99" t="s">
        <v>111</v>
      </c>
      <c r="K55" s="576">
        <f t="shared" si="19"/>
        <v>28888.778568798203</v>
      </c>
      <c r="L55" s="825">
        <f t="shared" si="14"/>
        <v>1.6681498402279581E-2</v>
      </c>
      <c r="M55" s="827">
        <f t="shared" si="15"/>
        <v>57777.557137596406</v>
      </c>
      <c r="N55" s="451">
        <f>'Rates &amp; Misc'!H25</f>
        <v>58.333333333333336</v>
      </c>
      <c r="O55" s="395">
        <f>D55</f>
        <v>1400</v>
      </c>
      <c r="P55" s="669">
        <f>M55/N55</f>
        <v>990.47240807308117</v>
      </c>
      <c r="Q55" s="671">
        <f>P55/'Rates &amp; Misc'!$C$4</f>
        <v>0.47618865772744284</v>
      </c>
      <c r="S55" t="s">
        <v>111</v>
      </c>
      <c r="T55" s="576">
        <f>ProjectData!C56</f>
        <v>65720.91891891892</v>
      </c>
      <c r="U55" s="576">
        <f>ProjectData!D56</f>
        <v>131441.83783783784</v>
      </c>
      <c r="V55" s="642">
        <f>W55/'Rates &amp; Misc'!I$25</f>
        <v>58.333333333333336</v>
      </c>
      <c r="W55" s="395">
        <f>ProjectData!B56</f>
        <v>1400</v>
      </c>
      <c r="X55" s="620">
        <f>U55/V55</f>
        <v>2253.2886486486486</v>
      </c>
      <c r="Y55" s="563">
        <f>X55/'Rates &amp; Misc'!$C$4</f>
        <v>1.0833118503118504</v>
      </c>
      <c r="Z55" s="375">
        <f>IF(C$13="Simple",(M55*ProjectData!B$29)/'Default Data'!N55/'Rates &amp; Misc'!C$4,(U55*ProjectData!B$29)/'Default Data'!V55/'Rates &amp; Misc'!C$4)</f>
        <v>5.4165592515592519E-2</v>
      </c>
      <c r="AA55" s="379">
        <f>IF(C$13="Simple",Q55+Z55,Y55+Z55)*Calculations!D23</f>
        <v>0</v>
      </c>
      <c r="AB55" s="591">
        <v>1</v>
      </c>
      <c r="AC55" s="369">
        <f t="shared" si="16"/>
        <v>131441.83783783784</v>
      </c>
      <c r="AD55" s="368">
        <f t="shared" si="17"/>
        <v>0</v>
      </c>
      <c r="AG55" s="368">
        <f t="shared" si="20"/>
        <v>131441.83783783784</v>
      </c>
      <c r="AM55" s="368">
        <f t="shared" si="21"/>
        <v>131441.83783783784</v>
      </c>
      <c r="AO55" s="99">
        <f t="shared" si="22"/>
        <v>0</v>
      </c>
      <c r="AP55" s="368">
        <f t="shared" si="23"/>
        <v>0</v>
      </c>
      <c r="AS55" s="379">
        <f t="shared" si="24"/>
        <v>0</v>
      </c>
      <c r="AT55" s="379">
        <f t="shared" si="25"/>
        <v>0</v>
      </c>
    </row>
    <row r="56" spans="1:46" x14ac:dyDescent="0.25">
      <c r="B56" s="99" t="s">
        <v>332</v>
      </c>
      <c r="D56" s="355">
        <f>'Rates &amp; Misc'!G26</f>
        <v>15000</v>
      </c>
      <c r="E56" s="395">
        <f>D56*'Default Data'!K$24</f>
        <v>598529.79729729728</v>
      </c>
      <c r="F56" s="396">
        <f t="shared" si="18"/>
        <v>1197059.5945945946</v>
      </c>
      <c r="H56" s="370">
        <f>IF(ProjectData!$B$13="UNITED STATES",1,'Local Share'!D25)</f>
        <v>0</v>
      </c>
      <c r="I56" s="370"/>
      <c r="J56" s="99" t="s">
        <v>332</v>
      </c>
      <c r="K56" s="576">
        <f t="shared" si="19"/>
        <v>280633.84895403963</v>
      </c>
      <c r="L56" s="825">
        <f t="shared" si="14"/>
        <v>0.16204884162214447</v>
      </c>
      <c r="M56" s="827">
        <f t="shared" si="15"/>
        <v>561267.69790807925</v>
      </c>
      <c r="N56" s="564"/>
      <c r="O56" s="395">
        <f>D56</f>
        <v>15000</v>
      </c>
      <c r="P56" s="669"/>
      <c r="Q56" s="672"/>
      <c r="S56" t="s">
        <v>332</v>
      </c>
      <c r="T56" s="576">
        <f>ProjectData!C57</f>
        <v>598529.79729729728</v>
      </c>
      <c r="U56" s="576">
        <f>ProjectData!D57</f>
        <v>1197059.5945945946</v>
      </c>
      <c r="V56" s="643"/>
      <c r="W56" s="395">
        <f>ProjectData!B57</f>
        <v>15000</v>
      </c>
      <c r="X56" s="620"/>
      <c r="Y56" s="365"/>
      <c r="Z56" s="375"/>
      <c r="AA56" s="379">
        <f>IF(C$13="Simple",Q56+Z56,Y56+Z56)*Calculations!D24</f>
        <v>0</v>
      </c>
      <c r="AB56" s="379"/>
      <c r="AC56" s="369">
        <f t="shared" si="16"/>
        <v>0</v>
      </c>
      <c r="AD56" s="368">
        <f>IF($C$13="Simple",(M56-AC56-AC57-AF57)*AH56,(U56-AC56-AC57-AF57)*AH56)</f>
        <v>506595.62043243239</v>
      </c>
      <c r="AE56" s="368">
        <f>AD56</f>
        <v>506595.62043243239</v>
      </c>
      <c r="AG56" s="368">
        <f t="shared" si="20"/>
        <v>1013191.2408648648</v>
      </c>
      <c r="AH56" s="584">
        <v>0.5</v>
      </c>
      <c r="AI56" s="99" t="s">
        <v>899</v>
      </c>
      <c r="AM56" s="368">
        <f t="shared" si="21"/>
        <v>0</v>
      </c>
      <c r="AN56" s="368">
        <f>AE56+AD56</f>
        <v>1013191.2408648648</v>
      </c>
      <c r="AP56" s="368"/>
      <c r="AS56" s="379">
        <f t="shared" si="24"/>
        <v>0</v>
      </c>
      <c r="AT56" s="379">
        <f t="shared" si="25"/>
        <v>0</v>
      </c>
    </row>
    <row r="57" spans="1:46" x14ac:dyDescent="0.25">
      <c r="B57" s="99" t="s">
        <v>922</v>
      </c>
      <c r="D57" s="355">
        <f>'Rates &amp; Misc'!C51</f>
        <v>2304</v>
      </c>
      <c r="E57" s="395">
        <f>D57*'Default Data'!K$24</f>
        <v>91934.176864864858</v>
      </c>
      <c r="F57" s="396">
        <f t="shared" si="18"/>
        <v>183868.35372972972</v>
      </c>
      <c r="H57" s="370">
        <f>IF(ProjectData!$B$13="UNITED STATES",1,'Local Share'!D26)</f>
        <v>0</v>
      </c>
      <c r="I57" s="370"/>
      <c r="J57" t="s">
        <v>1045</v>
      </c>
      <c r="K57" s="576">
        <f t="shared" si="19"/>
        <v>0</v>
      </c>
      <c r="L57" s="825">
        <f t="shared" si="14"/>
        <v>0</v>
      </c>
      <c r="M57" s="827">
        <f>((O57*6)/O56)*M56</f>
        <v>517264.31039208581</v>
      </c>
      <c r="N57" s="642">
        <f>O57/('Rates &amp; Misc'!$C$47*'Rates &amp; Misc'!$C$48*'Rates &amp; Misc'!$C$49)</f>
        <v>16</v>
      </c>
      <c r="O57" s="395">
        <f>D57</f>
        <v>2304</v>
      </c>
      <c r="P57" s="669">
        <f>'Rates &amp; Misc'!C47*'Rates &amp; Misc'!C48*'Rates &amp; Misc'!C49*K24*C23</f>
        <v>11491.772108108107</v>
      </c>
      <c r="Q57" s="671">
        <f>P57/'Rates &amp; Misc'!$C$4</f>
        <v>5.5248904365904359</v>
      </c>
      <c r="S57" t="s">
        <v>1045</v>
      </c>
      <c r="T57" s="576">
        <f>ProjectData!C58</f>
        <v>91934.176864864858</v>
      </c>
      <c r="U57" s="576">
        <f>ProjectData!D58</f>
        <v>183868.35372972972</v>
      </c>
      <c r="V57" s="642">
        <f>W57/('Rates &amp; Misc'!$C$47*'Rates &amp; Misc'!$C$48*'Rates &amp; Misc'!$C$49)</f>
        <v>16</v>
      </c>
      <c r="W57" s="395">
        <f>ProjectData!B58</f>
        <v>2304</v>
      </c>
      <c r="X57" s="620">
        <f>U57/V57</f>
        <v>11491.772108108107</v>
      </c>
      <c r="Y57" s="563">
        <f>X57/'Rates &amp; Misc'!$C$4</f>
        <v>5.5248904365904359</v>
      </c>
      <c r="Z57" s="375">
        <f>IF(C$13="Simple",(M57*ProjectData!B$29)/'Default Data'!N57/'Rates &amp; Misc'!C$4,(U57*ProjectData!B$29)/'Default Data'!V57/'Rates &amp; Misc'!C$4)</f>
        <v>0.27624452182952181</v>
      </c>
      <c r="AA57" s="379">
        <f>IF(C$13="Simple",Q57+Z57,Y57+Z57)*Calculations!D25</f>
        <v>0</v>
      </c>
      <c r="AB57" s="591">
        <v>1</v>
      </c>
      <c r="AC57" s="369">
        <f t="shared" si="16"/>
        <v>183868.35372972972</v>
      </c>
      <c r="AD57" s="368">
        <f>IF($C$13="Simple",M57-AC57,U57-AC57)</f>
        <v>0</v>
      </c>
      <c r="AG57" s="368">
        <f t="shared" si="20"/>
        <v>183868.35372972972</v>
      </c>
      <c r="AN57" s="368">
        <f>AC57</f>
        <v>183868.35372972972</v>
      </c>
      <c r="AO57" s="99">
        <f t="shared" si="22"/>
        <v>0</v>
      </c>
      <c r="AP57" s="368">
        <f t="shared" si="23"/>
        <v>0</v>
      </c>
      <c r="AS57" s="379">
        <f t="shared" si="24"/>
        <v>0</v>
      </c>
      <c r="AT57" s="379">
        <f t="shared" si="25"/>
        <v>0</v>
      </c>
    </row>
    <row r="58" spans="1:46" x14ac:dyDescent="0.25">
      <c r="B58" s="99" t="s">
        <v>98</v>
      </c>
      <c r="D58" s="396"/>
      <c r="E58" s="592">
        <v>5000</v>
      </c>
      <c r="F58" s="396">
        <f t="shared" si="18"/>
        <v>10000</v>
      </c>
      <c r="H58" s="370">
        <f>IF(ProjectData!$B$13="UNITED STATES",1,'Local Share'!D27)</f>
        <v>0</v>
      </c>
      <c r="I58" s="370"/>
      <c r="J58" s="99" t="s">
        <v>98</v>
      </c>
      <c r="K58" s="576">
        <f t="shared" si="19"/>
        <v>1648.3780418019644</v>
      </c>
      <c r="L58" s="825">
        <f t="shared" si="14"/>
        <v>9.5183725421922984E-4</v>
      </c>
      <c r="M58" s="827">
        <f t="shared" ref="M58:M68" si="26">K58*(C$23)</f>
        <v>3296.7560836039288</v>
      </c>
      <c r="N58" s="678">
        <f>'Rates &amp; Misc'!H28</f>
        <v>60</v>
      </c>
      <c r="P58" s="669">
        <f>K58/N58*C23</f>
        <v>54.945934726732148</v>
      </c>
      <c r="Q58" s="671">
        <f>P58/'Rates &amp; Misc'!$C$4</f>
        <v>2.6416314772467378E-2</v>
      </c>
      <c r="S58" t="s">
        <v>98</v>
      </c>
      <c r="T58" s="576">
        <f>ProjectData!C59</f>
        <v>5000</v>
      </c>
      <c r="U58" s="576">
        <f>ProjectData!D59</f>
        <v>10000</v>
      </c>
      <c r="V58" s="642">
        <f>ProjectData!B192*ProjectData!B$190</f>
        <v>60</v>
      </c>
      <c r="X58" s="620">
        <f>U58/V58</f>
        <v>166.66666666666666</v>
      </c>
      <c r="Y58" s="563">
        <f>X58/'Rates &amp; Misc'!$C$4</f>
        <v>8.0128205128205121E-2</v>
      </c>
      <c r="Z58" s="375">
        <f>IF(C$13="Simple",(M58*ProjectData!B$29)/'Default Data'!N58/'Rates &amp; Misc'!C$4,(U58*ProjectData!B$29)/'Default Data'!V58/'Rates &amp; Misc'!C$4)</f>
        <v>4.0064102564102569E-3</v>
      </c>
      <c r="AA58" s="379">
        <f>IF(C$13="Simple",Q58+Z58,Y58+Z58)*Calculations!D26</f>
        <v>0</v>
      </c>
      <c r="AB58" s="591">
        <v>1</v>
      </c>
      <c r="AC58" s="369">
        <f t="shared" si="16"/>
        <v>10000</v>
      </c>
      <c r="AD58" s="368">
        <f>IF($C$13="Simple",M58-AC58,U58-AC58)</f>
        <v>0</v>
      </c>
      <c r="AG58" s="368">
        <f t="shared" si="20"/>
        <v>10000</v>
      </c>
      <c r="AM58" s="368">
        <f t="shared" si="21"/>
        <v>10000</v>
      </c>
      <c r="AO58" s="99">
        <f t="shared" si="22"/>
        <v>0</v>
      </c>
      <c r="AP58" s="368">
        <f t="shared" si="23"/>
        <v>0</v>
      </c>
      <c r="AS58" s="379">
        <f t="shared" si="24"/>
        <v>0</v>
      </c>
      <c r="AT58" s="379">
        <f t="shared" si="25"/>
        <v>0</v>
      </c>
    </row>
    <row r="59" spans="1:46" x14ac:dyDescent="0.25">
      <c r="B59" s="99" t="s">
        <v>334</v>
      </c>
      <c r="D59" s="396"/>
      <c r="E59" s="592">
        <f>125000</f>
        <v>125000</v>
      </c>
      <c r="F59" s="396">
        <f t="shared" si="18"/>
        <v>250000</v>
      </c>
      <c r="H59" s="370">
        <f>IF(ProjectData!$B$13="UNITED STATES",1,'Local Share'!D28)</f>
        <v>1</v>
      </c>
      <c r="I59" s="370"/>
      <c r="J59" s="99" t="s">
        <v>334</v>
      </c>
      <c r="K59" s="576">
        <f t="shared" si="19"/>
        <v>41209.451045049114</v>
      </c>
      <c r="L59" s="825">
        <f t="shared" si="14"/>
        <v>2.3795931355480748E-2</v>
      </c>
      <c r="M59" s="827">
        <f t="shared" si="26"/>
        <v>82418.902090098229</v>
      </c>
      <c r="N59" s="678">
        <f>'Rates &amp; Misc'!H29</f>
        <v>20.549999999999997</v>
      </c>
      <c r="P59" s="669">
        <f>(K59*AB59)/N59*C23</f>
        <v>641.70434717351429</v>
      </c>
      <c r="Q59" s="671">
        <f>P59/'Rates &amp; Misc'!$C$4</f>
        <v>0.30851170537188188</v>
      </c>
      <c r="S59" t="s">
        <v>334</v>
      </c>
      <c r="T59" s="576">
        <f>ProjectData!C60</f>
        <v>125000</v>
      </c>
      <c r="U59" s="576">
        <f>ProjectData!D60</f>
        <v>250000</v>
      </c>
      <c r="V59" s="642">
        <f>ProjectData!B193*ProjectData!B$190</f>
        <v>20.549999999999997</v>
      </c>
      <c r="X59" s="620">
        <f>(U59*AB59)/V59</f>
        <v>1946.4720194647205</v>
      </c>
      <c r="Y59" s="563">
        <f>X59/'Rates &amp; Misc'!$C$4</f>
        <v>0.93580385551188483</v>
      </c>
      <c r="Z59" s="375">
        <f>IF(C$13="Simple",(M59*ProjectData!B$29)/'Default Data'!N59/'Rates &amp; Misc'!C$4,(U59*ProjectData!B$29)/'Default Data'!V59/'Rates &amp; Misc'!C$4)</f>
        <v>0.29243870484746404</v>
      </c>
      <c r="AA59" s="379">
        <f>IF(C$13="Simple",Q59+Z59,Y59+Z59)*Calculations!D27</f>
        <v>1.228242560359349</v>
      </c>
      <c r="AB59" s="375">
        <f>C$110</f>
        <v>0.16</v>
      </c>
      <c r="AC59" s="369">
        <f t="shared" si="16"/>
        <v>40000</v>
      </c>
      <c r="AD59" s="368">
        <f>IF($C$13="Simple",M59-AC59,U59-AC59)</f>
        <v>210000</v>
      </c>
      <c r="AG59" s="368">
        <f t="shared" si="20"/>
        <v>250000</v>
      </c>
      <c r="AN59" s="368">
        <f>AC59</f>
        <v>40000</v>
      </c>
      <c r="AO59" s="99">
        <f t="shared" si="22"/>
        <v>0</v>
      </c>
      <c r="AP59" s="368">
        <f t="shared" si="23"/>
        <v>210000</v>
      </c>
      <c r="AS59" s="379">
        <f t="shared" si="24"/>
        <v>0</v>
      </c>
      <c r="AT59" s="379">
        <f t="shared" si="25"/>
        <v>1.228242560359349</v>
      </c>
    </row>
    <row r="60" spans="1:46" x14ac:dyDescent="0.25">
      <c r="B60" s="99" t="s">
        <v>876</v>
      </c>
      <c r="D60" s="593">
        <f>(0.0000000144*G15^4)-(0.000149*G15^3)+(0.636*G15^2-406*G15)</f>
        <v>978103.12500000023</v>
      </c>
      <c r="E60" s="639">
        <f>D60</f>
        <v>978103.12500000023</v>
      </c>
      <c r="F60" s="396">
        <f t="shared" si="18"/>
        <v>1956206.2500000005</v>
      </c>
      <c r="H60" s="370">
        <f>IF(ProjectData!$B$13="UNITED STATES",1,'Local Share'!D29)</f>
        <v>1</v>
      </c>
      <c r="I60" s="370"/>
      <c r="J60" s="99" t="s">
        <v>387</v>
      </c>
      <c r="K60" s="576">
        <f t="shared" si="19"/>
        <v>543766.94842963223</v>
      </c>
      <c r="L60" s="825">
        <f t="shared" si="14"/>
        <v>0.31399207342183966</v>
      </c>
      <c r="M60" s="827">
        <f t="shared" si="26"/>
        <v>1087533.8968592645</v>
      </c>
      <c r="N60" s="678">
        <f>'Rates &amp; Misc'!H30</f>
        <v>25.305</v>
      </c>
      <c r="P60" s="669">
        <f>K60*AB60/N60*C23</f>
        <v>6876.3257655594671</v>
      </c>
      <c r="Q60" s="671">
        <f>P60/'Rates &amp; Misc'!$C$4</f>
        <v>3.305925848826667</v>
      </c>
      <c r="S60" t="s">
        <v>387</v>
      </c>
      <c r="T60" s="576">
        <f>ProjectData!C61</f>
        <v>978103.12500000023</v>
      </c>
      <c r="U60" s="576">
        <f>ProjectData!D61</f>
        <v>1956206.2500000005</v>
      </c>
      <c r="V60" s="642">
        <f>ProjectData!B194*ProjectData!B$190</f>
        <v>25.305</v>
      </c>
      <c r="X60" s="620">
        <f>(U60*AB60)/V60</f>
        <v>12368.820391227033</v>
      </c>
      <c r="Y60" s="563">
        <f>X60/'Rates &amp; Misc'!$C$4</f>
        <v>5.9465482650129964</v>
      </c>
      <c r="Z60" s="375">
        <f>IF(C$13="Simple",(M60*ProjectData!B$29)/'Default Data'!N60/'Rates &amp; Misc'!C$4,(U60*ProjectData!B$29)/'Default Data'!V60/'Rates &amp; Misc'!C$4)</f>
        <v>1.8582963328165616</v>
      </c>
      <c r="AA60" s="379">
        <f>IF(C$13="Simple",Q60+Z60,Y60+Z60)*Calculations!D28</f>
        <v>7.8048445978295575</v>
      </c>
      <c r="AB60" s="375">
        <f>C$110</f>
        <v>0.16</v>
      </c>
      <c r="AC60" s="369">
        <f t="shared" si="16"/>
        <v>312993.00000000006</v>
      </c>
      <c r="AD60" s="368">
        <f>IF($C$13="Simple",M60-AC60,U60-AC60)</f>
        <v>1643213.2500000005</v>
      </c>
      <c r="AG60" s="368">
        <f t="shared" si="20"/>
        <v>1956206.2500000005</v>
      </c>
      <c r="AN60" s="368">
        <f>AC60</f>
        <v>312993.00000000006</v>
      </c>
      <c r="AO60" s="99">
        <f t="shared" si="22"/>
        <v>0</v>
      </c>
      <c r="AP60" s="368">
        <f t="shared" si="23"/>
        <v>1643213.2500000005</v>
      </c>
      <c r="AS60" s="379">
        <f t="shared" si="24"/>
        <v>0</v>
      </c>
      <c r="AT60" s="379">
        <f t="shared" si="25"/>
        <v>7.8048445978295575</v>
      </c>
    </row>
    <row r="61" spans="1:46" x14ac:dyDescent="0.25">
      <c r="B61" s="99" t="s">
        <v>335</v>
      </c>
      <c r="E61" s="592">
        <f>125000</f>
        <v>125000</v>
      </c>
      <c r="F61" s="396">
        <f t="shared" si="18"/>
        <v>250000</v>
      </c>
      <c r="H61" s="370">
        <f>IF(ProjectData!$B$13="UNITED STATES",1,'Local Share'!D30)</f>
        <v>0</v>
      </c>
      <c r="I61" s="370"/>
      <c r="J61" s="99" t="s">
        <v>335</v>
      </c>
      <c r="K61" s="576">
        <f t="shared" si="19"/>
        <v>41209.451045049114</v>
      </c>
      <c r="L61" s="825">
        <f t="shared" ref="L61:L66" si="27">IF($C$25="low",Y15,IF($C$25="medium",Z15,AA15))</f>
        <v>2.3795931355480748E-2</v>
      </c>
      <c r="M61" s="827">
        <f t="shared" si="26"/>
        <v>82418.902090098229</v>
      </c>
      <c r="N61" s="678"/>
      <c r="P61" s="669"/>
      <c r="Q61" s="672"/>
      <c r="S61" t="s">
        <v>335</v>
      </c>
      <c r="T61" s="576">
        <f>ProjectData!C62</f>
        <v>125000</v>
      </c>
      <c r="U61" s="576">
        <f>ProjectData!D62</f>
        <v>250000</v>
      </c>
      <c r="V61" s="642"/>
      <c r="X61" s="620"/>
      <c r="Y61" s="365"/>
      <c r="Z61" s="375"/>
      <c r="AA61" s="379">
        <f>IF(C$13="Simple",Q61+Z61,Y61+Z61)*Calculations!D29</f>
        <v>0</v>
      </c>
      <c r="AC61" s="369">
        <f t="shared" si="16"/>
        <v>0</v>
      </c>
      <c r="AD61" s="368">
        <f>IF($C$13="Simple",M61-AC61,U61-AC61)</f>
        <v>250000</v>
      </c>
      <c r="AG61" s="368">
        <f t="shared" si="20"/>
        <v>250000</v>
      </c>
      <c r="AM61" s="368">
        <f t="shared" si="21"/>
        <v>0</v>
      </c>
      <c r="AO61" s="99">
        <f t="shared" si="22"/>
        <v>0</v>
      </c>
      <c r="AP61" s="368">
        <f t="shared" si="23"/>
        <v>250000</v>
      </c>
      <c r="AS61" s="379">
        <f t="shared" si="24"/>
        <v>0</v>
      </c>
      <c r="AT61" s="379">
        <f t="shared" si="25"/>
        <v>0</v>
      </c>
    </row>
    <row r="62" spans="1:46" x14ac:dyDescent="0.25">
      <c r="B62" s="99" t="s">
        <v>338</v>
      </c>
      <c r="E62" s="592">
        <v>225000</v>
      </c>
      <c r="F62" s="396">
        <f t="shared" si="18"/>
        <v>450000</v>
      </c>
      <c r="H62" s="370">
        <f>IF(ProjectData!$B$13="UNITED STATES",1,'Local Share'!D31)</f>
        <v>0</v>
      </c>
      <c r="I62" s="370"/>
      <c r="J62" s="99" t="s">
        <v>338</v>
      </c>
      <c r="K62" s="576">
        <f t="shared" si="19"/>
        <v>74177.011881088401</v>
      </c>
      <c r="L62" s="825">
        <f t="shared" si="27"/>
        <v>4.2832676439865346E-2</v>
      </c>
      <c r="M62" s="827">
        <f t="shared" si="26"/>
        <v>148354.0237621768</v>
      </c>
      <c r="N62" s="678">
        <f>'Rates &amp; Misc'!H31</f>
        <v>50</v>
      </c>
      <c r="P62" s="669">
        <f>K62/N62*C23</f>
        <v>2967.0804752435361</v>
      </c>
      <c r="Q62" s="671">
        <f>P62/'Rates &amp; Misc'!$C$4</f>
        <v>1.4264809977132384</v>
      </c>
      <c r="S62" t="s">
        <v>338</v>
      </c>
      <c r="T62" s="576">
        <f>ProjectData!C63</f>
        <v>225000</v>
      </c>
      <c r="U62" s="576">
        <f>ProjectData!D63</f>
        <v>450000</v>
      </c>
      <c r="V62" s="642">
        <f>ProjectData!B195*ProjectData!B$190</f>
        <v>75</v>
      </c>
      <c r="X62" s="620">
        <f>U62/V62</f>
        <v>6000</v>
      </c>
      <c r="Y62" s="563">
        <f>X62/'Rates &amp; Misc'!$C$4</f>
        <v>2.8846153846153846</v>
      </c>
      <c r="Z62" s="375"/>
      <c r="AA62" s="379">
        <f>IF(C$13="Simple",Q62+Z62,Y62+Z62)*Calculations!D30</f>
        <v>0</v>
      </c>
      <c r="AC62" s="369">
        <f t="shared" si="16"/>
        <v>0</v>
      </c>
      <c r="AE62" s="368">
        <f>IF($C$13="Simple",M62-AC62,U62-AC62)</f>
        <v>450000</v>
      </c>
      <c r="AG62" s="368">
        <f t="shared" si="20"/>
        <v>450000</v>
      </c>
      <c r="AM62" s="368">
        <f t="shared" si="21"/>
        <v>0</v>
      </c>
      <c r="AO62" s="99">
        <f t="shared" si="22"/>
        <v>450000</v>
      </c>
      <c r="AP62" s="368">
        <f t="shared" si="23"/>
        <v>0</v>
      </c>
      <c r="AS62" s="379">
        <f t="shared" si="24"/>
        <v>0</v>
      </c>
      <c r="AT62" s="379">
        <f t="shared" si="25"/>
        <v>0</v>
      </c>
    </row>
    <row r="63" spans="1:46" x14ac:dyDescent="0.25">
      <c r="B63" s="99" t="s">
        <v>336</v>
      </c>
      <c r="E63" s="592">
        <v>250000</v>
      </c>
      <c r="F63" s="396">
        <f t="shared" si="18"/>
        <v>500000</v>
      </c>
      <c r="H63" s="370">
        <f>IF(ProjectData!$B$13="UNITED STATES",1,'Local Share'!D32)</f>
        <v>1</v>
      </c>
      <c r="I63" s="370"/>
      <c r="J63" s="99" t="s">
        <v>336</v>
      </c>
      <c r="K63" s="576">
        <f t="shared" si="19"/>
        <v>82418.902090098229</v>
      </c>
      <c r="L63" s="825">
        <f t="shared" si="27"/>
        <v>4.7591862710961497E-2</v>
      </c>
      <c r="M63" s="827">
        <f t="shared" si="26"/>
        <v>164837.80418019646</v>
      </c>
      <c r="N63" s="678">
        <f>'Rates &amp; Misc'!H32</f>
        <v>20.549999999999997</v>
      </c>
      <c r="P63" s="669"/>
      <c r="Q63" s="672"/>
      <c r="S63" t="s">
        <v>336</v>
      </c>
      <c r="T63" s="576">
        <f>ProjectData!C64</f>
        <v>250000</v>
      </c>
      <c r="U63" s="576">
        <f>ProjectData!D64</f>
        <v>500000</v>
      </c>
      <c r="V63" s="642">
        <f>ProjectData!B196*ProjectData!B$190</f>
        <v>20.549999999999997</v>
      </c>
      <c r="X63" s="620"/>
      <c r="Y63" s="365"/>
      <c r="Z63" s="375"/>
      <c r="AA63" s="379">
        <f>IF(C$13="Simple",Q63+Z63,Y63+Z63)*Calculations!D31</f>
        <v>0</v>
      </c>
      <c r="AC63" s="369">
        <f t="shared" si="16"/>
        <v>0</v>
      </c>
      <c r="AD63" s="368">
        <f>IF($C$13="Simple",(M63-AC63)*AH63,(U63-AC63)*AH63)</f>
        <v>250000</v>
      </c>
      <c r="AE63" s="368">
        <f>AD63</f>
        <v>250000</v>
      </c>
      <c r="AG63" s="368">
        <f t="shared" si="20"/>
        <v>500000</v>
      </c>
      <c r="AH63" s="584">
        <f>AH56</f>
        <v>0.5</v>
      </c>
      <c r="AM63" s="368">
        <f t="shared" si="21"/>
        <v>0</v>
      </c>
      <c r="AO63" s="99">
        <f t="shared" si="22"/>
        <v>250000</v>
      </c>
      <c r="AP63" s="368">
        <f t="shared" si="23"/>
        <v>250000</v>
      </c>
      <c r="AS63" s="379">
        <f t="shared" si="24"/>
        <v>0</v>
      </c>
      <c r="AT63" s="379">
        <f t="shared" si="25"/>
        <v>0</v>
      </c>
    </row>
    <row r="64" spans="1:46" x14ac:dyDescent="0.25">
      <c r="B64" s="99" t="s">
        <v>339</v>
      </c>
      <c r="E64" s="592">
        <v>50000</v>
      </c>
      <c r="F64" s="396">
        <f t="shared" si="18"/>
        <v>100000</v>
      </c>
      <c r="H64" s="370">
        <f>IF(ProjectData!$B$13="UNITED STATES",1,'Local Share'!D33)</f>
        <v>1</v>
      </c>
      <c r="I64" s="370"/>
      <c r="J64" s="99" t="s">
        <v>339</v>
      </c>
      <c r="K64" s="576">
        <f t="shared" si="19"/>
        <v>16483.780418019644</v>
      </c>
      <c r="L64" s="825">
        <f t="shared" si="27"/>
        <v>9.5183725421922986E-3</v>
      </c>
      <c r="M64" s="827">
        <f t="shared" si="26"/>
        <v>32967.560836039287</v>
      </c>
      <c r="N64" s="678">
        <f>'Rates &amp; Misc'!H33</f>
        <v>20.549999999999997</v>
      </c>
      <c r="P64" s="669">
        <f>(K64*AB64)/N64*C23</f>
        <v>802.13043396689272</v>
      </c>
      <c r="Q64" s="671">
        <f>P64/'Rates &amp; Misc'!$C$4</f>
        <v>0.38563963171485227</v>
      </c>
      <c r="S64" t="s">
        <v>339</v>
      </c>
      <c r="T64" s="576">
        <f>ProjectData!C65</f>
        <v>50000</v>
      </c>
      <c r="U64" s="576">
        <f>ProjectData!D65</f>
        <v>100000</v>
      </c>
      <c r="V64" s="642">
        <f>ProjectData!B197*ProjectData!B$190</f>
        <v>20.549999999999997</v>
      </c>
      <c r="X64" s="620">
        <f>(U64*AB64)/V64</f>
        <v>2433.0900243309006</v>
      </c>
      <c r="Y64" s="563">
        <f>X64/'Rates &amp; Misc'!$C$4</f>
        <v>1.1697548193898561</v>
      </c>
      <c r="Z64" s="375">
        <f>IF(C$13="Simple",(M64*ProjectData!B$29)/'Default Data'!N64/'Rates &amp; Misc'!C$4,(U64*ProjectData!B$29)/'Default Data'!V64/'Rates &amp; Misc'!C$4)</f>
        <v>0.1169754819389856</v>
      </c>
      <c r="AA64" s="379">
        <f>IF(C$13="Simple",Q64+Z64,Y64+Z64)*Calculations!D32</f>
        <v>1.2867303013288418</v>
      </c>
      <c r="AB64" s="591">
        <v>0.5</v>
      </c>
      <c r="AC64" s="369">
        <f t="shared" si="16"/>
        <v>50000</v>
      </c>
      <c r="AD64" s="368">
        <f>IF($C$13="Simple",M64-AC64,U64-AC64)</f>
        <v>50000</v>
      </c>
      <c r="AG64" s="368">
        <f t="shared" si="20"/>
        <v>100000</v>
      </c>
      <c r="AM64" s="368"/>
      <c r="AO64" s="368">
        <f>AE64+AC64</f>
        <v>50000</v>
      </c>
      <c r="AP64" s="368">
        <f t="shared" si="23"/>
        <v>50000</v>
      </c>
      <c r="AS64" s="379">
        <f t="shared" si="24"/>
        <v>0</v>
      </c>
      <c r="AT64" s="379">
        <f t="shared" si="25"/>
        <v>0</v>
      </c>
    </row>
    <row r="65" spans="2:46" x14ac:dyDescent="0.25">
      <c r="B65" s="99" t="s">
        <v>29</v>
      </c>
      <c r="E65" s="592">
        <v>125000</v>
      </c>
      <c r="F65" s="396">
        <f t="shared" si="18"/>
        <v>250000</v>
      </c>
      <c r="H65" s="370">
        <f>IF(ProjectData!$B$13="UNITED STATES",1,'Local Share'!D34)</f>
        <v>1</v>
      </c>
      <c r="I65" s="370"/>
      <c r="J65" s="99" t="s">
        <v>29</v>
      </c>
      <c r="K65" s="576">
        <f t="shared" si="19"/>
        <v>41209.451045049114</v>
      </c>
      <c r="L65" s="825">
        <f t="shared" si="27"/>
        <v>2.3795931355480748E-2</v>
      </c>
      <c r="M65" s="827">
        <f t="shared" si="26"/>
        <v>82418.902090098229</v>
      </c>
      <c r="N65" s="678">
        <f>'Rates &amp; Misc'!H34</f>
        <v>26.880000000000003</v>
      </c>
      <c r="P65" s="669">
        <f>(K65*AB65/N65)*C23</f>
        <v>490.58870291725134</v>
      </c>
      <c r="Q65" s="671">
        <f>P65/'Rates &amp; Misc'!$C$4</f>
        <v>0.23585995332560161</v>
      </c>
      <c r="S65" t="s">
        <v>29</v>
      </c>
      <c r="T65" s="576">
        <f>ProjectData!C66</f>
        <v>125000</v>
      </c>
      <c r="U65" s="576">
        <f>ProjectData!D66</f>
        <v>250000</v>
      </c>
      <c r="V65" s="642">
        <f>ProjectData!B198*ProjectData!B$190</f>
        <v>26.880000000000003</v>
      </c>
      <c r="X65" s="620">
        <f>(U65*AB65)/V65</f>
        <v>1488.0952380952378</v>
      </c>
      <c r="Y65" s="563">
        <f>X65/'Rates &amp; Misc'!$C$4</f>
        <v>0.71543040293040283</v>
      </c>
      <c r="Z65" s="375"/>
      <c r="AA65" s="379">
        <f>IF(C$13="Simple",Q65+Z65,Y65+Z65)*Calculations!D33</f>
        <v>0.71543040293040283</v>
      </c>
      <c r="AB65" s="375">
        <f>C$110</f>
        <v>0.16</v>
      </c>
      <c r="AC65" s="369">
        <f t="shared" si="16"/>
        <v>40000</v>
      </c>
      <c r="AD65" s="368">
        <f>IF($C$13="Simple",M65-AC65,U65-AC65)</f>
        <v>210000</v>
      </c>
      <c r="AG65" s="368">
        <f t="shared" si="20"/>
        <v>250000</v>
      </c>
      <c r="AN65" s="368">
        <f>AC65</f>
        <v>40000</v>
      </c>
      <c r="AO65" s="99">
        <f t="shared" si="22"/>
        <v>0</v>
      </c>
      <c r="AP65" s="368">
        <f t="shared" si="23"/>
        <v>210000</v>
      </c>
      <c r="AS65" s="379">
        <f t="shared" si="24"/>
        <v>0</v>
      </c>
      <c r="AT65" s="379">
        <f t="shared" si="25"/>
        <v>0.71543040293040283</v>
      </c>
    </row>
    <row r="66" spans="2:46" x14ac:dyDescent="0.25">
      <c r="B66" s="99" t="s">
        <v>340</v>
      </c>
      <c r="E66" s="592">
        <v>25000</v>
      </c>
      <c r="F66" s="396">
        <f t="shared" si="18"/>
        <v>50000</v>
      </c>
      <c r="H66" s="370">
        <f>IF(ProjectData!$B$13="UNITED STATES",1,'Local Share'!D35)</f>
        <v>1</v>
      </c>
      <c r="I66" s="370"/>
      <c r="J66" s="99" t="s">
        <v>340</v>
      </c>
      <c r="K66" s="576">
        <f t="shared" si="19"/>
        <v>8241.8902090098218</v>
      </c>
      <c r="L66" s="825">
        <f t="shared" si="27"/>
        <v>4.7591862710961493E-3</v>
      </c>
      <c r="M66" s="827">
        <f t="shared" si="26"/>
        <v>16483.780418019644</v>
      </c>
      <c r="N66" s="678">
        <f>'Rates &amp; Misc'!H35</f>
        <v>20.549999999999997</v>
      </c>
      <c r="P66" s="669">
        <f>K66*AB66/N66*C23</f>
        <v>128.34086943470282</v>
      </c>
      <c r="Q66" s="671">
        <f>P66/'Rates &amp; Misc'!$C$4</f>
        <v>6.170234107437636E-2</v>
      </c>
      <c r="S66" t="s">
        <v>340</v>
      </c>
      <c r="T66" s="576">
        <f>ProjectData!C67</f>
        <v>25000</v>
      </c>
      <c r="U66" s="576">
        <f>ProjectData!D67</f>
        <v>50000</v>
      </c>
      <c r="V66" s="642">
        <f>ProjectData!B199*ProjectData!B$190</f>
        <v>20.549999999999997</v>
      </c>
      <c r="X66" s="620">
        <f>(U66*AB66)/V66</f>
        <v>389.2944038929441</v>
      </c>
      <c r="Y66" s="563">
        <f>X66/'Rates &amp; Misc'!$C$4</f>
        <v>0.18716077110237697</v>
      </c>
      <c r="Z66" s="375">
        <f>IF(C$13="Simple",(M66*ProjectData!B$29)/'Default Data'!N66/'Rates &amp; Misc'!C$4,(U66*ProjectData!B$29)/'Default Data'!V66/'Rates &amp; Misc'!C$4)</f>
        <v>5.8487740969492802E-2</v>
      </c>
      <c r="AA66" s="379">
        <f>IF(C$13="Simple",Q66+Z66,Y66+Z66)*Calculations!D34</f>
        <v>0.24564851207186977</v>
      </c>
      <c r="AB66" s="375">
        <f>C$110</f>
        <v>0.16</v>
      </c>
      <c r="AC66" s="369">
        <f t="shared" si="16"/>
        <v>8000</v>
      </c>
      <c r="AD66" s="368">
        <f>IF($C$13="Simple",M66-AC66,U66-AC66)</f>
        <v>42000</v>
      </c>
      <c r="AG66" s="368">
        <f t="shared" si="20"/>
        <v>50000</v>
      </c>
      <c r="AN66" s="368">
        <f>AC66</f>
        <v>8000</v>
      </c>
      <c r="AO66" s="99">
        <f t="shared" si="22"/>
        <v>0</v>
      </c>
      <c r="AP66" s="368">
        <f t="shared" si="23"/>
        <v>42000</v>
      </c>
      <c r="AS66" s="379">
        <f t="shared" si="24"/>
        <v>0</v>
      </c>
      <c r="AT66" s="379">
        <f t="shared" si="25"/>
        <v>0.24564851207186977</v>
      </c>
    </row>
    <row r="67" spans="2:46" ht="15.75" thickBot="1" x14ac:dyDescent="0.3">
      <c r="B67" s="99" t="s">
        <v>473</v>
      </c>
      <c r="E67" s="592"/>
      <c r="F67" s="396">
        <f t="shared" si="18"/>
        <v>0</v>
      </c>
      <c r="H67" s="370">
        <f>IF(ProjectData!$B$13="UNITED STATES",1,'Local Share'!D36)</f>
        <v>0</v>
      </c>
      <c r="I67" s="370"/>
      <c r="J67" s="99" t="s">
        <v>473</v>
      </c>
      <c r="K67" s="576">
        <f t="shared" si="19"/>
        <v>329675.60836039291</v>
      </c>
      <c r="L67" s="829">
        <f>1-SUM(L50:L66)</f>
        <v>0.19036745084384599</v>
      </c>
      <c r="M67" s="828">
        <f t="shared" si="26"/>
        <v>659351.21672078583</v>
      </c>
      <c r="N67" s="354"/>
      <c r="P67" s="579"/>
      <c r="Q67" s="579"/>
      <c r="S67" t="s">
        <v>473</v>
      </c>
      <c r="T67" s="576">
        <f>ProjectData!C68</f>
        <v>0</v>
      </c>
      <c r="U67" s="576">
        <f>ProjectData!D68</f>
        <v>0</v>
      </c>
      <c r="Z67" s="375"/>
      <c r="AA67" s="379"/>
      <c r="AC67" s="369">
        <f t="shared" si="16"/>
        <v>0</v>
      </c>
      <c r="AE67" s="368">
        <f>IF($C$13="Simple",M67-AC67,U67-AC67)</f>
        <v>0</v>
      </c>
      <c r="AG67" s="368">
        <f t="shared" si="20"/>
        <v>0</v>
      </c>
      <c r="AM67" s="368">
        <f t="shared" si="21"/>
        <v>0</v>
      </c>
      <c r="AO67" s="99">
        <f t="shared" si="22"/>
        <v>0</v>
      </c>
      <c r="AP67" s="368">
        <f t="shared" si="23"/>
        <v>0</v>
      </c>
      <c r="AS67" s="379">
        <f t="shared" si="24"/>
        <v>0</v>
      </c>
      <c r="AT67" s="379">
        <f t="shared" si="25"/>
        <v>0</v>
      </c>
    </row>
    <row r="68" spans="2:46" x14ac:dyDescent="0.25">
      <c r="B68" s="397" t="s">
        <v>333</v>
      </c>
      <c r="C68" s="398"/>
      <c r="D68" s="398"/>
      <c r="E68" s="399">
        <f>SUM(E50:E67)-E57</f>
        <v>3121197.6849405407</v>
      </c>
      <c r="F68" s="472">
        <f>SUM(F50:F67)-F57</f>
        <v>6242395.3698810814</v>
      </c>
      <c r="H68" s="400"/>
      <c r="I68" s="545"/>
      <c r="K68" s="1195">
        <f>K$16*L68*ProjectData!B24</f>
        <v>1731785.590966484</v>
      </c>
      <c r="L68" s="947">
        <f>SUM(L50:L67)</f>
        <v>1</v>
      </c>
      <c r="M68" s="948">
        <f t="shared" si="26"/>
        <v>3463571.1819329681</v>
      </c>
      <c r="P68" s="579"/>
      <c r="Q68" s="579"/>
      <c r="S68" t="str">
        <f>CONCATENATE("# of Exploration Wells =  ",ProjectData!B23)</f>
        <v># of Exploration Wells =  2</v>
      </c>
      <c r="U68" s="368">
        <f>SUM(U50:U67)</f>
        <v>6426263.7236108109</v>
      </c>
      <c r="V68" s="368"/>
      <c r="AA68" s="379"/>
      <c r="AC68" s="369"/>
    </row>
    <row r="69" spans="2:46" x14ac:dyDescent="0.25">
      <c r="B69" s="358"/>
      <c r="C69" s="358"/>
      <c r="D69" s="358"/>
      <c r="E69" s="393"/>
      <c r="F69" s="549"/>
      <c r="H69" s="545"/>
      <c r="I69" s="545"/>
      <c r="K69" s="579"/>
      <c r="P69" s="579"/>
      <c r="Q69" s="579"/>
      <c r="S69"/>
      <c r="AA69" s="379"/>
      <c r="AB69" s="373"/>
      <c r="AC69" s="369"/>
    </row>
    <row r="70" spans="2:46" ht="15.75" x14ac:dyDescent="0.25">
      <c r="B70" s="401" t="s">
        <v>112</v>
      </c>
      <c r="C70" s="387"/>
      <c r="D70" s="387" t="s">
        <v>33</v>
      </c>
      <c r="E70" s="387" t="s">
        <v>758</v>
      </c>
      <c r="F70" s="387" t="s">
        <v>148</v>
      </c>
      <c r="H70" s="387"/>
      <c r="I70" s="387"/>
      <c r="J70" s="390" t="s">
        <v>423</v>
      </c>
      <c r="K70" s="580" t="s">
        <v>32</v>
      </c>
      <c r="L70" s="36" t="s">
        <v>1136</v>
      </c>
      <c r="N70" s="381" t="s">
        <v>426</v>
      </c>
      <c r="O70" s="382" t="s">
        <v>34</v>
      </c>
      <c r="P70" s="673" t="s">
        <v>425</v>
      </c>
      <c r="Q70" s="674" t="s">
        <v>424</v>
      </c>
      <c r="S70" s="106" t="s">
        <v>423</v>
      </c>
      <c r="T70" s="380" t="s">
        <v>32</v>
      </c>
      <c r="U70" s="568"/>
      <c r="V70" s="381" t="s">
        <v>426</v>
      </c>
      <c r="W70" s="382" t="s">
        <v>34</v>
      </c>
      <c r="X70" s="382" t="s">
        <v>425</v>
      </c>
      <c r="Y70" s="381" t="s">
        <v>424</v>
      </c>
      <c r="AA70" s="379"/>
      <c r="AB70" s="373"/>
      <c r="AC70" s="369" t="s">
        <v>102</v>
      </c>
      <c r="AD70" s="99" t="s">
        <v>895</v>
      </c>
      <c r="AE70" s="99" t="s">
        <v>897</v>
      </c>
      <c r="AG70" s="99" t="s">
        <v>624</v>
      </c>
      <c r="AH70" s="99" t="s">
        <v>925</v>
      </c>
      <c r="AM70" s="423" t="s">
        <v>929</v>
      </c>
      <c r="AN70" s="423" t="s">
        <v>928</v>
      </c>
      <c r="AO70" s="423" t="s">
        <v>926</v>
      </c>
      <c r="AP70" s="423" t="s">
        <v>927</v>
      </c>
    </row>
    <row r="71" spans="2:46" x14ac:dyDescent="0.25">
      <c r="B71" s="391" t="s">
        <v>119</v>
      </c>
      <c r="C71" s="396"/>
      <c r="D71" s="684">
        <f>'Rates &amp; Misc'!G20</f>
        <v>700</v>
      </c>
      <c r="E71" s="403">
        <f>D71*'Default Data'!$K$24</f>
        <v>27931.390540540538</v>
      </c>
      <c r="F71" s="396">
        <f t="shared" ref="F71:F88" si="28">E71*(G$22+G$23)</f>
        <v>78095.191786368247</v>
      </c>
      <c r="H71" s="370">
        <f>IF(ProjectData!$B$13="UNITED STATES",1,'Local Share'!D40)</f>
        <v>1</v>
      </c>
      <c r="I71" s="370"/>
      <c r="J71" s="391" t="s">
        <v>119</v>
      </c>
      <c r="K71" s="576">
        <f t="shared" ref="K71:K89" si="29">K$16*L71</f>
        <v>24555.461783478473</v>
      </c>
      <c r="L71" s="825">
        <f t="shared" ref="L71:L81" si="30">IF($C$25="low",Y4,IF($C$25="medium",Z4,AA4))</f>
        <v>7.0896368209688214E-3</v>
      </c>
      <c r="M71" s="827">
        <f>K71*(G$22+G$23)</f>
        <v>68656.212965846702</v>
      </c>
      <c r="N71" s="451">
        <f>'Rates &amp; Misc'!H20</f>
        <v>58.333333333333336</v>
      </c>
      <c r="O71" s="577">
        <f t="shared" ref="O71:O78" si="31">D71</f>
        <v>700</v>
      </c>
      <c r="P71" s="669">
        <f>M71/N71</f>
        <v>1176.9636508430863</v>
      </c>
      <c r="Q71" s="671">
        <f>P71/'Rates &amp; Misc'!$C$4</f>
        <v>0.56584790905917615</v>
      </c>
      <c r="S71" s="118" t="s">
        <v>119</v>
      </c>
      <c r="T71" s="576">
        <f>ProjectData!C72</f>
        <v>27931.390540540538</v>
      </c>
      <c r="U71" s="576">
        <f>ProjectData!D72</f>
        <v>78095.191786368247</v>
      </c>
      <c r="V71" s="642">
        <f>W71/'Rates &amp; Misc'!I$20</f>
        <v>58.333333333333336</v>
      </c>
      <c r="W71" s="395">
        <f>ProjectData!B72</f>
        <v>700</v>
      </c>
      <c r="X71" s="620">
        <f>U71/V71</f>
        <v>1338.7747163377412</v>
      </c>
      <c r="Y71" s="563">
        <f>X71/'Rates &amp; Misc'!$C$4</f>
        <v>0.64364169054699094</v>
      </c>
      <c r="Z71" s="375">
        <f>IF(C$13="Simple",(M71*ProjectData!B$29)/'Default Data'!N71/'Rates &amp; Misc'!C$4,(U71*ProjectData!B$29)/'Default Data'!V71/'Rates &amp; Misc'!C$4)</f>
        <v>3.2182084527349553E-2</v>
      </c>
      <c r="AA71" s="379">
        <f>IF(C$13="Simple",Q71+Z71,Y71+Z71)*Calculations!D39</f>
        <v>0.67582377507434055</v>
      </c>
      <c r="AB71" s="591">
        <v>1</v>
      </c>
      <c r="AC71" s="369">
        <f t="shared" ref="AC71:AC88" si="32">IF(C$13="Simple",M71*AB71,U71*AB71)</f>
        <v>78095.191786368247</v>
      </c>
      <c r="AD71" s="368">
        <f t="shared" ref="AD71:AD76" si="33">IF($C$13="Simple",M71-AC71,U71-AC71)</f>
        <v>0</v>
      </c>
      <c r="AG71" s="368">
        <f>SUM(AC71:AF71)</f>
        <v>78095.191786368247</v>
      </c>
      <c r="AM71" s="368">
        <f>AC71</f>
        <v>78095.191786368247</v>
      </c>
      <c r="AO71" s="99">
        <f t="shared" ref="AO71:AO76" si="34">AE71</f>
        <v>0</v>
      </c>
      <c r="AP71" s="368">
        <f t="shared" ref="AP71:AP76" si="35">AD71</f>
        <v>0</v>
      </c>
      <c r="AS71" s="379">
        <f t="shared" ref="AS71:AS88" si="36">IF(AM71&gt;0,AA71,0)</f>
        <v>0.67582377507434055</v>
      </c>
      <c r="AT71" s="379">
        <f t="shared" ref="AT71:AT88" si="37">IF(AN71&gt;0,AA71,0)</f>
        <v>0</v>
      </c>
    </row>
    <row r="72" spans="2:46" x14ac:dyDescent="0.25">
      <c r="B72" s="391" t="s">
        <v>326</v>
      </c>
      <c r="C72" s="396"/>
      <c r="D72" s="684">
        <f>'Rates &amp; Misc'!G21</f>
        <v>800</v>
      </c>
      <c r="E72" s="403">
        <f>D72*'Default Data'!$K$24</f>
        <v>31921.589189189188</v>
      </c>
      <c r="F72" s="396">
        <f t="shared" si="28"/>
        <v>89251.647755849423</v>
      </c>
      <c r="H72" s="370">
        <f>IF(ProjectData!$B$13="UNITED STATES",1,'Local Share'!D41)</f>
        <v>0</v>
      </c>
      <c r="I72" s="370"/>
      <c r="J72" s="391" t="s">
        <v>326</v>
      </c>
      <c r="K72" s="576">
        <f t="shared" si="29"/>
        <v>28063.384895403968</v>
      </c>
      <c r="L72" s="825">
        <f t="shared" si="30"/>
        <v>8.1024420811072247E-3</v>
      </c>
      <c r="M72" s="827">
        <f t="shared" ref="M72:M88" si="38">K72*(G$22+G$23)</f>
        <v>78464.243389539086</v>
      </c>
      <c r="N72" s="451">
        <f>'Rates &amp; Misc'!H21</f>
        <v>66.666666666666671</v>
      </c>
      <c r="O72" s="577">
        <f>D72</f>
        <v>800</v>
      </c>
      <c r="P72" s="669">
        <f>M72/N72</f>
        <v>1176.9636508430863</v>
      </c>
      <c r="Q72" s="671">
        <f>P72/'Rates &amp; Misc'!$C$4</f>
        <v>0.56584790905917615</v>
      </c>
      <c r="S72" s="118" t="s">
        <v>326</v>
      </c>
      <c r="T72" s="576">
        <f>ProjectData!C73</f>
        <v>31921.589189189188</v>
      </c>
      <c r="U72" s="576">
        <f>ProjectData!D73</f>
        <v>89251.647755849423</v>
      </c>
      <c r="V72" s="642">
        <f>W72/'Rates &amp; Misc'!I$20</f>
        <v>66.666666666666671</v>
      </c>
      <c r="W72" s="395">
        <f>ProjectData!B73</f>
        <v>800</v>
      </c>
      <c r="X72" s="620">
        <f>U72/V72</f>
        <v>1338.7747163377412</v>
      </c>
      <c r="Y72" s="563">
        <f>X72/'Rates &amp; Misc'!$C$4</f>
        <v>0.64364169054699094</v>
      </c>
      <c r="Z72" s="375">
        <f>IF(C$13="Simple",(M72*ProjectData!B$29)/'Default Data'!N72/'Rates &amp; Misc'!C$4,(U72*ProjectData!B$29)/'Default Data'!V72/'Rates &amp; Misc'!C$4)</f>
        <v>3.2182084527349546E-2</v>
      </c>
      <c r="AA72" s="379">
        <f>IF(C$13="Simple",Q72+Z72,Y72+Z72)*Calculations!D40</f>
        <v>0</v>
      </c>
      <c r="AB72" s="591">
        <v>1</v>
      </c>
      <c r="AC72" s="369">
        <f t="shared" si="32"/>
        <v>89251.647755849423</v>
      </c>
      <c r="AD72" s="368">
        <f t="shared" si="33"/>
        <v>0</v>
      </c>
      <c r="AG72" s="368">
        <f t="shared" ref="AG72:AG88" si="39">SUM(AC72:AF72)</f>
        <v>89251.647755849423</v>
      </c>
      <c r="AM72" s="368">
        <f>AC72</f>
        <v>89251.647755849423</v>
      </c>
      <c r="AO72" s="99">
        <f t="shared" si="34"/>
        <v>0</v>
      </c>
      <c r="AP72" s="368">
        <f t="shared" si="35"/>
        <v>0</v>
      </c>
      <c r="AS72" s="379">
        <f t="shared" si="36"/>
        <v>0</v>
      </c>
      <c r="AT72" s="379">
        <f t="shared" si="37"/>
        <v>0</v>
      </c>
    </row>
    <row r="73" spans="2:46" x14ac:dyDescent="0.25">
      <c r="B73" s="99" t="s">
        <v>936</v>
      </c>
      <c r="C73" s="396"/>
      <c r="D73" s="684">
        <f>'Rates &amp; Misc'!G22</f>
        <v>5950</v>
      </c>
      <c r="E73" s="403">
        <f>D73*'Default Data'!$K$24</f>
        <v>237416.81959459459</v>
      </c>
      <c r="F73" s="396">
        <f t="shared" si="28"/>
        <v>663809.13018413016</v>
      </c>
      <c r="H73" s="370">
        <f>IF(ProjectData!$B$13="UNITED STATES",1,'Local Share'!D42)</f>
        <v>0</v>
      </c>
      <c r="I73" s="370"/>
      <c r="J73" s="99" t="s">
        <v>936</v>
      </c>
      <c r="K73" s="576">
        <f t="shared" si="29"/>
        <v>208721.42515956701</v>
      </c>
      <c r="L73" s="825">
        <f t="shared" si="30"/>
        <v>6.026191297823498E-2</v>
      </c>
      <c r="M73" s="827">
        <f t="shared" si="38"/>
        <v>583577.810209697</v>
      </c>
      <c r="N73" s="354"/>
      <c r="O73" s="577">
        <f t="shared" si="31"/>
        <v>5950</v>
      </c>
      <c r="P73" s="669"/>
      <c r="Q73" s="672"/>
      <c r="S73" s="99" t="s">
        <v>936</v>
      </c>
      <c r="T73" s="576">
        <f>ProjectData!C74</f>
        <v>237416.81959459459</v>
      </c>
      <c r="U73" s="576">
        <f>ProjectData!D74</f>
        <v>663809.13018413016</v>
      </c>
      <c r="V73" s="642"/>
      <c r="W73" s="395">
        <f>ProjectData!B74</f>
        <v>5950</v>
      </c>
      <c r="X73" s="620"/>
      <c r="Y73" s="365"/>
      <c r="Z73" s="375"/>
      <c r="AA73" s="379">
        <f>IF(C$13="Simple",Q73+Z73,Y73+Z73)*Calculations!D41</f>
        <v>0</v>
      </c>
      <c r="AB73" s="379"/>
      <c r="AC73" s="369">
        <f t="shared" si="32"/>
        <v>0</v>
      </c>
      <c r="AD73" s="368">
        <f t="shared" si="33"/>
        <v>663809.13018413016</v>
      </c>
      <c r="AG73" s="368">
        <f t="shared" si="39"/>
        <v>663809.13018413016</v>
      </c>
      <c r="AM73" s="368">
        <f>AC73</f>
        <v>0</v>
      </c>
      <c r="AO73" s="99">
        <f t="shared" si="34"/>
        <v>0</v>
      </c>
      <c r="AP73" s="368">
        <f t="shared" si="35"/>
        <v>663809.13018413016</v>
      </c>
      <c r="AS73" s="379">
        <f t="shared" si="36"/>
        <v>0</v>
      </c>
      <c r="AT73" s="379">
        <f t="shared" si="37"/>
        <v>0</v>
      </c>
    </row>
    <row r="74" spans="2:46" x14ac:dyDescent="0.25">
      <c r="B74" t="s">
        <v>755</v>
      </c>
      <c r="C74" s="396"/>
      <c r="D74" s="684">
        <f>'Rates &amp; Misc'!G23</f>
        <v>2649.9999999999995</v>
      </c>
      <c r="E74" s="395">
        <f>D74*(K$24*'Rates &amp; Misc'!M$25)</f>
        <v>63444.158513513496</v>
      </c>
      <c r="F74" s="396">
        <f t="shared" si="28"/>
        <v>177387.64991475068</v>
      </c>
      <c r="H74" s="370">
        <f>IF(ProjectData!$B$13="UNITED STATES",1,'Local Share'!D43)</f>
        <v>0</v>
      </c>
      <c r="I74" s="370"/>
      <c r="J74" s="99" t="s">
        <v>755</v>
      </c>
      <c r="K74" s="576">
        <f t="shared" si="29"/>
        <v>55775.97747961538</v>
      </c>
      <c r="L74" s="825">
        <f t="shared" si="30"/>
        <v>1.6103603636200607E-2</v>
      </c>
      <c r="M74" s="827">
        <f t="shared" si="38"/>
        <v>155947.68373670892</v>
      </c>
      <c r="N74" s="451">
        <f>'Rates &amp; Misc'!H23</f>
        <v>55.208333333333321</v>
      </c>
      <c r="O74" s="577">
        <f t="shared" si="31"/>
        <v>2649.9999999999995</v>
      </c>
      <c r="P74" s="669">
        <f>M74/N74</f>
        <v>2824.7127620234073</v>
      </c>
      <c r="Q74" s="671">
        <f>P74/'Rates &amp; Misc'!$C$4</f>
        <v>1.3580349817420228</v>
      </c>
      <c r="S74" t="s">
        <v>755</v>
      </c>
      <c r="T74" s="576">
        <f>ProjectData!C75</f>
        <v>63444.158513513496</v>
      </c>
      <c r="U74" s="576">
        <f>ProjectData!D75</f>
        <v>177387.64991475068</v>
      </c>
      <c r="V74" s="642">
        <f>W74/('Rates &amp; Misc'!P23*'Rates &amp; Misc'!P25)</f>
        <v>55.208333333333321</v>
      </c>
      <c r="W74" s="395">
        <f>ProjectData!B75</f>
        <v>2649.9999999999995</v>
      </c>
      <c r="X74" s="620">
        <f>U74/V74</f>
        <v>3213.0593192105789</v>
      </c>
      <c r="Y74" s="563">
        <f>X74/'Rates &amp; Misc'!$C$4</f>
        <v>1.5447400573127783</v>
      </c>
      <c r="Z74" s="375">
        <f>IF(C$13="Simple",(M74*ProjectData!B$29)/'Default Data'!N74/'Rates &amp; Misc'!C$4,(U74*ProjectData!B$29)/'Default Data'!V74/'Rates &amp; Misc'!C$4)</f>
        <v>7.7237002865638935E-2</v>
      </c>
      <c r="AA74" s="379">
        <f>IF(C$13="Simple",Q74+Z74,Y74+Z74)*Calculations!D42</f>
        <v>0</v>
      </c>
      <c r="AB74" s="591">
        <v>1</v>
      </c>
      <c r="AC74" s="369">
        <f t="shared" si="32"/>
        <v>177387.64991475068</v>
      </c>
      <c r="AD74" s="368">
        <f t="shared" si="33"/>
        <v>0</v>
      </c>
      <c r="AG74" s="368">
        <f t="shared" si="39"/>
        <v>177387.64991475068</v>
      </c>
      <c r="AN74" s="368">
        <f>AC74</f>
        <v>177387.64991475068</v>
      </c>
      <c r="AO74" s="99">
        <f t="shared" si="34"/>
        <v>0</v>
      </c>
      <c r="AP74" s="368">
        <f t="shared" si="35"/>
        <v>0</v>
      </c>
      <c r="AS74" s="379">
        <f t="shared" si="36"/>
        <v>0</v>
      </c>
      <c r="AT74" s="379">
        <f t="shared" si="37"/>
        <v>0</v>
      </c>
    </row>
    <row r="75" spans="2:46" x14ac:dyDescent="0.25">
      <c r="B75" t="s">
        <v>754</v>
      </c>
      <c r="C75" s="396"/>
      <c r="D75" s="684">
        <f>'Rates &amp; Misc'!G24</f>
        <v>7858</v>
      </c>
      <c r="E75" s="395">
        <f>D75*(K$24*'Rates &amp; Misc'!M$25)</f>
        <v>188129.88588648647</v>
      </c>
      <c r="F75" s="396">
        <f t="shared" si="28"/>
        <v>526004.58604909852</v>
      </c>
      <c r="H75" s="370">
        <f>IF(ProjectData!$B$13="UNITED STATES",1,'Local Share'!D44)</f>
        <v>0</v>
      </c>
      <c r="I75" s="370"/>
      <c r="J75" s="99" t="s">
        <v>754</v>
      </c>
      <c r="K75" s="576">
        <f t="shared" si="29"/>
        <v>167327.93243884612</v>
      </c>
      <c r="L75" s="825">
        <f t="shared" si="30"/>
        <v>4.8310810908601821E-2</v>
      </c>
      <c r="M75" s="827">
        <f t="shared" si="38"/>
        <v>467843.05121012672</v>
      </c>
      <c r="N75" s="451"/>
      <c r="O75" s="577">
        <f t="shared" si="31"/>
        <v>7858</v>
      </c>
      <c r="P75" s="669"/>
      <c r="Q75" s="672"/>
      <c r="S75" t="s">
        <v>754</v>
      </c>
      <c r="T75" s="576">
        <f>ProjectData!C76</f>
        <v>188129.88588648647</v>
      </c>
      <c r="U75" s="576">
        <f>ProjectData!D76</f>
        <v>526004.58604909852</v>
      </c>
      <c r="V75" s="642"/>
      <c r="W75" s="395"/>
      <c r="X75" s="620"/>
      <c r="Y75" s="365"/>
      <c r="Z75" s="375"/>
      <c r="AA75" s="379">
        <f>IF(C$13="Simple",Q75+Z75,Y75+Z75)*Calculations!D43</f>
        <v>0</v>
      </c>
      <c r="AB75" s="379"/>
      <c r="AC75" s="369">
        <f t="shared" si="32"/>
        <v>0</v>
      </c>
      <c r="AD75" s="368">
        <f t="shared" si="33"/>
        <v>526004.58604909852</v>
      </c>
      <c r="AG75" s="368">
        <f t="shared" si="39"/>
        <v>526004.58604909852</v>
      </c>
      <c r="AM75" s="368">
        <f>AC75</f>
        <v>0</v>
      </c>
      <c r="AO75" s="99">
        <f t="shared" si="34"/>
        <v>0</v>
      </c>
      <c r="AP75" s="368">
        <f t="shared" si="35"/>
        <v>526004.58604909852</v>
      </c>
      <c r="AS75" s="379">
        <f t="shared" si="36"/>
        <v>0</v>
      </c>
      <c r="AT75" s="379">
        <f t="shared" si="37"/>
        <v>0</v>
      </c>
    </row>
    <row r="76" spans="2:46" x14ac:dyDescent="0.25">
      <c r="B76" s="99" t="s">
        <v>111</v>
      </c>
      <c r="C76" s="396"/>
      <c r="D76" s="684">
        <f>'Rates &amp; Misc'!G25</f>
        <v>1400</v>
      </c>
      <c r="E76" s="395">
        <f>D76*'Default Data'!K23</f>
        <v>65720.91891891892</v>
      </c>
      <c r="F76" s="396">
        <f t="shared" si="28"/>
        <v>183753.39243851352</v>
      </c>
      <c r="H76" s="370">
        <f>IF(ProjectData!$B$13="UNITED STATES",1,'Local Share'!D45)</f>
        <v>0</v>
      </c>
      <c r="I76" s="370"/>
      <c r="J76" s="99" t="s">
        <v>111</v>
      </c>
      <c r="K76" s="576">
        <f t="shared" si="29"/>
        <v>57777.557137596406</v>
      </c>
      <c r="L76" s="825">
        <f t="shared" si="30"/>
        <v>1.6681498402279581E-2</v>
      </c>
      <c r="M76" s="827">
        <f t="shared" si="38"/>
        <v>161544.03050787459</v>
      </c>
      <c r="N76" s="451">
        <f>'Rates &amp; Misc'!H25</f>
        <v>58.333333333333336</v>
      </c>
      <c r="O76" s="577">
        <f t="shared" si="31"/>
        <v>1400</v>
      </c>
      <c r="P76" s="669">
        <f>M76/N76</f>
        <v>2769.3262372778499</v>
      </c>
      <c r="Q76" s="671">
        <f>P76/'Rates &amp; Misc'!$C$4</f>
        <v>1.3314068448451202</v>
      </c>
      <c r="S76" t="s">
        <v>111</v>
      </c>
      <c r="T76" s="576">
        <f>ProjectData!C77</f>
        <v>65720.91891891892</v>
      </c>
      <c r="U76" s="576">
        <f>ProjectData!D77</f>
        <v>183753.39243851352</v>
      </c>
      <c r="V76" s="642">
        <f>W76/'Rates &amp; Misc'!I$25</f>
        <v>58.333333333333336</v>
      </c>
      <c r="W76" s="395">
        <f>ProjectData!B77</f>
        <v>1400</v>
      </c>
      <c r="X76" s="620">
        <f>U76/V76</f>
        <v>3150.0581560888031</v>
      </c>
      <c r="Y76" s="563">
        <f>X76/'Rates &amp; Misc'!$C$4</f>
        <v>1.5144510365811554</v>
      </c>
      <c r="Z76" s="375">
        <f>IF(C$13="Simple",(M76*ProjectData!B$29)/'Default Data'!N76/'Rates &amp; Misc'!C$4,(U76*ProjectData!B$29)/'Default Data'!V76/'Rates &amp; Misc'!C$4)</f>
        <v>7.5722551829057766E-2</v>
      </c>
      <c r="AA76" s="379">
        <f>IF(C$13="Simple",Q76+Z76,Y76+Z76)*Calculations!D44</f>
        <v>0</v>
      </c>
      <c r="AB76" s="591">
        <v>1</v>
      </c>
      <c r="AC76" s="369">
        <f t="shared" si="32"/>
        <v>183753.39243851352</v>
      </c>
      <c r="AD76" s="368">
        <f t="shared" si="33"/>
        <v>0</v>
      </c>
      <c r="AG76" s="368">
        <f t="shared" si="39"/>
        <v>183753.39243851352</v>
      </c>
      <c r="AM76" s="368">
        <f>AC76</f>
        <v>183753.39243851352</v>
      </c>
      <c r="AO76" s="99">
        <f t="shared" si="34"/>
        <v>0</v>
      </c>
      <c r="AP76" s="368">
        <f t="shared" si="35"/>
        <v>0</v>
      </c>
      <c r="AS76" s="379">
        <f t="shared" si="36"/>
        <v>0</v>
      </c>
      <c r="AT76" s="379">
        <f t="shared" si="37"/>
        <v>0</v>
      </c>
    </row>
    <row r="77" spans="2:46" x14ac:dyDescent="0.25">
      <c r="B77" s="99" t="s">
        <v>332</v>
      </c>
      <c r="C77" s="396"/>
      <c r="D77" s="684">
        <f>'Rates &amp; Misc'!G26</f>
        <v>15000</v>
      </c>
      <c r="E77" s="395">
        <f>D77*'Default Data'!K$24</f>
        <v>598529.79729729728</v>
      </c>
      <c r="F77" s="396">
        <f t="shared" si="28"/>
        <v>1673468.3954221767</v>
      </c>
      <c r="H77" s="370">
        <f>IF(ProjectData!$B$13="UNITED STATES",1,'Local Share'!D46)</f>
        <v>0</v>
      </c>
      <c r="I77" s="370"/>
      <c r="J77" s="99" t="s">
        <v>332</v>
      </c>
      <c r="K77" s="576">
        <f t="shared" si="29"/>
        <v>561267.69790807925</v>
      </c>
      <c r="L77" s="825">
        <f t="shared" si="30"/>
        <v>0.16204884162214447</v>
      </c>
      <c r="M77" s="827">
        <f t="shared" si="38"/>
        <v>1569284.8677907814</v>
      </c>
      <c r="N77" s="451"/>
      <c r="O77" s="577">
        <f t="shared" si="31"/>
        <v>15000</v>
      </c>
      <c r="P77" s="669"/>
      <c r="Q77" s="672"/>
      <c r="S77" t="s">
        <v>332</v>
      </c>
      <c r="T77" s="576">
        <f>ProjectData!C78</f>
        <v>598529.79729729728</v>
      </c>
      <c r="U77" s="576">
        <f>ProjectData!D78</f>
        <v>1673468.3954221767</v>
      </c>
      <c r="V77" s="643"/>
      <c r="W77" s="395">
        <f>ProjectData!B78</f>
        <v>15000</v>
      </c>
      <c r="X77" s="620"/>
      <c r="Y77" s="365"/>
      <c r="Z77" s="375"/>
      <c r="AA77" s="379">
        <f>IF(C$13="Simple",Q77+Z77,Y77+Z77)*Calculations!D45</f>
        <v>0</v>
      </c>
      <c r="AB77" s="379"/>
      <c r="AC77" s="369">
        <f t="shared" si="32"/>
        <v>0</v>
      </c>
      <c r="AD77" s="368">
        <f>IF($C$13="Simple",(M77-AC77-AC78-AF78)*AH77,(U77-AC77-AC78-AF78)*AH77)</f>
        <v>708211.82494266517</v>
      </c>
      <c r="AE77" s="368">
        <f>AD77</f>
        <v>708211.82494266517</v>
      </c>
      <c r="AG77" s="368">
        <f t="shared" si="39"/>
        <v>1416423.6498853303</v>
      </c>
      <c r="AH77" s="584">
        <v>0.5</v>
      </c>
      <c r="AM77" s="368">
        <f>AC77</f>
        <v>0</v>
      </c>
      <c r="AN77" s="368">
        <f>AE77+AD77</f>
        <v>1416423.6498853303</v>
      </c>
      <c r="AP77" s="368"/>
      <c r="AS77" s="379">
        <f t="shared" si="36"/>
        <v>0</v>
      </c>
      <c r="AT77" s="379">
        <f t="shared" si="37"/>
        <v>0</v>
      </c>
    </row>
    <row r="78" spans="2:46" x14ac:dyDescent="0.25">
      <c r="B78" s="99" t="s">
        <v>922</v>
      </c>
      <c r="C78" s="396"/>
      <c r="D78" s="355">
        <f>'Rates &amp; Misc'!C51</f>
        <v>2304</v>
      </c>
      <c r="E78" s="395">
        <f>D78*'Default Data'!K$24</f>
        <v>91934.176864864858</v>
      </c>
      <c r="F78" s="396">
        <f t="shared" si="28"/>
        <v>257044.74553684634</v>
      </c>
      <c r="H78" s="370">
        <f>IF(ProjectData!$B$13="UNITED STATES",1,'Local Share'!D47)</f>
        <v>0</v>
      </c>
      <c r="I78" s="370"/>
      <c r="J78" t="s">
        <v>1045</v>
      </c>
      <c r="K78" s="576">
        <f t="shared" si="29"/>
        <v>0</v>
      </c>
      <c r="L78" s="825">
        <f t="shared" si="30"/>
        <v>0</v>
      </c>
      <c r="M78" s="827">
        <f>(O78/O77)*M77</f>
        <v>241042.155692664</v>
      </c>
      <c r="N78" s="642">
        <f>O78/('Rates &amp; Misc'!$C$47*'Rates &amp; Misc'!$C$48*'Rates &amp; Misc'!$C$49)</f>
        <v>16</v>
      </c>
      <c r="O78" s="577">
        <f t="shared" si="31"/>
        <v>2304</v>
      </c>
      <c r="P78" s="669">
        <f>'Rates &amp; Misc'!C47*'Rates &amp; Misc'!C48*'Rates &amp; Misc'!C49*K24*(G22+G23)</f>
        <v>16065.296596052896</v>
      </c>
      <c r="Q78" s="671">
        <f>P78/'Rates &amp; Misc'!$C$4</f>
        <v>7.7237002865638926</v>
      </c>
      <c r="S78" t="s">
        <v>1045</v>
      </c>
      <c r="T78" s="576">
        <f>ProjectData!C79</f>
        <v>91934.176864864858</v>
      </c>
      <c r="U78" s="576">
        <f>ProjectData!D79</f>
        <v>257044.74553684634</v>
      </c>
      <c r="V78" s="642">
        <f>W78/('Rates &amp; Misc'!C$47*'Rates &amp; Misc'!C$48*'Rates &amp; Misc'!C$49)</f>
        <v>16</v>
      </c>
      <c r="W78" s="395">
        <f>ProjectData!B79</f>
        <v>2304</v>
      </c>
      <c r="X78" s="620">
        <f>U78/V78</f>
        <v>16065.296596052896</v>
      </c>
      <c r="Y78" s="563">
        <f>X78/'Rates &amp; Misc'!$C$4</f>
        <v>7.7237002865638926</v>
      </c>
      <c r="Z78" s="375">
        <f>IF(C$13="Simple",(M78*ProjectData!B$29)/'Default Data'!N78/'Rates &amp; Misc'!C$4,(U78*ProjectData!B$29)/'Default Data'!V78/'Rates &amp; Misc'!C$4)</f>
        <v>0.38618501432819463</v>
      </c>
      <c r="AA78" s="379">
        <f>IF(C$13="Simple",Q78+Z78,Y78+Z78)*Calculations!D46</f>
        <v>0</v>
      </c>
      <c r="AB78" s="591">
        <v>1</v>
      </c>
      <c r="AC78" s="369">
        <f t="shared" si="32"/>
        <v>257044.74553684634</v>
      </c>
      <c r="AD78" s="368">
        <f>IF($C$13="Simple",M78-AC78,U78-AC78)</f>
        <v>0</v>
      </c>
      <c r="AG78" s="368">
        <f t="shared" si="39"/>
        <v>257044.74553684634</v>
      </c>
      <c r="AN78" s="368">
        <f>AC78</f>
        <v>257044.74553684634</v>
      </c>
      <c r="AO78" s="99">
        <f t="shared" ref="AO78:AO84" si="40">AE78</f>
        <v>0</v>
      </c>
      <c r="AP78" s="368">
        <f t="shared" ref="AP78:AP88" si="41">AD78</f>
        <v>0</v>
      </c>
      <c r="AS78" s="379">
        <f t="shared" si="36"/>
        <v>0</v>
      </c>
      <c r="AT78" s="379">
        <f t="shared" si="37"/>
        <v>0</v>
      </c>
    </row>
    <row r="79" spans="2:46" x14ac:dyDescent="0.25">
      <c r="B79" s="99" t="s">
        <v>98</v>
      </c>
      <c r="C79" s="396"/>
      <c r="E79" s="592">
        <v>5000</v>
      </c>
      <c r="F79" s="396">
        <f t="shared" si="28"/>
        <v>13979.82525664419</v>
      </c>
      <c r="H79" s="370">
        <f>IF(ProjectData!$B$13="UNITED STATES",1,'Local Share'!D48)</f>
        <v>0</v>
      </c>
      <c r="I79" s="370"/>
      <c r="J79" s="99" t="s">
        <v>98</v>
      </c>
      <c r="K79" s="576">
        <f t="shared" si="29"/>
        <v>3296.7560836039288</v>
      </c>
      <c r="L79" s="825">
        <f t="shared" si="30"/>
        <v>9.5183725421922984E-4</v>
      </c>
      <c r="M79" s="827">
        <f t="shared" si="38"/>
        <v>9217.6147925123169</v>
      </c>
      <c r="N79" s="642">
        <f>N58</f>
        <v>60</v>
      </c>
      <c r="P79" s="669">
        <f>K79/N79*(G22+G23)</f>
        <v>153.62691320853864</v>
      </c>
      <c r="Q79" s="671">
        <f>P79/'Rates &amp; Misc'!$C$4</f>
        <v>7.3859092888720501E-2</v>
      </c>
      <c r="S79" t="s">
        <v>98</v>
      </c>
      <c r="T79" s="576">
        <f>ProjectData!C80</f>
        <v>5000</v>
      </c>
      <c r="U79" s="576">
        <f>ProjectData!D80</f>
        <v>13979.82525664419</v>
      </c>
      <c r="V79" s="642">
        <f>V58</f>
        <v>60</v>
      </c>
      <c r="X79" s="620">
        <f>U79/V79</f>
        <v>232.99708761073649</v>
      </c>
      <c r="Y79" s="563">
        <f>X79/'Rates &amp; Misc'!$C$4</f>
        <v>0.11201783058208485</v>
      </c>
      <c r="Z79" s="375">
        <f>IF(C$13="Simple",(M79*ProjectData!B$29)/'Default Data'!N79/'Rates &amp; Misc'!C$4,(U79*ProjectData!B$29)/'Default Data'!V79/'Rates &amp; Misc'!C$4)</f>
        <v>5.6008915291042424E-3</v>
      </c>
      <c r="AA79" s="379">
        <f>IF(C$13="Simple",Q79+Z79,Y79+Z79)*Calculations!D47</f>
        <v>0</v>
      </c>
      <c r="AB79" s="591">
        <v>1</v>
      </c>
      <c r="AC79" s="369">
        <f t="shared" si="32"/>
        <v>13979.82525664419</v>
      </c>
      <c r="AD79" s="368">
        <f>IF($C$13="Simple",M79-AC79,U79-AC79)</f>
        <v>0</v>
      </c>
      <c r="AG79" s="368">
        <f t="shared" si="39"/>
        <v>13979.82525664419</v>
      </c>
      <c r="AM79" s="368">
        <f>AC79</f>
        <v>13979.82525664419</v>
      </c>
      <c r="AO79" s="99">
        <f t="shared" si="40"/>
        <v>0</v>
      </c>
      <c r="AP79" s="368">
        <f t="shared" si="41"/>
        <v>0</v>
      </c>
      <c r="AS79" s="379">
        <f t="shared" si="36"/>
        <v>0</v>
      </c>
      <c r="AT79" s="379">
        <f t="shared" si="37"/>
        <v>0</v>
      </c>
    </row>
    <row r="80" spans="2:46" x14ac:dyDescent="0.25">
      <c r="B80" s="99" t="s">
        <v>334</v>
      </c>
      <c r="C80" s="396"/>
      <c r="E80" s="592">
        <f>125000</f>
        <v>125000</v>
      </c>
      <c r="F80" s="396">
        <f t="shared" si="28"/>
        <v>349495.63141610473</v>
      </c>
      <c r="H80" s="370">
        <f>IF(ProjectData!$B$13="UNITED STATES",1,'Local Share'!D49)</f>
        <v>1</v>
      </c>
      <c r="I80" s="370"/>
      <c r="J80" s="99" t="s">
        <v>334</v>
      </c>
      <c r="K80" s="576">
        <f t="shared" si="29"/>
        <v>82418.902090098229</v>
      </c>
      <c r="L80" s="825">
        <f t="shared" si="30"/>
        <v>2.3795931355480748E-2</v>
      </c>
      <c r="M80" s="827">
        <f t="shared" si="38"/>
        <v>230440.36981280797</v>
      </c>
      <c r="N80" s="642">
        <f t="shared" ref="N80:N87" si="42">N59</f>
        <v>20.549999999999997</v>
      </c>
      <c r="P80" s="669">
        <f>(K80*AB80)/N80*(G22+G23)</f>
        <v>1794.1829279829333</v>
      </c>
      <c r="Q80" s="671">
        <f>P80/'Rates &amp; Misc'!$C$4</f>
        <v>0.86258794614564105</v>
      </c>
      <c r="S80" t="s">
        <v>334</v>
      </c>
      <c r="T80" s="576">
        <f>ProjectData!C81</f>
        <v>125000</v>
      </c>
      <c r="U80" s="576">
        <f>ProjectData!D81</f>
        <v>349495.63141610473</v>
      </c>
      <c r="V80" s="642">
        <f t="shared" ref="V80:V87" si="43">V59</f>
        <v>20.549999999999997</v>
      </c>
      <c r="X80" s="620">
        <f>(U80*AB80)/V80</f>
        <v>2721.1338699064122</v>
      </c>
      <c r="Y80" s="563">
        <f>X80/'Rates &amp; Misc'!$C$4</f>
        <v>1.3082374374550059</v>
      </c>
      <c r="Z80" s="375">
        <f>IF(C$13="Simple",(M80*ProjectData!B$29)/'Default Data'!N80/'Rates &amp; Misc'!C$4,(U80*ProjectData!B$29)/'Default Data'!V80/'Rates &amp; Misc'!C$4)</f>
        <v>0.40882419920468926</v>
      </c>
      <c r="AA80" s="379">
        <f>IF(C$13="Simple",Q80+Z80,Y80+Z80)*Calculations!D48</f>
        <v>1.7170616366596951</v>
      </c>
      <c r="AB80" s="375">
        <f>C$110</f>
        <v>0.16</v>
      </c>
      <c r="AC80" s="369">
        <f t="shared" si="32"/>
        <v>55919.301026576759</v>
      </c>
      <c r="AD80" s="368">
        <f>IF($C$13="Simple",M80-AC80,U80-AC80)</f>
        <v>293576.33038952795</v>
      </c>
      <c r="AG80" s="368">
        <f t="shared" si="39"/>
        <v>349495.63141610473</v>
      </c>
      <c r="AN80" s="368">
        <f>AC80</f>
        <v>55919.301026576759</v>
      </c>
      <c r="AO80" s="99">
        <f t="shared" si="40"/>
        <v>0</v>
      </c>
      <c r="AP80" s="368">
        <f t="shared" si="41"/>
        <v>293576.33038952795</v>
      </c>
      <c r="AS80" s="379">
        <f t="shared" si="36"/>
        <v>0</v>
      </c>
      <c r="AT80" s="379">
        <f t="shared" si="37"/>
        <v>1.7170616366596951</v>
      </c>
    </row>
    <row r="81" spans="2:46" x14ac:dyDescent="0.25">
      <c r="B81" s="99" t="s">
        <v>389</v>
      </c>
      <c r="C81" s="396"/>
      <c r="E81" s="593">
        <f>(0.0000000144*G15^4)-(0.000149*G15^3)+(0.636*G15^2-406*G15)</f>
        <v>978103.12500000023</v>
      </c>
      <c r="F81" s="396">
        <f t="shared" si="28"/>
        <v>2734742.1540955226</v>
      </c>
      <c r="H81" s="370">
        <f>IF(ProjectData!$B$13="UNITED STATES",1,'Local Share'!D50)</f>
        <v>1</v>
      </c>
      <c r="I81" s="370"/>
      <c r="J81" s="99" t="s">
        <v>389</v>
      </c>
      <c r="K81" s="576">
        <f t="shared" si="29"/>
        <v>1087533.8968592645</v>
      </c>
      <c r="L81" s="825">
        <f t="shared" si="30"/>
        <v>0.31399207342183966</v>
      </c>
      <c r="M81" s="827">
        <f t="shared" si="38"/>
        <v>3040706.7677539643</v>
      </c>
      <c r="N81" s="642">
        <f t="shared" si="42"/>
        <v>25.305</v>
      </c>
      <c r="P81" s="669">
        <f>K81*AB81/N81*(G22+G23)</f>
        <v>19225.966522056286</v>
      </c>
      <c r="Q81" s="671">
        <f>P81/'Rates &amp; Misc'!$C$4</f>
        <v>9.2432531356039842</v>
      </c>
      <c r="S81" t="s">
        <v>389</v>
      </c>
      <c r="T81" s="576">
        <f>ProjectData!C82</f>
        <v>978103.12500000023</v>
      </c>
      <c r="U81" s="576">
        <f>ProjectData!D82</f>
        <v>2734742.1540955226</v>
      </c>
      <c r="V81" s="642">
        <f t="shared" si="43"/>
        <v>25.305</v>
      </c>
      <c r="X81" s="620">
        <f>(U81*AB81)/V81</f>
        <v>17291.394770017137</v>
      </c>
      <c r="Y81" s="563">
        <f>X81/'Rates &amp; Misc'!$C$4</f>
        <v>8.3131705625082386</v>
      </c>
      <c r="Z81" s="375">
        <f>IF(C$13="Simple",(M81*ProjectData!B$29)/'Default Data'!N81/'Rates &amp; Misc'!C$4,(U81*ProjectData!B$29)/'Default Data'!V81/'Rates &amp; Misc'!C$4)</f>
        <v>2.5978658007838242</v>
      </c>
      <c r="AA81" s="379">
        <f>IF(C$13="Simple",Q81+Z81,Y81+Z81)*Calculations!D49</f>
        <v>10.911036363292062</v>
      </c>
      <c r="AB81" s="375">
        <f>C$110</f>
        <v>0.16</v>
      </c>
      <c r="AC81" s="369">
        <f t="shared" si="32"/>
        <v>437558.74465528363</v>
      </c>
      <c r="AD81" s="368">
        <f>IF($C$13="Simple",M81-AC81,U81-AC81)</f>
        <v>2297183.409440239</v>
      </c>
      <c r="AG81" s="368">
        <f t="shared" si="39"/>
        <v>2734742.1540955226</v>
      </c>
      <c r="AN81" s="368">
        <f>AC81</f>
        <v>437558.74465528363</v>
      </c>
      <c r="AO81" s="99">
        <f t="shared" si="40"/>
        <v>0</v>
      </c>
      <c r="AP81" s="368">
        <f t="shared" si="41"/>
        <v>2297183.409440239</v>
      </c>
      <c r="AS81" s="379">
        <f t="shared" si="36"/>
        <v>0</v>
      </c>
      <c r="AT81" s="379">
        <f t="shared" si="37"/>
        <v>10.911036363292062</v>
      </c>
    </row>
    <row r="82" spans="2:46" x14ac:dyDescent="0.25">
      <c r="B82" s="99" t="s">
        <v>335</v>
      </c>
      <c r="C82" s="396"/>
      <c r="E82" s="592">
        <f>125000</f>
        <v>125000</v>
      </c>
      <c r="F82" s="396">
        <f t="shared" si="28"/>
        <v>349495.63141610473</v>
      </c>
      <c r="H82" s="370">
        <f>IF(ProjectData!$B$13="UNITED STATES",1,'Local Share'!D51)</f>
        <v>0</v>
      </c>
      <c r="I82" s="370"/>
      <c r="J82" s="99" t="s">
        <v>335</v>
      </c>
      <c r="K82" s="576">
        <f t="shared" si="29"/>
        <v>82418.902090098229</v>
      </c>
      <c r="L82" s="825">
        <f t="shared" ref="L82:L87" si="44">IF($C$25="low",Y15,IF($C$25="medium",Z15,AA15))</f>
        <v>2.3795931355480748E-2</v>
      </c>
      <c r="M82" s="827">
        <f t="shared" si="38"/>
        <v>230440.36981280797</v>
      </c>
      <c r="N82" s="642"/>
      <c r="P82" s="669"/>
      <c r="Q82" s="578"/>
      <c r="S82" t="s">
        <v>335</v>
      </c>
      <c r="T82" s="576">
        <f>ProjectData!C83</f>
        <v>125000</v>
      </c>
      <c r="U82" s="576">
        <f>ProjectData!D83</f>
        <v>349495.63141610473</v>
      </c>
      <c r="V82" s="642">
        <f t="shared" si="43"/>
        <v>0</v>
      </c>
      <c r="X82" s="620"/>
      <c r="Y82" s="361"/>
      <c r="Z82" s="375"/>
      <c r="AA82" s="379">
        <f>IF(C$13="Simple",Q82+Z82,Y82+Z82)*Calculations!D50</f>
        <v>0</v>
      </c>
      <c r="AC82" s="369">
        <f t="shared" si="32"/>
        <v>0</v>
      </c>
      <c r="AD82" s="368">
        <f>IF($C$13="Simple",M82-AC82,U82-AC82)</f>
        <v>349495.63141610473</v>
      </c>
      <c r="AG82" s="368">
        <f t="shared" si="39"/>
        <v>349495.63141610473</v>
      </c>
      <c r="AM82" s="368">
        <f>AC82</f>
        <v>0</v>
      </c>
      <c r="AO82" s="99">
        <f t="shared" si="40"/>
        <v>0</v>
      </c>
      <c r="AP82" s="368">
        <f t="shared" si="41"/>
        <v>349495.63141610473</v>
      </c>
      <c r="AS82" s="379">
        <f t="shared" si="36"/>
        <v>0</v>
      </c>
      <c r="AT82" s="379">
        <f t="shared" si="37"/>
        <v>0</v>
      </c>
    </row>
    <row r="83" spans="2:46" x14ac:dyDescent="0.25">
      <c r="B83" s="99" t="s">
        <v>338</v>
      </c>
      <c r="C83" s="396"/>
      <c r="E83" s="592">
        <v>225000</v>
      </c>
      <c r="F83" s="396">
        <f t="shared" si="28"/>
        <v>629092.13654898852</v>
      </c>
      <c r="H83" s="370">
        <f>IF(ProjectData!$B$13="UNITED STATES",1,'Local Share'!D52)</f>
        <v>0</v>
      </c>
      <c r="I83" s="370"/>
      <c r="J83" s="99" t="s">
        <v>338</v>
      </c>
      <c r="K83" s="576">
        <f t="shared" si="29"/>
        <v>148354.0237621768</v>
      </c>
      <c r="L83" s="825">
        <f t="shared" si="44"/>
        <v>4.2832676439865346E-2</v>
      </c>
      <c r="M83" s="827">
        <f t="shared" si="38"/>
        <v>414792.66566305427</v>
      </c>
      <c r="N83" s="642">
        <f t="shared" si="42"/>
        <v>50</v>
      </c>
      <c r="P83" s="669">
        <f>K83/N83*(G22+G23)</f>
        <v>8295.8533132610864</v>
      </c>
      <c r="Q83" s="671">
        <f>P83/'Rates &amp; Misc'!$C$4</f>
        <v>3.9883910159909068</v>
      </c>
      <c r="S83" t="s">
        <v>338</v>
      </c>
      <c r="T83" s="576">
        <f>ProjectData!C84</f>
        <v>225000</v>
      </c>
      <c r="U83" s="576">
        <f>ProjectData!D84</f>
        <v>629092.13654898852</v>
      </c>
      <c r="V83" s="642">
        <f t="shared" si="43"/>
        <v>75</v>
      </c>
      <c r="X83" s="620">
        <f>U83/V83</f>
        <v>8387.8951539865138</v>
      </c>
      <c r="Y83" s="563">
        <f>X83/'Rates &amp; Misc'!$C$4</f>
        <v>4.0326419009550545</v>
      </c>
      <c r="Z83" s="375">
        <f>IF(C$13="Simple",(M83*ProjectData!B$29)/'Default Data'!N83/'Rates &amp; Misc'!C$4,(U83*ProjectData!B$29)/'Default Data'!V83/'Rates &amp; Misc'!C$4)</f>
        <v>0.20163209504775276</v>
      </c>
      <c r="AA83" s="379">
        <f>IF(C$13="Simple",Q83+Z83,Y83+Z83)*Calculations!D51</f>
        <v>0</v>
      </c>
      <c r="AB83" s="838">
        <v>1</v>
      </c>
      <c r="AC83" s="369">
        <f t="shared" si="32"/>
        <v>629092.13654898852</v>
      </c>
      <c r="AE83" s="368">
        <f>IF($C$13="Simple",M83-AC83,U83-AC83)</f>
        <v>0</v>
      </c>
      <c r="AG83" s="368">
        <f t="shared" si="39"/>
        <v>629092.13654898852</v>
      </c>
      <c r="AM83" s="368">
        <f>AC83</f>
        <v>629092.13654898852</v>
      </c>
      <c r="AO83" s="99">
        <f t="shared" si="40"/>
        <v>0</v>
      </c>
      <c r="AP83" s="368">
        <f t="shared" si="41"/>
        <v>0</v>
      </c>
      <c r="AS83" s="379">
        <f t="shared" si="36"/>
        <v>0</v>
      </c>
      <c r="AT83" s="379">
        <f t="shared" si="37"/>
        <v>0</v>
      </c>
    </row>
    <row r="84" spans="2:46" x14ac:dyDescent="0.25">
      <c r="B84" s="99" t="s">
        <v>336</v>
      </c>
      <c r="C84" s="396"/>
      <c r="E84" s="592">
        <v>250000</v>
      </c>
      <c r="F84" s="396">
        <f t="shared" si="28"/>
        <v>698991.26283220947</v>
      </c>
      <c r="H84" s="370">
        <f>IF(ProjectData!$B$13="UNITED STATES",1,'Local Share'!D53)</f>
        <v>1</v>
      </c>
      <c r="I84" s="370"/>
      <c r="J84" s="99" t="s">
        <v>336</v>
      </c>
      <c r="K84" s="576">
        <f t="shared" si="29"/>
        <v>164837.80418019646</v>
      </c>
      <c r="L84" s="825">
        <f t="shared" si="44"/>
        <v>4.7591862710961497E-2</v>
      </c>
      <c r="M84" s="827">
        <f t="shared" si="38"/>
        <v>460880.73962561594</v>
      </c>
      <c r="N84" s="642">
        <f t="shared" si="42"/>
        <v>20.549999999999997</v>
      </c>
      <c r="P84" s="669"/>
      <c r="Q84" s="670"/>
      <c r="S84" t="s">
        <v>336</v>
      </c>
      <c r="T84" s="576">
        <f>ProjectData!C85</f>
        <v>250000</v>
      </c>
      <c r="U84" s="576">
        <f>ProjectData!D85</f>
        <v>698991.26283220947</v>
      </c>
      <c r="V84" s="642">
        <f t="shared" si="43"/>
        <v>20.549999999999997</v>
      </c>
      <c r="X84" s="620"/>
      <c r="Y84" s="366"/>
      <c r="Z84" s="375"/>
      <c r="AA84" s="379">
        <f>IF(C$13="Simple",Q84+Z84,Y84+Z84)*Calculations!D52</f>
        <v>0</v>
      </c>
      <c r="AB84" s="373"/>
      <c r="AC84" s="369">
        <f t="shared" si="32"/>
        <v>0</v>
      </c>
      <c r="AD84" s="368">
        <f>IF($C$13="Simple",(M84-AC84)*AH84,(U84-AC84)*AH84)</f>
        <v>349495.63141610473</v>
      </c>
      <c r="AE84" s="368">
        <f>AD84</f>
        <v>349495.63141610473</v>
      </c>
      <c r="AG84" s="368">
        <f t="shared" si="39"/>
        <v>698991.26283220947</v>
      </c>
      <c r="AH84" s="584">
        <f>AH77</f>
        <v>0.5</v>
      </c>
      <c r="AM84" s="368">
        <f>AC84</f>
        <v>0</v>
      </c>
      <c r="AO84" s="414">
        <f t="shared" si="40"/>
        <v>349495.63141610473</v>
      </c>
      <c r="AP84" s="368">
        <f t="shared" si="41"/>
        <v>349495.63141610473</v>
      </c>
      <c r="AS84" s="379">
        <f t="shared" si="36"/>
        <v>0</v>
      </c>
      <c r="AT84" s="379">
        <f t="shared" si="37"/>
        <v>0</v>
      </c>
    </row>
    <row r="85" spans="2:46" x14ac:dyDescent="0.25">
      <c r="B85" s="99" t="s">
        <v>339</v>
      </c>
      <c r="C85" s="396"/>
      <c r="E85" s="592">
        <v>50000</v>
      </c>
      <c r="F85" s="396">
        <f t="shared" si="28"/>
        <v>139798.25256644189</v>
      </c>
      <c r="H85" s="370">
        <f>IF(ProjectData!$B$13="UNITED STATES",1,'Local Share'!D54)</f>
        <v>1</v>
      </c>
      <c r="I85" s="370"/>
      <c r="J85" s="99" t="s">
        <v>339</v>
      </c>
      <c r="K85" s="576">
        <f t="shared" si="29"/>
        <v>32967.560836039287</v>
      </c>
      <c r="L85" s="825">
        <f t="shared" si="44"/>
        <v>9.5183725421922986E-3</v>
      </c>
      <c r="M85" s="827">
        <f t="shared" si="38"/>
        <v>92176.147925123165</v>
      </c>
      <c r="N85" s="642">
        <f t="shared" si="42"/>
        <v>20.549999999999997</v>
      </c>
      <c r="P85" s="669">
        <f>(K85*AB85)/N85*(G22+G23)</f>
        <v>2242.7286599786662</v>
      </c>
      <c r="Q85" s="671">
        <f>P85/'Rates &amp; Misc'!$C$4</f>
        <v>1.0782349326820511</v>
      </c>
      <c r="S85" t="s">
        <v>339</v>
      </c>
      <c r="T85" s="576">
        <f>ProjectData!C86</f>
        <v>50000</v>
      </c>
      <c r="U85" s="576">
        <f>ProjectData!D86</f>
        <v>139798.25256644189</v>
      </c>
      <c r="V85" s="642">
        <f t="shared" si="43"/>
        <v>20.549999999999997</v>
      </c>
      <c r="X85" s="620">
        <f>(U85*AB85)/V85</f>
        <v>3401.4173373830149</v>
      </c>
      <c r="Y85" s="563">
        <f>X85/'Rates &amp; Misc'!$C$4</f>
        <v>1.6352967968187571</v>
      </c>
      <c r="Z85" s="375">
        <f>IF(C$13="Simple",(M85*ProjectData!B$29)/'Default Data'!N85/'Rates &amp; Misc'!C$4,(U85*ProjectData!B$29)/'Default Data'!V85/'Rates &amp; Misc'!C$4)</f>
        <v>0.16352967968187573</v>
      </c>
      <c r="AA85" s="379">
        <f>IF(C$13="Simple",Q85+Z85,Y85+Z85)*Calculations!D53</f>
        <v>1.7988264765006328</v>
      </c>
      <c r="AB85" s="591">
        <f>AB64</f>
        <v>0.5</v>
      </c>
      <c r="AC85" s="369">
        <f t="shared" si="32"/>
        <v>69899.126283220947</v>
      </c>
      <c r="AD85" s="368">
        <f>IF($C$13="Simple",M85-AC85,U85-AC85)</f>
        <v>69899.126283220947</v>
      </c>
      <c r="AG85" s="368">
        <f t="shared" si="39"/>
        <v>139798.25256644189</v>
      </c>
      <c r="AM85" s="368"/>
      <c r="AO85" s="368">
        <f>AE85+AC85</f>
        <v>69899.126283220947</v>
      </c>
      <c r="AP85" s="368">
        <f t="shared" si="41"/>
        <v>69899.126283220947</v>
      </c>
      <c r="AS85" s="379">
        <f t="shared" si="36"/>
        <v>0</v>
      </c>
      <c r="AT85" s="379">
        <f t="shared" si="37"/>
        <v>0</v>
      </c>
    </row>
    <row r="86" spans="2:46" x14ac:dyDescent="0.25">
      <c r="B86" s="99" t="s">
        <v>29</v>
      </c>
      <c r="C86" s="396"/>
      <c r="E86" s="592">
        <v>125000</v>
      </c>
      <c r="F86" s="396">
        <f t="shared" si="28"/>
        <v>349495.63141610473</v>
      </c>
      <c r="H86" s="370">
        <f>IF(ProjectData!$B$13="UNITED STATES",1,'Local Share'!D55)</f>
        <v>1</v>
      </c>
      <c r="I86" s="370"/>
      <c r="J86" s="99" t="s">
        <v>29</v>
      </c>
      <c r="K86" s="576">
        <f t="shared" si="29"/>
        <v>82418.902090098229</v>
      </c>
      <c r="L86" s="825">
        <f t="shared" si="44"/>
        <v>2.3795931355480748E-2</v>
      </c>
      <c r="M86" s="827">
        <f t="shared" si="38"/>
        <v>230440.36981280797</v>
      </c>
      <c r="N86" s="642">
        <f t="shared" si="42"/>
        <v>26.880000000000003</v>
      </c>
      <c r="P86" s="669">
        <f>(K86*AB86/N86)*(G22+G23)</f>
        <v>1371.6688679333806</v>
      </c>
      <c r="Q86" s="671">
        <f>P86/'Rates &amp; Misc'!$C$4</f>
        <v>0.65945618650643301</v>
      </c>
      <c r="S86" t="s">
        <v>29</v>
      </c>
      <c r="T86" s="576">
        <f>ProjectData!C87</f>
        <v>125000</v>
      </c>
      <c r="U86" s="576">
        <f>ProjectData!D87</f>
        <v>349495.63141610473</v>
      </c>
      <c r="V86" s="642">
        <f t="shared" si="43"/>
        <v>26.880000000000003</v>
      </c>
      <c r="X86" s="620">
        <f>(U86*AB86)/V86</f>
        <v>2080.3311393815757</v>
      </c>
      <c r="Y86" s="563">
        <f>X86/'Rates &amp; Misc'!$C$4</f>
        <v>1.0001592016257574</v>
      </c>
      <c r="Z86" s="375">
        <f>IF(C$13="Simple",(M86*ProjectData!B$29)/'Default Data'!N86/'Rates &amp; Misc'!C$4,(U86*ProjectData!B$29)/'Default Data'!V86/'Rates &amp; Misc'!C$4)</f>
        <v>0.31254975050804923</v>
      </c>
      <c r="AA86" s="379">
        <f>IF(C$13="Simple",Q86+Z86,Y86+Z86)*Calculations!D54</f>
        <v>1.3127089521338067</v>
      </c>
      <c r="AB86" s="375">
        <f>C$110</f>
        <v>0.16</v>
      </c>
      <c r="AC86" s="369">
        <f t="shared" si="32"/>
        <v>55919.301026576759</v>
      </c>
      <c r="AD86" s="368">
        <f>IF($C$13="Simple",M86-AC86,U86-AC86)</f>
        <v>293576.33038952795</v>
      </c>
      <c r="AG86" s="368">
        <f t="shared" si="39"/>
        <v>349495.63141610473</v>
      </c>
      <c r="AN86" s="368">
        <f>AC86</f>
        <v>55919.301026576759</v>
      </c>
      <c r="AO86" s="99">
        <f>AE86</f>
        <v>0</v>
      </c>
      <c r="AP86" s="368">
        <f t="shared" si="41"/>
        <v>293576.33038952795</v>
      </c>
      <c r="AS86" s="379">
        <f t="shared" si="36"/>
        <v>0</v>
      </c>
      <c r="AT86" s="379">
        <f t="shared" si="37"/>
        <v>1.3127089521338067</v>
      </c>
    </row>
    <row r="87" spans="2:46" x14ac:dyDescent="0.25">
      <c r="B87" s="99" t="s">
        <v>340</v>
      </c>
      <c r="C87" s="396"/>
      <c r="E87" s="592">
        <v>25000</v>
      </c>
      <c r="F87" s="396">
        <f t="shared" si="28"/>
        <v>69899.126283220947</v>
      </c>
      <c r="H87" s="370">
        <f>IF(ProjectData!$B$13="UNITED STATES",1,'Local Share'!D56)</f>
        <v>1</v>
      </c>
      <c r="I87" s="370"/>
      <c r="J87" s="99" t="s">
        <v>340</v>
      </c>
      <c r="K87" s="576">
        <f t="shared" si="29"/>
        <v>16483.780418019644</v>
      </c>
      <c r="L87" s="825">
        <f t="shared" si="44"/>
        <v>4.7591862710961493E-3</v>
      </c>
      <c r="M87" s="827">
        <f t="shared" si="38"/>
        <v>46088.073962561582</v>
      </c>
      <c r="N87" s="642">
        <f t="shared" si="42"/>
        <v>20.549999999999997</v>
      </c>
      <c r="P87" s="669">
        <f>(K87*AB87/N87)*(G22+G23)</f>
        <v>358.83658559658659</v>
      </c>
      <c r="Q87" s="671">
        <f>P87/'Rates &amp; Misc'!$C$4</f>
        <v>0.17251758922912816</v>
      </c>
      <c r="S87" t="s">
        <v>340</v>
      </c>
      <c r="T87" s="576">
        <f>ProjectData!C88</f>
        <v>25000</v>
      </c>
      <c r="U87" s="576">
        <f>ProjectData!D88</f>
        <v>69899.126283220947</v>
      </c>
      <c r="V87" s="642">
        <f t="shared" si="43"/>
        <v>20.549999999999997</v>
      </c>
      <c r="X87" s="620">
        <f>(U87*AB87)/V87</f>
        <v>544.22677398128235</v>
      </c>
      <c r="Y87" s="563">
        <f>X87/'Rates &amp; Misc'!$C$4</f>
        <v>0.26164748749100114</v>
      </c>
      <c r="Z87" s="375">
        <f>IF(C$13="Simple",(M87*ProjectData!B$29)/'Default Data'!N87/'Rates &amp; Misc'!C$4,(U87*ProjectData!B$29)/'Default Data'!V87/'Rates &amp; Misc'!C$4)</f>
        <v>8.1764839840937867E-2</v>
      </c>
      <c r="AA87" s="379">
        <f>IF(C$13="Simple",Q87+Z87,Y87+Z87)*Calculations!D55</f>
        <v>0.34341232733193899</v>
      </c>
      <c r="AB87" s="375">
        <f>C$110</f>
        <v>0.16</v>
      </c>
      <c r="AC87" s="369">
        <f t="shared" si="32"/>
        <v>11183.860205315352</v>
      </c>
      <c r="AD87" s="368">
        <f>IF($C$13="Simple",M87-AC87,U87-AC87)</f>
        <v>58715.266077905595</v>
      </c>
      <c r="AG87" s="368">
        <f t="shared" si="39"/>
        <v>69899.126283220947</v>
      </c>
      <c r="AN87" s="368">
        <f>AC87</f>
        <v>11183.860205315352</v>
      </c>
      <c r="AO87" s="99">
        <f>AE87</f>
        <v>0</v>
      </c>
      <c r="AP87" s="368">
        <f t="shared" si="41"/>
        <v>58715.266077905595</v>
      </c>
      <c r="AS87" s="379">
        <f t="shared" si="36"/>
        <v>0</v>
      </c>
      <c r="AT87" s="379">
        <f t="shared" si="37"/>
        <v>0.34341232733193899</v>
      </c>
    </row>
    <row r="88" spans="2:46" ht="15.75" thickBot="1" x14ac:dyDescent="0.3">
      <c r="B88" s="99" t="s">
        <v>473</v>
      </c>
      <c r="C88" s="396"/>
      <c r="E88" s="592">
        <v>1000000</v>
      </c>
      <c r="F88" s="396">
        <f t="shared" si="28"/>
        <v>2795965.0513288379</v>
      </c>
      <c r="H88" s="370">
        <f>IF(ProjectData!$B$13="UNITED STATES",1,'Local Share'!D57)</f>
        <v>0</v>
      </c>
      <c r="I88" s="370"/>
      <c r="J88" s="99" t="s">
        <v>473</v>
      </c>
      <c r="K88" s="576">
        <f t="shared" si="29"/>
        <v>659351.21672078583</v>
      </c>
      <c r="L88" s="829">
        <f>1-SUM(L71:L87)</f>
        <v>0.19036745084384599</v>
      </c>
      <c r="M88" s="827">
        <f t="shared" si="38"/>
        <v>1843522.9585024638</v>
      </c>
      <c r="P88" s="579"/>
      <c r="Q88" s="579"/>
      <c r="S88" t="s">
        <v>473</v>
      </c>
      <c r="T88" s="576">
        <f>ProjectData!C89</f>
        <v>1000000</v>
      </c>
      <c r="U88" s="576">
        <f>ProjectData!D89</f>
        <v>2795965.0513288379</v>
      </c>
      <c r="X88" s="414"/>
      <c r="Z88" s="375"/>
      <c r="AC88" s="369">
        <f t="shared" si="32"/>
        <v>0</v>
      </c>
      <c r="AE88" s="368">
        <f>IF($C$13="Simple",M88-AC88,U88-AC88)</f>
        <v>2795965.0513288379</v>
      </c>
      <c r="AG88" s="368">
        <f t="shared" si="39"/>
        <v>2795965.0513288379</v>
      </c>
      <c r="AM88" s="368">
        <f>AC88</f>
        <v>0</v>
      </c>
      <c r="AO88" s="99">
        <f>AE88</f>
        <v>2795965.0513288379</v>
      </c>
      <c r="AP88" s="368">
        <f t="shared" si="41"/>
        <v>0</v>
      </c>
      <c r="AS88" s="379">
        <f t="shared" si="36"/>
        <v>0</v>
      </c>
      <c r="AT88" s="379">
        <f t="shared" si="37"/>
        <v>0</v>
      </c>
    </row>
    <row r="89" spans="2:46" x14ac:dyDescent="0.25">
      <c r="B89" s="397" t="s">
        <v>333</v>
      </c>
      <c r="C89" s="472"/>
      <c r="D89" s="398"/>
      <c r="E89" s="632">
        <f>SUM(E71:E88)-E78</f>
        <v>4121197.6849405407</v>
      </c>
      <c r="F89" s="632">
        <f>SUM(F71:F88)-F78</f>
        <v>11522724.696711065</v>
      </c>
      <c r="G89" s="370"/>
      <c r="K89" s="579">
        <f t="shared" si="29"/>
        <v>3463571.1819329681</v>
      </c>
      <c r="L89" s="833">
        <f>SUM(L71:L88)</f>
        <v>1</v>
      </c>
      <c r="M89" s="368">
        <f>SUM(M71:M88)</f>
        <v>9925066.1331669576</v>
      </c>
      <c r="P89" s="579"/>
      <c r="Q89" s="579"/>
      <c r="S89"/>
      <c r="U89" s="368">
        <f>SUM(U71:U88)</f>
        <v>11779769.442247912</v>
      </c>
      <c r="W89" s="100"/>
      <c r="X89" s="414"/>
      <c r="AG89" s="368">
        <f>SUM(AG71:AG88)</f>
        <v>11522724.696711067</v>
      </c>
    </row>
    <row r="90" spans="2:46" x14ac:dyDescent="0.25">
      <c r="B90" s="358"/>
      <c r="C90" s="358"/>
      <c r="D90" s="358"/>
      <c r="E90" s="393"/>
      <c r="F90" s="358"/>
      <c r="G90" s="370"/>
      <c r="K90" s="579"/>
      <c r="L90" s="579"/>
      <c r="M90" s="368">
        <f>M89+M68</f>
        <v>13388637.315099925</v>
      </c>
      <c r="P90" s="579"/>
      <c r="Q90" s="579"/>
      <c r="S90"/>
      <c r="T90"/>
      <c r="U90"/>
      <c r="V90"/>
      <c r="W90" s="100"/>
      <c r="X90" s="26"/>
      <c r="Y90"/>
    </row>
    <row r="91" spans="2:46" ht="15.75" x14ac:dyDescent="0.25">
      <c r="B91" s="401" t="s">
        <v>870</v>
      </c>
      <c r="C91" s="387"/>
      <c r="D91" s="387" t="s">
        <v>33</v>
      </c>
      <c r="E91" s="387" t="s">
        <v>758</v>
      </c>
      <c r="F91" s="603" t="s">
        <v>148</v>
      </c>
      <c r="G91" s="545"/>
      <c r="J91" s="401" t="s">
        <v>870</v>
      </c>
      <c r="P91" s="579"/>
      <c r="Q91" s="579"/>
      <c r="S91" s="401" t="s">
        <v>871</v>
      </c>
      <c r="T91"/>
      <c r="U91"/>
      <c r="V91"/>
      <c r="X91" s="26"/>
      <c r="Y91"/>
      <c r="AM91" s="423" t="s">
        <v>929</v>
      </c>
      <c r="AN91" s="423" t="s">
        <v>928</v>
      </c>
      <c r="AO91" s="423" t="s">
        <v>926</v>
      </c>
      <c r="AP91" s="423" t="s">
        <v>927</v>
      </c>
    </row>
    <row r="92" spans="2:46" ht="17.25" customHeight="1" x14ac:dyDescent="0.25">
      <c r="B92" s="96" t="s">
        <v>907</v>
      </c>
      <c r="C92"/>
      <c r="D92" s="387"/>
      <c r="E92" s="402"/>
      <c r="F92" s="603"/>
      <c r="G92" s="545"/>
      <c r="J92" s="96" t="s">
        <v>907</v>
      </c>
      <c r="O92" s="382" t="s">
        <v>34</v>
      </c>
      <c r="P92" s="673" t="s">
        <v>425</v>
      </c>
      <c r="Q92" s="674" t="s">
        <v>424</v>
      </c>
      <c r="S92" s="96" t="s">
        <v>907</v>
      </c>
      <c r="T92"/>
      <c r="U92"/>
      <c r="V92"/>
      <c r="X92" s="26"/>
      <c r="Y92"/>
      <c r="AG92" s="99" t="s">
        <v>624</v>
      </c>
    </row>
    <row r="93" spans="2:46" ht="16.5" customHeight="1" x14ac:dyDescent="0.25">
      <c r="B93" t="s">
        <v>908</v>
      </c>
      <c r="C93"/>
      <c r="D93" s="396">
        <f>IF(C$18="EGS",'Rates &amp; Misc'!C60,0)</f>
        <v>0</v>
      </c>
      <c r="E93" s="376">
        <f>'Rates &amp; Misc'!D$56*D93</f>
        <v>0</v>
      </c>
      <c r="F93" s="396">
        <f t="shared" ref="F93:F99" si="45">E93*(G$22+G$23)</f>
        <v>0</v>
      </c>
      <c r="G93" s="545"/>
      <c r="H93" s="370">
        <f>IF(ProjectData!$B$13="UNITED STATES",1,'Local Share'!D62)</f>
        <v>1</v>
      </c>
      <c r="J93" t="s">
        <v>908</v>
      </c>
      <c r="K93" s="576">
        <f t="shared" ref="K93:K99" si="46">E93</f>
        <v>0</v>
      </c>
      <c r="L93" s="576"/>
      <c r="M93" s="396">
        <f>F93</f>
        <v>0</v>
      </c>
      <c r="N93" s="587">
        <f>M93/P93</f>
        <v>0</v>
      </c>
      <c r="O93" s="577">
        <f>D93</f>
        <v>0</v>
      </c>
      <c r="P93" s="669">
        <f>'Rates &amp; Misc'!E60*'Rates &amp; Misc'!D$56*($G$22+$G$23)</f>
        <v>1232.6850718263688</v>
      </c>
      <c r="Q93" s="671">
        <f>P93/'Rates &amp; Misc'!$C$4</f>
        <v>0.59263705376267728</v>
      </c>
      <c r="S93" t="s">
        <v>908</v>
      </c>
      <c r="T93" s="576">
        <f>ProjectData!C94</f>
        <v>0</v>
      </c>
      <c r="U93" s="576">
        <f>IF(ProjectData!B$17="EGS",ProjectData!D94,0)</f>
        <v>0</v>
      </c>
      <c r="V93" s="629">
        <f>W93/'Rates &amp; Misc'!E60</f>
        <v>0</v>
      </c>
      <c r="W93" s="395">
        <f>ProjectData!B94</f>
        <v>0</v>
      </c>
      <c r="X93" s="620" t="e">
        <f>(U93*AB93)/V93</f>
        <v>#DIV/0!</v>
      </c>
      <c r="Y93" s="563" t="e">
        <f>X93/'Rates &amp; Misc'!$C$4</f>
        <v>#DIV/0!</v>
      </c>
      <c r="Z93" s="375" t="e">
        <f>IF(C$13="Simple",(M93*ProjectData!B$29)/'Default Data'!N93/'Rates &amp; Misc'!C$4,(U93*ProjectData!B$29)/'Default Data'!V93/'Rates &amp; Misc'!C$4)</f>
        <v>#DIV/0!</v>
      </c>
      <c r="AA93" s="379" t="e">
        <f>IF(C$13="Simple",Q93+Z93,Y93+Z93)*Calculations!D61</f>
        <v>#DIV/0!</v>
      </c>
      <c r="AB93" s="591">
        <v>1</v>
      </c>
      <c r="AC93" s="369">
        <f t="shared" ref="AC93:AC99" si="47">IF(C$13="Simple",M93*AB93,U93*AB93)</f>
        <v>0</v>
      </c>
      <c r="AD93" s="368">
        <f>IF($C$13="Simple",M93-AC93,U93-AC93)</f>
        <v>0</v>
      </c>
      <c r="AG93" s="368">
        <f>SUM(AC93:AF93)</f>
        <v>0</v>
      </c>
      <c r="AM93" s="368">
        <f>AC93</f>
        <v>0</v>
      </c>
      <c r="AO93" s="99">
        <f>AE93</f>
        <v>0</v>
      </c>
      <c r="AP93" s="368">
        <f>AD93</f>
        <v>0</v>
      </c>
      <c r="AS93" s="379">
        <f t="shared" ref="AS93:AS99" si="48">IF(AM93&gt;0,AA93,0)</f>
        <v>0</v>
      </c>
      <c r="AT93" s="379">
        <f t="shared" ref="AT93:AT99" si="49">IF(AN93&gt;0,AA93,0)</f>
        <v>0</v>
      </c>
    </row>
    <row r="94" spans="2:46" ht="16.5" customHeight="1" x14ac:dyDescent="0.25">
      <c r="B94" t="s">
        <v>909</v>
      </c>
      <c r="C94"/>
      <c r="D94" s="396">
        <f>IF(C$18="EGS",'Rates &amp; Misc'!C61,0)</f>
        <v>0</v>
      </c>
      <c r="E94" s="376">
        <f>'Rates &amp; Misc'!D$56*D94</f>
        <v>0</v>
      </c>
      <c r="F94" s="396">
        <f t="shared" si="45"/>
        <v>0</v>
      </c>
      <c r="G94" s="545"/>
      <c r="H94" s="370">
        <f>IF(ProjectData!$B$13="UNITED STATES",1,'Local Share'!D63)</f>
        <v>1</v>
      </c>
      <c r="J94" t="s">
        <v>909</v>
      </c>
      <c r="K94" s="576">
        <f t="shared" si="46"/>
        <v>0</v>
      </c>
      <c r="L94" s="576"/>
      <c r="M94" s="396">
        <f t="shared" ref="M94:M99" si="50">F94</f>
        <v>0</v>
      </c>
      <c r="N94" s="587">
        <f>M94/P94</f>
        <v>0</v>
      </c>
      <c r="O94" s="577">
        <f>D94</f>
        <v>0</v>
      </c>
      <c r="P94" s="669">
        <f>'Rates &amp; Misc'!E61*'Rates &amp; Misc'!D$56*($G$22+$G$23)</f>
        <v>616.34253591318441</v>
      </c>
      <c r="Q94" s="671">
        <f>P94/'Rates &amp; Misc'!$C$4</f>
        <v>0.29631852688133864</v>
      </c>
      <c r="S94" t="s">
        <v>909</v>
      </c>
      <c r="T94" s="576">
        <f>ProjectData!C95</f>
        <v>0</v>
      </c>
      <c r="U94" s="576">
        <f>IF(ProjectData!B$17="EGS",ProjectData!D95,0)</f>
        <v>0</v>
      </c>
      <c r="V94" s="629">
        <f>W94/'Rates &amp; Misc'!E61</f>
        <v>0</v>
      </c>
      <c r="W94" s="395">
        <f>ProjectData!B95</f>
        <v>0</v>
      </c>
      <c r="X94" s="620" t="e">
        <f>(U94*AB94)/V94</f>
        <v>#DIV/0!</v>
      </c>
      <c r="Y94" s="563" t="e">
        <f>X94/'Rates &amp; Misc'!$C$4</f>
        <v>#DIV/0!</v>
      </c>
      <c r="Z94" s="375" t="e">
        <f>IF(C$13="Simple",(M94*ProjectData!B$29)/'Default Data'!N94/'Rates &amp; Misc'!C$4,(U94*ProjectData!B$29)/'Default Data'!V94/'Rates &amp; Misc'!C$4)</f>
        <v>#DIV/0!</v>
      </c>
      <c r="AA94" s="379" t="e">
        <f>IF(C$13="Simple",Q94+Z94,Y94+Z94)*Calculations!D62</f>
        <v>#DIV/0!</v>
      </c>
      <c r="AB94" s="591">
        <v>1</v>
      </c>
      <c r="AC94" s="369">
        <f t="shared" si="47"/>
        <v>0</v>
      </c>
      <c r="AD94" s="368">
        <f>IF($C$13="Simple",M94-AC94,U94-AC94)</f>
        <v>0</v>
      </c>
      <c r="AG94" s="368">
        <f t="shared" ref="AG94:AG105" si="51">SUM(AC94:AF94)</f>
        <v>0</v>
      </c>
      <c r="AM94" s="368">
        <f>AC94</f>
        <v>0</v>
      </c>
      <c r="AO94" s="99">
        <f>AE94</f>
        <v>0</v>
      </c>
      <c r="AP94" s="368">
        <f>AD94</f>
        <v>0</v>
      </c>
      <c r="AS94" s="379">
        <f t="shared" si="48"/>
        <v>0</v>
      </c>
      <c r="AT94" s="379">
        <f t="shared" si="49"/>
        <v>0</v>
      </c>
    </row>
    <row r="95" spans="2:46" ht="18" customHeight="1" x14ac:dyDescent="0.25">
      <c r="B95" t="s">
        <v>910</v>
      </c>
      <c r="C95"/>
      <c r="D95" s="396">
        <f>IF(C$18="EGS",'Rates &amp; Misc'!C62,0)</f>
        <v>0</v>
      </c>
      <c r="E95" s="376">
        <f>'Rates &amp; Misc'!D$56*D95</f>
        <v>0</v>
      </c>
      <c r="F95" s="396">
        <f t="shared" si="45"/>
        <v>0</v>
      </c>
      <c r="G95" s="545"/>
      <c r="H95" s="370">
        <f>IF(ProjectData!$B$13="UNITED STATES",1,'Local Share'!D64)</f>
        <v>0</v>
      </c>
      <c r="J95" t="s">
        <v>910</v>
      </c>
      <c r="K95" s="576">
        <f t="shared" si="46"/>
        <v>0</v>
      </c>
      <c r="L95" s="576"/>
      <c r="M95" s="396">
        <f t="shared" si="50"/>
        <v>0</v>
      </c>
      <c r="N95" s="587">
        <f>M95/P95</f>
        <v>0</v>
      </c>
      <c r="O95" s="577">
        <f>D95</f>
        <v>0</v>
      </c>
      <c r="P95" s="669">
        <f>'Rates &amp; Misc'!E62*'Rates &amp; Misc'!D$56*($G$22+$G$23)</f>
        <v>616.34253591318441</v>
      </c>
      <c r="Q95" s="671">
        <f>P95/'Rates &amp; Misc'!$C$4</f>
        <v>0.29631852688133864</v>
      </c>
      <c r="S95" t="s">
        <v>910</v>
      </c>
      <c r="T95" s="576">
        <f>ProjectData!C96</f>
        <v>0</v>
      </c>
      <c r="U95" s="576">
        <f>IF(ProjectData!B$17="EGS",ProjectData!D96,0)</f>
        <v>0</v>
      </c>
      <c r="V95" s="629">
        <f>W95/'Rates &amp; Misc'!E62</f>
        <v>0</v>
      </c>
      <c r="W95" s="395">
        <f>ProjectData!B96</f>
        <v>0</v>
      </c>
      <c r="X95" s="620" t="e">
        <f>(U95*AB95)/V95</f>
        <v>#DIV/0!</v>
      </c>
      <c r="Y95" s="563" t="e">
        <f>X95/'Rates &amp; Misc'!$C$4</f>
        <v>#DIV/0!</v>
      </c>
      <c r="Z95" s="375" t="e">
        <f>IF(C$13="Simple",(M95*ProjectData!B$29)/'Default Data'!N95/'Rates &amp; Misc'!C$4,(U95*ProjectData!B$29)/'Default Data'!V95/'Rates &amp; Misc'!C$4)</f>
        <v>#DIV/0!</v>
      </c>
      <c r="AA95" s="379" t="e">
        <f>IF(C$13="Simple",Q95+Z95,Y95+Z95)*Calculations!D63</f>
        <v>#DIV/0!</v>
      </c>
      <c r="AB95" s="591">
        <v>1</v>
      </c>
      <c r="AC95" s="369">
        <f t="shared" si="47"/>
        <v>0</v>
      </c>
      <c r="AD95" s="368">
        <f>IF($C$13="Simple",M95-AC95,U95-AC95)</f>
        <v>0</v>
      </c>
      <c r="AG95" s="368">
        <f t="shared" si="51"/>
        <v>0</v>
      </c>
      <c r="AM95" s="368">
        <f>AC95</f>
        <v>0</v>
      </c>
      <c r="AO95" s="99">
        <f>AE95</f>
        <v>0</v>
      </c>
      <c r="AP95" s="368">
        <f>AD95</f>
        <v>0</v>
      </c>
      <c r="AS95" s="379">
        <f t="shared" si="48"/>
        <v>0</v>
      </c>
      <c r="AT95" s="379">
        <f t="shared" si="49"/>
        <v>0</v>
      </c>
    </row>
    <row r="96" spans="2:46" ht="16.5" customHeight="1" x14ac:dyDescent="0.25">
      <c r="B96" s="99" t="s">
        <v>911</v>
      </c>
      <c r="D96" s="396">
        <f>IF(C$18="EGS",'Rates &amp; Misc'!C63,0)</f>
        <v>0</v>
      </c>
      <c r="E96" s="376">
        <f>'Rates &amp; Misc'!D$56*D96</f>
        <v>0</v>
      </c>
      <c r="F96" s="396">
        <f t="shared" si="45"/>
        <v>0</v>
      </c>
      <c r="G96" s="545"/>
      <c r="H96" s="370">
        <f>IF(ProjectData!$B$13="UNITED STATES",1,'Local Share'!D65)</f>
        <v>0</v>
      </c>
      <c r="J96" s="99" t="s">
        <v>911</v>
      </c>
      <c r="K96" s="576">
        <f t="shared" si="46"/>
        <v>0</v>
      </c>
      <c r="L96" s="576"/>
      <c r="M96" s="396">
        <f t="shared" si="50"/>
        <v>0</v>
      </c>
      <c r="O96" s="577">
        <f>D96</f>
        <v>0</v>
      </c>
      <c r="P96" s="669"/>
      <c r="Q96" s="671">
        <f>P96/'Rates &amp; Misc'!$C$4</f>
        <v>0</v>
      </c>
      <c r="S96" s="99" t="s">
        <v>911</v>
      </c>
      <c r="T96" s="576">
        <f>ProjectData!C97</f>
        <v>0</v>
      </c>
      <c r="U96" s="576">
        <f>IF(ProjectData!B$17="EGS",ProjectData!D97,0)</f>
        <v>0</v>
      </c>
      <c r="V96"/>
      <c r="W96" s="395">
        <f>ProjectData!B97</f>
        <v>0</v>
      </c>
      <c r="Y96" s="563"/>
      <c r="Z96" s="375"/>
      <c r="AA96" s="379">
        <f>IF(C$13="Simple",Q96+Z96,Y96+Z96)*Calculations!D64</f>
        <v>0</v>
      </c>
      <c r="AB96" s="379"/>
      <c r="AC96" s="369">
        <f t="shared" si="47"/>
        <v>0</v>
      </c>
      <c r="AD96" s="368">
        <f>IF($C$13="Simple",(M96-AC96-AC97-AF97)*AH96,(U96-AC96-AC97-AF97)*AH96)</f>
        <v>0</v>
      </c>
      <c r="AE96" s="368">
        <f>AD96</f>
        <v>0</v>
      </c>
      <c r="AG96" s="368">
        <f t="shared" si="51"/>
        <v>0</v>
      </c>
      <c r="AH96" s="584">
        <v>0.5</v>
      </c>
      <c r="AM96" s="368">
        <f>AC96</f>
        <v>0</v>
      </c>
      <c r="AN96" s="368">
        <f>AE96+AD96</f>
        <v>0</v>
      </c>
      <c r="AP96" s="368"/>
      <c r="AS96" s="379">
        <f t="shared" si="48"/>
        <v>0</v>
      </c>
      <c r="AT96" s="379">
        <f t="shared" si="49"/>
        <v>0</v>
      </c>
    </row>
    <row r="97" spans="2:46" ht="15.75" customHeight="1" x14ac:dyDescent="0.25">
      <c r="B97" s="99" t="s">
        <v>922</v>
      </c>
      <c r="C97"/>
      <c r="D97" s="396">
        <f>IF(C$18="EGS",'Rates &amp; Misc'!C64,0)</f>
        <v>0</v>
      </c>
      <c r="E97" s="376">
        <f>'Rates &amp; Misc'!D$56*D97</f>
        <v>0</v>
      </c>
      <c r="F97" s="396">
        <f t="shared" si="45"/>
        <v>0</v>
      </c>
      <c r="G97" s="545"/>
      <c r="H97" s="370">
        <f>IF(ProjectData!$B$13="UNITED STATES",1,'Local Share'!D66)</f>
        <v>0</v>
      </c>
      <c r="J97" t="s">
        <v>1045</v>
      </c>
      <c r="K97" s="576">
        <f t="shared" si="46"/>
        <v>0</v>
      </c>
      <c r="L97" s="576"/>
      <c r="M97" s="396">
        <f t="shared" si="50"/>
        <v>0</v>
      </c>
      <c r="N97" s="587">
        <f>M97/P97</f>
        <v>0</v>
      </c>
      <c r="O97" s="577">
        <f>D97</f>
        <v>0</v>
      </c>
      <c r="P97" s="669">
        <f>'Rates &amp; Misc'!C47*'Rates &amp; Misc'!C48*'Rates &amp; Misc'!C49*'Rates &amp; Misc'!D$56*($G$22+$G$23)</f>
        <v>7396.1104309582133</v>
      </c>
      <c r="Q97" s="671">
        <f>P97/'Rates &amp; Misc'!$C$4</f>
        <v>3.5558223225760641</v>
      </c>
      <c r="S97" t="s">
        <v>1045</v>
      </c>
      <c r="T97" s="576">
        <f>ProjectData!C98</f>
        <v>0</v>
      </c>
      <c r="U97" s="576">
        <f>IF(ProjectData!B$17="EGS",ProjectData!D98,0)</f>
        <v>0</v>
      </c>
      <c r="V97" s="587">
        <f>U97/X97</f>
        <v>0</v>
      </c>
      <c r="W97" s="395"/>
      <c r="X97" s="620">
        <f>('Rates &amp; Misc'!C$49*'Rates &amp; Misc'!C$47)*'Rates &amp; Misc'!D$56*(ProjectData!$G$19+ProjectData!$G$20)*'Rates &amp; Misc'!C$48</f>
        <v>7396.1104309582133</v>
      </c>
      <c r="Y97" s="563">
        <f>X97/'Rates &amp; Misc'!$C$4</f>
        <v>3.5558223225760641</v>
      </c>
      <c r="Z97" s="375" t="e">
        <f>IF(C$13="Simple",(M97*ProjectData!B$29)/'Default Data'!N97/'Rates &amp; Misc'!C$4,(U97*ProjectData!B$29)/'Default Data'!V97/'Rates &amp; Misc'!C$4)</f>
        <v>#DIV/0!</v>
      </c>
      <c r="AA97" s="379" t="e">
        <f>IF(C$13="Simple",Q97+Z97,Y97+Z97)*Calculations!D65</f>
        <v>#DIV/0!</v>
      </c>
      <c r="AB97" s="591">
        <v>1</v>
      </c>
      <c r="AC97" s="369">
        <f t="shared" si="47"/>
        <v>0</v>
      </c>
      <c r="AD97" s="368">
        <f>IF($C$13="Simple",M97-AC97,U97-AC97)</f>
        <v>0</v>
      </c>
      <c r="AG97" s="368">
        <f t="shared" si="51"/>
        <v>0</v>
      </c>
      <c r="AN97" s="368">
        <f>AC97</f>
        <v>0</v>
      </c>
      <c r="AO97" s="99">
        <f>AE97</f>
        <v>0</v>
      </c>
      <c r="AP97" s="368">
        <f>AD97</f>
        <v>0</v>
      </c>
      <c r="AS97" s="379">
        <f t="shared" si="48"/>
        <v>0</v>
      </c>
      <c r="AT97" s="379">
        <f t="shared" si="49"/>
        <v>0</v>
      </c>
    </row>
    <row r="98" spans="2:46" ht="15.75" customHeight="1" x14ac:dyDescent="0.25">
      <c r="B98" t="s">
        <v>912</v>
      </c>
      <c r="C98"/>
      <c r="D98" s="396">
        <f>IF(C$18="EGS",'Rates &amp; Misc'!C65,0)</f>
        <v>0</v>
      </c>
      <c r="E98" s="376">
        <f>'Rates &amp; Misc'!D$56*D98</f>
        <v>0</v>
      </c>
      <c r="F98" s="396">
        <f t="shared" si="45"/>
        <v>0</v>
      </c>
      <c r="G98" s="545"/>
      <c r="H98" s="370">
        <f>IF(ProjectData!$B$13="UNITED STATES",1,'Local Share'!D67)</f>
        <v>1</v>
      </c>
      <c r="J98" t="s">
        <v>912</v>
      </c>
      <c r="K98" s="576">
        <f t="shared" si="46"/>
        <v>0</v>
      </c>
      <c r="L98" s="576"/>
      <c r="M98" s="396">
        <f t="shared" si="50"/>
        <v>0</v>
      </c>
      <c r="P98" s="579"/>
      <c r="Q98" s="579"/>
      <c r="S98" t="s">
        <v>912</v>
      </c>
      <c r="T98" s="576">
        <f>ProjectData!C99</f>
        <v>0</v>
      </c>
      <c r="U98" s="576">
        <f>IF(ProjectData!B$17="EGS",ProjectData!D99,0)</f>
        <v>0</v>
      </c>
      <c r="V98"/>
      <c r="W98" s="395"/>
      <c r="X98" s="388"/>
      <c r="Y98" s="563"/>
      <c r="AA98" s="379">
        <f>IF(C$13="Simple",Q98+Z98,Y98+Z98)*Calculations!D66</f>
        <v>0</v>
      </c>
      <c r="AC98" s="369">
        <f t="shared" si="47"/>
        <v>0</v>
      </c>
      <c r="AD98" s="368">
        <f>IF($C$13="Simple",M98-AC98,U98-AC98)</f>
        <v>0</v>
      </c>
      <c r="AG98" s="368">
        <f t="shared" si="51"/>
        <v>0</v>
      </c>
      <c r="AM98" s="368">
        <f>AC98</f>
        <v>0</v>
      </c>
      <c r="AO98" s="99">
        <f>AE98</f>
        <v>0</v>
      </c>
      <c r="AP98" s="368">
        <f>AD98</f>
        <v>0</v>
      </c>
      <c r="AS98" s="379">
        <f t="shared" si="48"/>
        <v>0</v>
      </c>
      <c r="AT98" s="379">
        <f t="shared" si="49"/>
        <v>0</v>
      </c>
    </row>
    <row r="99" spans="2:46" ht="14.25" customHeight="1" x14ac:dyDescent="0.25">
      <c r="B99" t="s">
        <v>29</v>
      </c>
      <c r="C99"/>
      <c r="D99" s="396">
        <f>IF(C$18="EGS",'Rates &amp; Misc'!C66,0)</f>
        <v>0</v>
      </c>
      <c r="E99" s="376">
        <f>'Rates &amp; Misc'!D$56*D99</f>
        <v>0</v>
      </c>
      <c r="F99" s="396">
        <f t="shared" si="45"/>
        <v>0</v>
      </c>
      <c r="G99" s="545"/>
      <c r="H99" s="370">
        <f>IF(ProjectData!$B$13="UNITED STATES",1,'Local Share'!D68)</f>
        <v>1</v>
      </c>
      <c r="J99" t="s">
        <v>29</v>
      </c>
      <c r="K99" s="576">
        <f t="shared" si="46"/>
        <v>0</v>
      </c>
      <c r="L99" s="576"/>
      <c r="M99" s="396">
        <f t="shared" si="50"/>
        <v>0</v>
      </c>
      <c r="N99" s="451">
        <f>N86</f>
        <v>26.880000000000003</v>
      </c>
      <c r="P99" s="669">
        <f>(K99*$AB99/N99)*($G22+$G23)</f>
        <v>0</v>
      </c>
      <c r="Q99" s="671">
        <f>P99/'Rates &amp; Misc'!$C$4</f>
        <v>0</v>
      </c>
      <c r="S99" t="s">
        <v>29</v>
      </c>
      <c r="T99" s="576">
        <f>ProjectData!C100</f>
        <v>0</v>
      </c>
      <c r="U99" s="576">
        <f>IF(ProjectData!B$17="EGS",ProjectData!D100,0)</f>
        <v>0</v>
      </c>
      <c r="V99" s="451">
        <f>V86</f>
        <v>26.880000000000003</v>
      </c>
      <c r="W99" s="395"/>
      <c r="X99" s="669">
        <f>(T99*$AB99/V99)*($G22+$G23)</f>
        <v>0</v>
      </c>
      <c r="Y99" s="671">
        <f>X99/'Rates &amp; Misc'!$C$4</f>
        <v>0</v>
      </c>
      <c r="AA99" s="379">
        <f>IF(C$13="Simple",Q99+Z99,Y99+Z99)*Calculations!D67</f>
        <v>0</v>
      </c>
      <c r="AB99" s="617">
        <f>C$110</f>
        <v>0.16</v>
      </c>
      <c r="AC99" s="369">
        <f t="shared" si="47"/>
        <v>0</v>
      </c>
      <c r="AD99" s="368">
        <f>IF($C$13="Simple",M99-AC99,U99-AC99)</f>
        <v>0</v>
      </c>
      <c r="AG99" s="368">
        <f t="shared" si="51"/>
        <v>0</v>
      </c>
      <c r="AN99" s="368">
        <f>AC99</f>
        <v>0</v>
      </c>
      <c r="AO99" s="99">
        <f>AE99</f>
        <v>0</v>
      </c>
      <c r="AP99" s="368">
        <f>AD99</f>
        <v>0</v>
      </c>
      <c r="AS99" s="379">
        <f t="shared" si="48"/>
        <v>0</v>
      </c>
      <c r="AT99" s="379">
        <f t="shared" si="49"/>
        <v>0</v>
      </c>
    </row>
    <row r="100" spans="2:46" ht="15" customHeight="1" x14ac:dyDescent="0.25">
      <c r="B100" s="358" t="s">
        <v>825</v>
      </c>
      <c r="C100" s="358"/>
      <c r="D100" s="627">
        <f>SUM(D93:D99)</f>
        <v>0</v>
      </c>
      <c r="E100" s="376">
        <f>SUM(E93:E99)</f>
        <v>0</v>
      </c>
      <c r="F100" s="411">
        <f>SUM(F93:F99)</f>
        <v>0</v>
      </c>
      <c r="G100" s="545"/>
      <c r="H100" s="370"/>
      <c r="J100" s="358" t="s">
        <v>825</v>
      </c>
      <c r="K100" s="368">
        <f>SUM(K93:K99)</f>
        <v>0</v>
      </c>
      <c r="M100" s="368">
        <f>SUM(M93:M99)-M97</f>
        <v>0</v>
      </c>
      <c r="S100" s="358" t="s">
        <v>825</v>
      </c>
      <c r="T100" s="576"/>
      <c r="U100" s="576"/>
      <c r="V100"/>
      <c r="W100" s="395"/>
      <c r="X100" s="388"/>
      <c r="Y100" s="563"/>
      <c r="AA100" s="379"/>
      <c r="AG100" s="368">
        <f t="shared" si="51"/>
        <v>0</v>
      </c>
    </row>
    <row r="101" spans="2:46" ht="15.75" customHeight="1" x14ac:dyDescent="0.25">
      <c r="B101" s="96" t="s">
        <v>913</v>
      </c>
      <c r="C101"/>
      <c r="D101" s="627"/>
      <c r="E101" s="376"/>
      <c r="F101" s="396"/>
      <c r="G101" s="545"/>
      <c r="H101" s="370"/>
      <c r="J101" s="96" t="s">
        <v>913</v>
      </c>
      <c r="S101" s="96" t="s">
        <v>913</v>
      </c>
      <c r="T101" s="576"/>
      <c r="U101" s="576"/>
      <c r="W101" s="395"/>
      <c r="X101" s="388"/>
      <c r="Y101" s="563"/>
      <c r="AA101" s="379"/>
      <c r="AG101" s="368">
        <f t="shared" si="51"/>
        <v>0</v>
      </c>
    </row>
    <row r="102" spans="2:46" ht="15" customHeight="1" x14ac:dyDescent="0.25">
      <c r="B102" t="s">
        <v>914</v>
      </c>
      <c r="C102" s="28"/>
      <c r="D102" s="396">
        <f>IF($C$18="EGS",'Rates &amp; Misc'!D67,0)</f>
        <v>0</v>
      </c>
      <c r="E102" s="630">
        <f>D102</f>
        <v>0</v>
      </c>
      <c r="F102" s="396">
        <f>E102*(G$22+G$23)</f>
        <v>0</v>
      </c>
      <c r="G102" s="545"/>
      <c r="H102" s="370">
        <f>IF(ProjectData!$B$13="UNITED STATES",1,'Local Share'!D71)</f>
        <v>0</v>
      </c>
      <c r="J102" t="s">
        <v>914</v>
      </c>
      <c r="K102" s="576">
        <f>E102</f>
        <v>0</v>
      </c>
      <c r="L102" s="576"/>
      <c r="M102" s="396">
        <f>F102</f>
        <v>0</v>
      </c>
      <c r="O102" s="375"/>
      <c r="S102" t="s">
        <v>914</v>
      </c>
      <c r="T102" s="576">
        <f>ProjectData!C103</f>
        <v>0</v>
      </c>
      <c r="U102" s="576">
        <f>IF(ProjectData!B$17="EGS",ProjectData!D103,0)</f>
        <v>0</v>
      </c>
      <c r="W102" s="395">
        <f>ProjectData!B96</f>
        <v>0</v>
      </c>
      <c r="X102" s="388">
        <f>24*'Default Data'!$K$24*ProjectData!B68</f>
        <v>0</v>
      </c>
      <c r="Y102" s="563">
        <f>X102/'Rates &amp; Misc'!$C$4</f>
        <v>0</v>
      </c>
      <c r="Z102" s="375"/>
      <c r="AA102" s="379">
        <f>IF(C$13="Simple",Q102+Z102,Y102+Z102)*Calculations!D70</f>
        <v>0</v>
      </c>
      <c r="AB102" s="591">
        <v>0</v>
      </c>
      <c r="AC102" s="369">
        <f>IF(C$13="Simple",M102*AB102,U102*AB102)</f>
        <v>0</v>
      </c>
      <c r="AD102" s="368"/>
      <c r="AE102" s="368">
        <f>IF($C$13="Simple",M102-AC102,U102-AC102)</f>
        <v>0</v>
      </c>
      <c r="AG102" s="368">
        <f t="shared" si="51"/>
        <v>0</v>
      </c>
      <c r="AM102" s="368">
        <f>AC102</f>
        <v>0</v>
      </c>
      <c r="AO102" s="414">
        <f>AE102</f>
        <v>0</v>
      </c>
      <c r="AP102" s="368">
        <f>AD102</f>
        <v>0</v>
      </c>
      <c r="AS102" s="379">
        <f>IF(AM102&gt;0,AA102,0)</f>
        <v>0</v>
      </c>
      <c r="AT102" s="379">
        <f>IF(AN102&gt;0,AA102,0)</f>
        <v>0</v>
      </c>
    </row>
    <row r="103" spans="2:46" ht="16.5" customHeight="1" x14ac:dyDescent="0.25">
      <c r="B103" t="s">
        <v>915</v>
      </c>
      <c r="C103" s="28"/>
      <c r="D103" s="396">
        <f>IF($C$18="EGS",'Rates &amp; Misc'!D68,0)</f>
        <v>0</v>
      </c>
      <c r="E103" s="630">
        <f>D103</f>
        <v>0</v>
      </c>
      <c r="F103" s="396">
        <f>E103*(G$22+G$23)</f>
        <v>0</v>
      </c>
      <c r="G103" s="545"/>
      <c r="H103" s="370">
        <f>IF(ProjectData!$B$13="UNITED STATES",1,'Local Share'!D72)</f>
        <v>1</v>
      </c>
      <c r="J103" t="s">
        <v>915</v>
      </c>
      <c r="K103" s="576">
        <f>E103</f>
        <v>0</v>
      </c>
      <c r="L103" s="576"/>
      <c r="M103" s="396">
        <f>F103</f>
        <v>0</v>
      </c>
      <c r="O103" s="375"/>
      <c r="S103" t="s">
        <v>915</v>
      </c>
      <c r="T103" s="576">
        <f>ProjectData!C104</f>
        <v>0</v>
      </c>
      <c r="U103" s="576">
        <f>IF(ProjectData!B$17="EGS",ProjectData!D104,0)</f>
        <v>0</v>
      </c>
      <c r="W103" s="395">
        <f>ProjectData!B97</f>
        <v>0</v>
      </c>
      <c r="X103" s="388">
        <f>24*'Default Data'!$K$24*ProjectData!B69</f>
        <v>0</v>
      </c>
      <c r="Y103" s="563">
        <f>X103/'Rates &amp; Misc'!$C$4</f>
        <v>0</v>
      </c>
      <c r="Z103" s="375"/>
      <c r="AA103" s="379">
        <f>IF(C$13="Simple",Q103+Z103,Y103+Z103)*Calculations!D71</f>
        <v>0</v>
      </c>
      <c r="AB103" s="591">
        <v>0</v>
      </c>
      <c r="AC103" s="369">
        <f>IF(C$13="Simple",M103*AB103,U103*AB103)</f>
        <v>0</v>
      </c>
      <c r="AD103" s="368"/>
      <c r="AE103" s="368">
        <f>IF($C$13="Simple",M103-AC103,U103-AC103)</f>
        <v>0</v>
      </c>
      <c r="AG103" s="368">
        <f t="shared" si="51"/>
        <v>0</v>
      </c>
      <c r="AN103" s="368">
        <f>AC103</f>
        <v>0</v>
      </c>
      <c r="AO103" s="414">
        <f>AE103</f>
        <v>0</v>
      </c>
      <c r="AP103" s="368">
        <f>AD103</f>
        <v>0</v>
      </c>
      <c r="AS103" s="379">
        <f>IF(AM103&gt;0,AA103,0)</f>
        <v>0</v>
      </c>
      <c r="AT103" s="379">
        <f>IF(AN103&gt;0,AA103,0)</f>
        <v>0</v>
      </c>
    </row>
    <row r="104" spans="2:46" ht="15.75" customHeight="1" x14ac:dyDescent="0.25">
      <c r="B104" t="s">
        <v>918</v>
      </c>
      <c r="C104" s="396"/>
      <c r="D104" s="396">
        <f>IF($C$18="EGS",'Rates &amp; Misc'!D69,0)</f>
        <v>0</v>
      </c>
      <c r="E104" s="630">
        <f>D104</f>
        <v>0</v>
      </c>
      <c r="F104" s="396">
        <f>E104*(G$22+G$23)</f>
        <v>0</v>
      </c>
      <c r="G104" s="545"/>
      <c r="H104" s="370">
        <f>IF(ProjectData!$B$13="UNITED STATES",1,'Local Share'!D73)</f>
        <v>1</v>
      </c>
      <c r="J104" t="s">
        <v>918</v>
      </c>
      <c r="K104" s="576">
        <f>E104</f>
        <v>0</v>
      </c>
      <c r="L104" s="576"/>
      <c r="M104" s="396">
        <f>F104</f>
        <v>0</v>
      </c>
      <c r="O104" s="375"/>
      <c r="S104" t="s">
        <v>918</v>
      </c>
      <c r="T104" s="576">
        <f>ProjectData!C105</f>
        <v>0</v>
      </c>
      <c r="U104" s="576">
        <f>IF(ProjectData!B$17="EGS",ProjectData!D105,0)</f>
        <v>0</v>
      </c>
      <c r="W104" s="395">
        <f>ProjectData!B98</f>
        <v>0</v>
      </c>
      <c r="X104" s="388">
        <f>24*'Default Data'!$K$24*ProjectData!B70</f>
        <v>0</v>
      </c>
      <c r="Y104" s="563">
        <f>X104/'Rates &amp; Misc'!$C$4</f>
        <v>0</v>
      </c>
      <c r="Z104" s="375"/>
      <c r="AA104" s="379">
        <f>IF(C$13="Simple",Q104+Z104,Y104+Z104)*Calculations!D72</f>
        <v>0</v>
      </c>
      <c r="AB104" s="591">
        <v>0</v>
      </c>
      <c r="AC104" s="369">
        <f>IF(C$13="Simple",M104*AB104,U104*AB104)</f>
        <v>0</v>
      </c>
      <c r="AE104" s="368">
        <f>IF($C$13="Simple",M104-AC104,U104-AC104)</f>
        <v>0</v>
      </c>
      <c r="AG104" s="368">
        <f t="shared" si="51"/>
        <v>0</v>
      </c>
      <c r="AN104" s="368">
        <f>AC104</f>
        <v>0</v>
      </c>
      <c r="AO104" s="414">
        <f>AE104</f>
        <v>0</v>
      </c>
      <c r="AP104" s="368">
        <f>AD104</f>
        <v>0</v>
      </c>
      <c r="AS104" s="379">
        <f>IF(AM104&gt;0,AA104,0)</f>
        <v>0</v>
      </c>
      <c r="AT104" s="379">
        <f>IF(AN104&gt;0,AA104,0)</f>
        <v>0</v>
      </c>
    </row>
    <row r="105" spans="2:46" ht="15" customHeight="1" x14ac:dyDescent="0.25">
      <c r="B105" t="s">
        <v>916</v>
      </c>
      <c r="C105" s="28"/>
      <c r="D105" s="396">
        <f>IF($C$18="EGS",'Rates &amp; Misc'!D70,0)</f>
        <v>0</v>
      </c>
      <c r="E105" s="630">
        <f>D105</f>
        <v>0</v>
      </c>
      <c r="F105" s="396">
        <f>E105*(G$22+G$23)</f>
        <v>0</v>
      </c>
      <c r="G105" s="545"/>
      <c r="H105" s="370">
        <f>IF(ProjectData!$B$13="UNITED STATES",1,'Local Share'!D74)</f>
        <v>0</v>
      </c>
      <c r="J105" t="s">
        <v>916</v>
      </c>
      <c r="K105" s="576">
        <f>E105</f>
        <v>0</v>
      </c>
      <c r="L105" s="576"/>
      <c r="M105" s="396">
        <f>F105</f>
        <v>0</v>
      </c>
      <c r="O105" s="375"/>
      <c r="S105" t="s">
        <v>916</v>
      </c>
      <c r="T105" s="576">
        <f>ProjectData!C106</f>
        <v>0</v>
      </c>
      <c r="U105" s="576">
        <f>IF(ProjectData!B$17="EGS",ProjectData!D106,0)</f>
        <v>0</v>
      </c>
      <c r="W105" s="395">
        <f>ProjectData!B99</f>
        <v>0</v>
      </c>
      <c r="X105" s="388"/>
      <c r="Y105" s="563">
        <f>X105/'Rates &amp; Misc'!$C$4</f>
        <v>0</v>
      </c>
      <c r="Z105" s="375"/>
      <c r="AA105" s="379">
        <f>IF(C$13="Simple",Q105+Z105,Y105+Z105)*Calculations!D73</f>
        <v>0</v>
      </c>
      <c r="AB105" s="591">
        <v>0</v>
      </c>
      <c r="AC105" s="369">
        <f>IF(C$13="Simple",M105*AB105,U105*AB105)</f>
        <v>0</v>
      </c>
      <c r="AD105" s="368"/>
      <c r="AE105" s="368">
        <f>IF($C$13="Simple",M105-AC105,U105-AC105)</f>
        <v>0</v>
      </c>
      <c r="AG105" s="368">
        <f t="shared" si="51"/>
        <v>0</v>
      </c>
      <c r="AN105" s="368">
        <f>AC105</f>
        <v>0</v>
      </c>
      <c r="AO105" s="414">
        <f>AE105</f>
        <v>0</v>
      </c>
      <c r="AP105" s="368">
        <f>AD105</f>
        <v>0</v>
      </c>
      <c r="AS105" s="379">
        <f>IF(AM105&gt;0,AA105,0)</f>
        <v>0</v>
      </c>
      <c r="AT105" s="379">
        <f>IF(AN105&gt;0,AA105,0)</f>
        <v>0</v>
      </c>
    </row>
    <row r="106" spans="2:46" ht="16.5" customHeight="1" thickBot="1" x14ac:dyDescent="0.3">
      <c r="B106" t="s">
        <v>917</v>
      </c>
      <c r="C106" s="97"/>
      <c r="D106" s="300">
        <f>SUM(D102:D105)</f>
        <v>0</v>
      </c>
      <c r="E106" s="300">
        <f>SUM(E102:E105)</f>
        <v>0</v>
      </c>
      <c r="F106" s="396">
        <f>SUM(F102:F105)</f>
        <v>0</v>
      </c>
      <c r="G106" s="545"/>
      <c r="H106" s="370">
        <f>IF(ProjectData!$B$13="UNITED STATES",1,'Local Share'!D75)</f>
        <v>0</v>
      </c>
      <c r="J106"/>
      <c r="K106" s="368">
        <f>SUM(K102:K105)</f>
        <v>0</v>
      </c>
      <c r="M106" s="368">
        <f>SUM(M102:M105)</f>
        <v>0</v>
      </c>
      <c r="S106"/>
      <c r="T106" s="576"/>
      <c r="U106" s="576"/>
      <c r="W106" s="395"/>
      <c r="X106" s="388"/>
      <c r="Y106" s="563"/>
      <c r="AA106" s="379">
        <f>IF(C$13="Simple",Q106,Y106)</f>
        <v>0</v>
      </c>
    </row>
    <row r="107" spans="2:46" ht="15" customHeight="1" x14ac:dyDescent="0.25">
      <c r="B107" s="398" t="s">
        <v>624</v>
      </c>
      <c r="C107" s="398"/>
      <c r="D107" s="472">
        <f>D106+D100</f>
        <v>0</v>
      </c>
      <c r="E107" s="472">
        <f>E106+E100</f>
        <v>0</v>
      </c>
      <c r="F107" s="631">
        <f>F106+F100</f>
        <v>0</v>
      </c>
      <c r="G107" s="545"/>
      <c r="J107" s="398"/>
      <c r="K107" s="368">
        <f>K106+K100</f>
        <v>0</v>
      </c>
      <c r="M107" s="368">
        <f>M106+M100</f>
        <v>0</v>
      </c>
      <c r="S107" s="398"/>
    </row>
    <row r="108" spans="2:46" ht="23.25" x14ac:dyDescent="0.35">
      <c r="B108" s="404" t="str">
        <f>CONCATENATE(C19," Plant")</f>
        <v>Binary Plant</v>
      </c>
      <c r="C108" s="387" t="s">
        <v>733</v>
      </c>
      <c r="D108" s="387" t="s">
        <v>507</v>
      </c>
      <c r="E108" s="602" t="s">
        <v>148</v>
      </c>
      <c r="F108" s="384"/>
      <c r="G108" s="601" t="s">
        <v>108</v>
      </c>
      <c r="J108" s="356"/>
      <c r="S108"/>
    </row>
    <row r="109" spans="2:46" ht="21" x14ac:dyDescent="0.35">
      <c r="B109" s="386" t="s">
        <v>388</v>
      </c>
      <c r="C109" s="358"/>
      <c r="D109" s="389"/>
      <c r="E109" s="610">
        <f>K15</f>
        <v>23549341.05120967</v>
      </c>
      <c r="F109" s="154"/>
      <c r="G109" s="406"/>
      <c r="J109" s="356"/>
      <c r="S109" s="103" t="s">
        <v>110</v>
      </c>
      <c r="T109"/>
      <c r="U109"/>
      <c r="V109"/>
      <c r="W109"/>
      <c r="X109" s="26"/>
      <c r="Y109"/>
      <c r="AM109" s="423"/>
      <c r="AN109" s="423"/>
      <c r="AO109" s="423"/>
      <c r="AP109" s="423"/>
    </row>
    <row r="110" spans="2:46" ht="21" x14ac:dyDescent="0.35">
      <c r="B110" s="356" t="s">
        <v>956</v>
      </c>
      <c r="C110" s="99">
        <f>'Rates &amp; Misc'!C14</f>
        <v>0.16</v>
      </c>
      <c r="E110" s="609">
        <f>E109*C110</f>
        <v>3767894.5681935474</v>
      </c>
      <c r="F110" s="373"/>
      <c r="G110" s="408"/>
      <c r="J110" s="374" t="s">
        <v>1046</v>
      </c>
      <c r="S110" s="105" t="s">
        <v>1046</v>
      </c>
      <c r="T110"/>
      <c r="U110"/>
      <c r="V110"/>
      <c r="W110"/>
      <c r="X110" s="26"/>
      <c r="Y110"/>
      <c r="AC110" s="369" t="s">
        <v>102</v>
      </c>
      <c r="AE110" s="99" t="s">
        <v>930</v>
      </c>
      <c r="AG110" s="99" t="s">
        <v>624</v>
      </c>
      <c r="AM110" s="423" t="s">
        <v>929</v>
      </c>
      <c r="AN110" s="423" t="s">
        <v>928</v>
      </c>
      <c r="AO110" s="423" t="s">
        <v>926</v>
      </c>
      <c r="AP110" s="423" t="s">
        <v>927</v>
      </c>
    </row>
    <row r="111" spans="2:46" x14ac:dyDescent="0.25">
      <c r="B111" s="99" t="s">
        <v>1084</v>
      </c>
      <c r="C111" s="370">
        <f>'Rates &amp; Misc'!I38</f>
        <v>0.1</v>
      </c>
      <c r="D111" s="368">
        <f>$E$110*C111</f>
        <v>376789.45681935479</v>
      </c>
      <c r="E111" s="396"/>
      <c r="F111" s="373"/>
      <c r="H111" s="370">
        <f>IF(ProjectData!$B$13="UNITED STATES",1,'Local Share'!D80)</f>
        <v>1</v>
      </c>
      <c r="I111" s="370"/>
      <c r="J111" s="99" t="s">
        <v>109</v>
      </c>
      <c r="K111" s="576">
        <f>D111</f>
        <v>376789.45681935479</v>
      </c>
      <c r="L111" s="576"/>
      <c r="N111" s="679">
        <f>'Rates &amp; Misc'!H38</f>
        <v>63.75</v>
      </c>
      <c r="O111" s="375">
        <v>1</v>
      </c>
      <c r="P111" s="366">
        <f>K111/N111</f>
        <v>5910.42285206831</v>
      </c>
      <c r="Q111" s="563">
        <f>P111/'Rates &amp; Misc'!$C$4</f>
        <v>2.8415494481097645</v>
      </c>
      <c r="S111" t="s">
        <v>109</v>
      </c>
      <c r="T111" s="573">
        <f>ProjectData!D112</f>
        <v>376789.45681935479</v>
      </c>
      <c r="U111" s="120"/>
      <c r="V111" s="683">
        <f>ProjectData!B112</f>
        <v>63.75</v>
      </c>
      <c r="W111"/>
      <c r="X111" s="574">
        <f>T111/V111</f>
        <v>5910.42285206831</v>
      </c>
      <c r="Y111" s="575">
        <f>X111/'Rates &amp; Misc'!$C$4</f>
        <v>2.8415494481097645</v>
      </c>
      <c r="Z111" s="375">
        <f>IF(C$13="Simple",(M111*ProjectData!B$29)/'Default Data'!N111/'Rates &amp; Misc'!C$4,(U111*ProjectData!B$29)/'Default Data'!V111/'Rates &amp; Misc'!C$4)</f>
        <v>0</v>
      </c>
      <c r="AA111" s="379">
        <f>IF(C$13="Simple",Q111+Z111,Y111+Z111)*Calculations!D79</f>
        <v>2.8415494481097645</v>
      </c>
      <c r="AB111" s="591">
        <v>1</v>
      </c>
      <c r="AC111" s="369">
        <f>IF($C$13="Simple",$K111*$AB111,$T111*$AB111)</f>
        <v>376789.45681935479</v>
      </c>
      <c r="AG111" s="368">
        <f>SUM(AC111:AF111)</f>
        <v>376789.45681935479</v>
      </c>
      <c r="AM111" s="368">
        <f t="shared" ref="AM111:AN115" si="52">AC111</f>
        <v>376789.45681935479</v>
      </c>
      <c r="AN111" s="368">
        <f t="shared" si="52"/>
        <v>0</v>
      </c>
      <c r="AS111" s="379">
        <f>IF(AM111&gt;0,AA111,0)</f>
        <v>2.8415494481097645</v>
      </c>
      <c r="AT111" s="379">
        <f>IF(AN111&gt;0,AA111,0)</f>
        <v>0</v>
      </c>
    </row>
    <row r="112" spans="2:46" x14ac:dyDescent="0.25">
      <c r="B112" s="99" t="s">
        <v>99</v>
      </c>
      <c r="C112" s="370">
        <f>'Rates &amp; Misc'!I39</f>
        <v>0.2</v>
      </c>
      <c r="D112" s="368">
        <f>$E$110*C112</f>
        <v>753578.91363870958</v>
      </c>
      <c r="E112" s="396"/>
      <c r="F112" s="373"/>
      <c r="H112" s="370">
        <f>IF(ProjectData!$B$13="UNITED STATES",1,'Local Share'!D81)</f>
        <v>1</v>
      </c>
      <c r="I112" s="370"/>
      <c r="J112" s="99" t="s">
        <v>99</v>
      </c>
      <c r="K112" s="576">
        <f>D112</f>
        <v>753578.91363870958</v>
      </c>
      <c r="L112" s="576"/>
      <c r="N112" s="679">
        <f>'Rates &amp; Misc'!H39</f>
        <v>20.565000000000001</v>
      </c>
      <c r="O112" s="375">
        <v>1</v>
      </c>
      <c r="P112" s="366">
        <f>K112/N112</f>
        <v>36643.759476718187</v>
      </c>
      <c r="Q112" s="563">
        <f>P112/'Rates &amp; Misc'!$C$4</f>
        <v>17.617192056114511</v>
      </c>
      <c r="S112" t="s">
        <v>99</v>
      </c>
      <c r="T112" s="573">
        <f>ProjectData!D113</f>
        <v>753578.91363870958</v>
      </c>
      <c r="U112" s="120"/>
      <c r="V112" s="683">
        <f>ProjectData!B113</f>
        <v>20.565000000000001</v>
      </c>
      <c r="W112"/>
      <c r="X112" s="574">
        <f>T112/V112</f>
        <v>36643.759476718187</v>
      </c>
      <c r="Y112" s="575">
        <f>X112/'Rates &amp; Misc'!$C$4</f>
        <v>17.617192056114511</v>
      </c>
      <c r="Z112" s="375">
        <f>IF(C$13="Simple",(M112*ProjectData!B$29)/'Default Data'!N112/'Rates &amp; Misc'!C$4,(U112*ProjectData!B$29)/'Default Data'!V112/'Rates &amp; Misc'!C$4)</f>
        <v>0</v>
      </c>
      <c r="AA112" s="379">
        <f>IF(C$13="Simple",Q112+Z112,Y112+Z112)*Calculations!D80</f>
        <v>17.617192056114511</v>
      </c>
      <c r="AB112" s="591">
        <v>1</v>
      </c>
      <c r="AD112" s="369">
        <f>IF($C$13="Simple",$K112*$AB112,$T112*$AB112)</f>
        <v>753578.91363870958</v>
      </c>
      <c r="AG112" s="368">
        <f>SUM(AC112:AF112)</f>
        <v>753578.91363870958</v>
      </c>
      <c r="AM112" s="368">
        <f t="shared" si="52"/>
        <v>0</v>
      </c>
      <c r="AN112" s="368">
        <f t="shared" si="52"/>
        <v>753578.91363870958</v>
      </c>
      <c r="AS112" s="379">
        <f>IF(AM112&gt;0,AA112,0)</f>
        <v>0</v>
      </c>
      <c r="AT112" s="379">
        <f>IF(AN112&gt;0,AA112,0)</f>
        <v>17.617192056114511</v>
      </c>
    </row>
    <row r="113" spans="1:46" x14ac:dyDescent="0.25">
      <c r="B113" s="99" t="s">
        <v>107</v>
      </c>
      <c r="C113" s="370">
        <f>'Rates &amp; Misc'!I40</f>
        <v>0.2</v>
      </c>
      <c r="D113" s="368">
        <f>$E$110*C113</f>
        <v>753578.91363870958</v>
      </c>
      <c r="E113" s="396"/>
      <c r="F113" s="373"/>
      <c r="H113" s="370">
        <f>IF(ProjectData!$B$13="UNITED STATES",1,'Local Share'!D82)</f>
        <v>1</v>
      </c>
      <c r="I113" s="370"/>
      <c r="J113" s="99" t="s">
        <v>107</v>
      </c>
      <c r="K113" s="576">
        <f>D113</f>
        <v>753578.91363870958</v>
      </c>
      <c r="L113" s="576"/>
      <c r="N113" s="679">
        <f>'Rates &amp; Misc'!H40</f>
        <v>26.25</v>
      </c>
      <c r="O113" s="375">
        <v>1</v>
      </c>
      <c r="P113" s="366">
        <f>K113/N113</f>
        <v>28707.768138617506</v>
      </c>
      <c r="Q113" s="563">
        <f>P113/'Rates &amp; Misc'!$C$4</f>
        <v>13.80181160510457</v>
      </c>
      <c r="S113" t="s">
        <v>107</v>
      </c>
      <c r="T113" s="573">
        <f>ProjectData!D114</f>
        <v>753578.91363870958</v>
      </c>
      <c r="U113" s="120"/>
      <c r="V113" s="683">
        <f>ProjectData!B114</f>
        <v>26.25</v>
      </c>
      <c r="W113"/>
      <c r="X113" s="574">
        <f>T113/V113</f>
        <v>28707.768138617506</v>
      </c>
      <c r="Y113" s="575">
        <f>X113/'Rates &amp; Misc'!$C$4</f>
        <v>13.80181160510457</v>
      </c>
      <c r="Z113" s="375">
        <f>IF(C$13="Simple",(M113*ProjectData!B$29)/'Default Data'!N113/'Rates &amp; Misc'!C$4,(U113*ProjectData!B$29)/'Default Data'!V113/'Rates &amp; Misc'!C$4)</f>
        <v>0</v>
      </c>
      <c r="AA113" s="379">
        <f>IF(C$13="Simple",Q113+Z113,Y113+Z113)*Calculations!D81</f>
        <v>13.80181160510457</v>
      </c>
      <c r="AB113" s="591">
        <v>1</v>
      </c>
      <c r="AD113" s="369">
        <f>IF($C$13="Simple",$K113*$AB113,$T113*$AB113)</f>
        <v>753578.91363870958</v>
      </c>
      <c r="AG113" s="368">
        <f>SUM(AC113:AF113)</f>
        <v>753578.91363870958</v>
      </c>
      <c r="AM113" s="368">
        <f t="shared" si="52"/>
        <v>0</v>
      </c>
      <c r="AN113" s="368">
        <f t="shared" si="52"/>
        <v>753578.91363870958</v>
      </c>
      <c r="AS113" s="379">
        <f>IF(AM113&gt;0,AA113,0)</f>
        <v>0</v>
      </c>
      <c r="AT113" s="379">
        <f>IF(AN113&gt;0,AA113,0)</f>
        <v>13.80181160510457</v>
      </c>
    </row>
    <row r="114" spans="1:46" x14ac:dyDescent="0.25">
      <c r="B114" s="99" t="s">
        <v>83</v>
      </c>
      <c r="C114" s="370">
        <f>'Rates &amp; Misc'!I41</f>
        <v>0.2</v>
      </c>
      <c r="D114" s="368">
        <f>$E$110*C114</f>
        <v>753578.91363870958</v>
      </c>
      <c r="E114" s="396"/>
      <c r="F114" s="373"/>
      <c r="H114" s="370">
        <f>IF(ProjectData!$B$13="UNITED STATES",1,'Local Share'!D83)</f>
        <v>1</v>
      </c>
      <c r="I114" s="370"/>
      <c r="J114" s="99" t="s">
        <v>83</v>
      </c>
      <c r="K114" s="576">
        <f>D114</f>
        <v>753578.91363870958</v>
      </c>
      <c r="L114" s="576"/>
      <c r="N114" s="679">
        <f>'Rates &amp; Misc'!H41</f>
        <v>33.480000000000004</v>
      </c>
      <c r="O114" s="549">
        <v>1</v>
      </c>
      <c r="P114" s="366">
        <f>K114/N114</f>
        <v>22508.33075384437</v>
      </c>
      <c r="Q114" s="563">
        <f>P114/'Rates &amp; Misc'!$C$4</f>
        <v>10.821312862425177</v>
      </c>
      <c r="S114" t="s">
        <v>83</v>
      </c>
      <c r="T114" s="573">
        <f>ProjectData!D115</f>
        <v>753578.91363870958</v>
      </c>
      <c r="U114" s="120"/>
      <c r="V114" s="683">
        <f>ProjectData!B115</f>
        <v>33.480000000000004</v>
      </c>
      <c r="W114"/>
      <c r="X114" s="574">
        <f>T114/V114</f>
        <v>22508.33075384437</v>
      </c>
      <c r="Y114" s="575">
        <f>X114/'Rates &amp; Misc'!$C$4</f>
        <v>10.821312862425177</v>
      </c>
      <c r="Z114" s="375">
        <f>IF(C$13="Simple",(M114*ProjectData!B$29)/'Default Data'!N114/'Rates &amp; Misc'!C$4,(U114*ProjectData!B$29)/'Default Data'!V114/'Rates &amp; Misc'!C$4)</f>
        <v>0</v>
      </c>
      <c r="AA114" s="379">
        <f>IF(C$13="Simple",Q114+Z114,Y114+Z114)*Calculations!D82</f>
        <v>10.821312862425177</v>
      </c>
      <c r="AB114" s="591">
        <v>1</v>
      </c>
      <c r="AD114" s="369">
        <f>IF($C$13="Simple",$K114*$AB114,$T114*$AB114)</f>
        <v>753578.91363870958</v>
      </c>
      <c r="AG114" s="368">
        <f>SUM(AC114:AF114)</f>
        <v>753578.91363870958</v>
      </c>
      <c r="AM114" s="368">
        <f t="shared" si="52"/>
        <v>0</v>
      </c>
      <c r="AN114" s="368">
        <f t="shared" si="52"/>
        <v>753578.91363870958</v>
      </c>
      <c r="AS114" s="379">
        <f>IF(AM114&gt;0,AA114,0)</f>
        <v>0</v>
      </c>
      <c r="AT114" s="379">
        <f>IF(AN114&gt;0,AA114,0)</f>
        <v>10.821312862425177</v>
      </c>
    </row>
    <row r="115" spans="1:46" x14ac:dyDescent="0.25">
      <c r="B115" s="99" t="s">
        <v>98</v>
      </c>
      <c r="C115" s="370">
        <f>'Rates &amp; Misc'!I42</f>
        <v>0.3</v>
      </c>
      <c r="D115" s="368">
        <f>$E$110*C115</f>
        <v>1130368.3704580641</v>
      </c>
      <c r="E115" s="396"/>
      <c r="F115" s="373"/>
      <c r="H115" s="370">
        <f>IF(ProjectData!$B$13="UNITED STATES",1,'Local Share'!D84)</f>
        <v>0</v>
      </c>
      <c r="I115" s="370"/>
      <c r="J115" s="99" t="s">
        <v>98</v>
      </c>
      <c r="K115" s="576">
        <f>D115</f>
        <v>1130368.3704580641</v>
      </c>
      <c r="L115" s="576"/>
      <c r="N115" s="679">
        <f>'Rates &amp; Misc'!H42</f>
        <v>60</v>
      </c>
      <c r="O115" s="549">
        <v>1</v>
      </c>
      <c r="P115" s="366">
        <f>K115/N115</f>
        <v>18839.472840967737</v>
      </c>
      <c r="Q115" s="563">
        <f>P115/'Rates &amp; Misc'!$C$4</f>
        <v>9.057438865849873</v>
      </c>
      <c r="S115" t="s">
        <v>98</v>
      </c>
      <c r="T115" s="573">
        <f>ProjectData!D116</f>
        <v>1130368.3704580641</v>
      </c>
      <c r="U115" s="120"/>
      <c r="V115" s="683">
        <f>ProjectData!B116</f>
        <v>60</v>
      </c>
      <c r="W115"/>
      <c r="X115" s="574">
        <f>T115/V115</f>
        <v>18839.472840967737</v>
      </c>
      <c r="Y115" s="575">
        <f>X115/'Rates &amp; Misc'!$C$4</f>
        <v>9.057438865849873</v>
      </c>
      <c r="Z115" s="375">
        <f>IF(C$13="Simple",(M115*ProjectData!B$29)/'Default Data'!N115/'Rates &amp; Misc'!C$4,(U115*ProjectData!B$29)/'Default Data'!V115/'Rates &amp; Misc'!C$4)</f>
        <v>0</v>
      </c>
      <c r="AA115" s="379">
        <f>IF(C$13="Simple",Q115+Z115,Y115+Z115)*Calculations!D83</f>
        <v>0</v>
      </c>
      <c r="AB115" s="591">
        <v>1</v>
      </c>
      <c r="AC115" s="369">
        <f>IF($C$13="Simple",$K115*$AB115,$T115*$AB115)</f>
        <v>1130368.3704580641</v>
      </c>
      <c r="AG115" s="368">
        <f>SUM(AC115:AF115)</f>
        <v>1130368.3704580641</v>
      </c>
      <c r="AM115" s="368">
        <f t="shared" si="52"/>
        <v>1130368.3704580641</v>
      </c>
      <c r="AN115" s="368">
        <f t="shared" si="52"/>
        <v>0</v>
      </c>
      <c r="AS115" s="379">
        <f>IF(AM115&gt;0,AA115,0)</f>
        <v>0</v>
      </c>
      <c r="AT115" s="379">
        <f>IF(AN115&gt;0,AA115,0)</f>
        <v>0</v>
      </c>
    </row>
    <row r="116" spans="1:46" ht="21" x14ac:dyDescent="0.35">
      <c r="B116" s="358" t="s">
        <v>333</v>
      </c>
      <c r="C116" s="409">
        <f>SUM(C111:C115)</f>
        <v>1</v>
      </c>
      <c r="D116" s="410">
        <f>SUM(D111:D115)</f>
        <v>3767894.5681935479</v>
      </c>
      <c r="E116" s="411"/>
      <c r="F116" s="154"/>
      <c r="H116" s="412"/>
      <c r="I116" s="412"/>
      <c r="J116" s="356" t="s">
        <v>106</v>
      </c>
      <c r="Q116" s="572">
        <f>SUM(Q35:Q115)</f>
        <v>104.33983036380887</v>
      </c>
      <c r="Y116" s="379" t="e">
        <f>SUM(Y35:Y115)</f>
        <v>#DIV/0!</v>
      </c>
      <c r="AA116" s="379" t="e">
        <f>SUM(AA35:AA115)</f>
        <v>#DIV/0!</v>
      </c>
      <c r="AB116" s="379"/>
      <c r="AS116" s="379">
        <f>SUM(AS35:AS115)</f>
        <v>4.8510751675592436</v>
      </c>
      <c r="AT116" s="379">
        <f>SUM(AT35:AT115)</f>
        <v>66.518701876252948</v>
      </c>
    </row>
    <row r="117" spans="1:46" ht="21" x14ac:dyDescent="0.35">
      <c r="B117" s="356" t="s">
        <v>957</v>
      </c>
      <c r="E117" s="609">
        <f>IF(C19="Binary",E109-E110,0)</f>
        <v>19781446.483016122</v>
      </c>
      <c r="F117" s="373"/>
      <c r="H117" s="408"/>
      <c r="I117" s="408"/>
      <c r="J117" s="359" t="s">
        <v>957</v>
      </c>
      <c r="S117" s="102" t="s">
        <v>957</v>
      </c>
      <c r="T117"/>
      <c r="U117"/>
      <c r="V117"/>
      <c r="W117"/>
      <c r="X117" s="26"/>
      <c r="AB117" s="379"/>
      <c r="AP117" s="99" t="s">
        <v>931</v>
      </c>
    </row>
    <row r="118" spans="1:46" x14ac:dyDescent="0.25">
      <c r="B118" s="99" t="s">
        <v>958</v>
      </c>
      <c r="C118" s="605">
        <v>0.50800000000000001</v>
      </c>
      <c r="D118" s="373">
        <f>$E$117*C118</f>
        <v>10048974.813372191</v>
      </c>
      <c r="E118" s="663"/>
      <c r="F118" s="154">
        <f>D118/($G$16*1000)</f>
        <v>821.92162731631413</v>
      </c>
      <c r="H118" s="370">
        <f>IF(ProjectData!$B$13="UNITED STATES",1,'Local Share'!D87)</f>
        <v>0</v>
      </c>
      <c r="I118" s="370"/>
      <c r="J118" s="99" t="s">
        <v>383</v>
      </c>
      <c r="K118" s="373">
        <f>D118</f>
        <v>10048974.813372191</v>
      </c>
      <c r="L118" s="373"/>
      <c r="S118" t="s">
        <v>383</v>
      </c>
      <c r="T118" s="121">
        <f>IF(ProjectData!B$18="Binary",ProjectData!D119,0)</f>
        <v>10048974.813372191</v>
      </c>
      <c r="U118" s="97"/>
      <c r="V118"/>
      <c r="X118" s="26"/>
      <c r="Y118"/>
      <c r="AB118" s="591">
        <v>1</v>
      </c>
      <c r="AE118" s="369">
        <f>IF($C$13="Simple",$K118*$AB118,$T118*$AB118)</f>
        <v>10048974.813372191</v>
      </c>
      <c r="AG118" s="368">
        <f>SUM(AC118:AF118)</f>
        <v>10048974.813372191</v>
      </c>
      <c r="AP118" s="368">
        <f>AE118</f>
        <v>10048974.813372191</v>
      </c>
    </row>
    <row r="119" spans="1:46" x14ac:dyDescent="0.25">
      <c r="B119" s="99" t="s">
        <v>959</v>
      </c>
      <c r="C119" s="605">
        <v>0.378</v>
      </c>
      <c r="D119" s="373">
        <f>$E$117*C119</f>
        <v>7477386.7705800943</v>
      </c>
      <c r="E119" s="663"/>
      <c r="F119" s="154">
        <f>D119/($G$16*1000)</f>
        <v>611.58735260938329</v>
      </c>
      <c r="H119" s="370">
        <f>IF(ProjectData!$B$13="UNITED STATES",1,'Local Share'!D88)</f>
        <v>0</v>
      </c>
      <c r="I119" s="370"/>
      <c r="J119" s="99" t="s">
        <v>384</v>
      </c>
      <c r="K119" s="373">
        <f>D119</f>
        <v>7477386.7705800943</v>
      </c>
      <c r="L119" s="373"/>
      <c r="S119" t="s">
        <v>384</v>
      </c>
      <c r="T119" s="121">
        <f>IF(ProjectData!B$18="Binary",ProjectData!D120,0)</f>
        <v>7477386.7705800943</v>
      </c>
      <c r="U119" s="97"/>
      <c r="V119"/>
      <c r="W119"/>
      <c r="X119" s="26"/>
      <c r="Y119"/>
      <c r="AB119" s="591">
        <v>1</v>
      </c>
      <c r="AE119" s="369">
        <f>IF($C$13="Simple",$K119*$AB119,$T119*$AB119)</f>
        <v>7477386.7705800943</v>
      </c>
      <c r="AG119" s="368">
        <f>SUM(AC119:AF119)</f>
        <v>7477386.7705800943</v>
      </c>
      <c r="AP119" s="368">
        <f>AE119</f>
        <v>7477386.7705800943</v>
      </c>
    </row>
    <row r="120" spans="1:46" x14ac:dyDescent="0.25">
      <c r="B120" s="99" t="s">
        <v>960</v>
      </c>
      <c r="C120" s="605">
        <v>3.73E-2</v>
      </c>
      <c r="D120" s="373">
        <f>$E$117*C120</f>
        <v>737847.95381650131</v>
      </c>
      <c r="E120" s="663"/>
      <c r="F120" s="154">
        <f>D120/($G$16*1000)</f>
        <v>60.349757281296284</v>
      </c>
      <c r="H120" s="370">
        <f>IF(ProjectData!$B$13="UNITED STATES",1,'Local Share'!D89)</f>
        <v>0</v>
      </c>
      <c r="I120" s="370"/>
      <c r="J120" s="99" t="s">
        <v>385</v>
      </c>
      <c r="K120" s="373">
        <f>D120</f>
        <v>737847.95381650131</v>
      </c>
      <c r="L120" s="373"/>
      <c r="S120" t="s">
        <v>385</v>
      </c>
      <c r="T120" s="121">
        <f>IF(ProjectData!B$18="Binary",ProjectData!D121,0)</f>
        <v>737847.95381650131</v>
      </c>
      <c r="U120" s="97"/>
      <c r="V120"/>
      <c r="W120"/>
      <c r="X120" s="26"/>
      <c r="Y120"/>
      <c r="AB120" s="591">
        <v>1</v>
      </c>
      <c r="AE120" s="369">
        <f>IF($C$13="Simple",$K120*$AB120,$T120*$AB120)</f>
        <v>737847.95381650131</v>
      </c>
      <c r="AG120" s="368">
        <f>SUM(AC120:AF120)</f>
        <v>737847.95381650131</v>
      </c>
      <c r="AP120" s="368">
        <f>AE120</f>
        <v>737847.95381650131</v>
      </c>
    </row>
    <row r="121" spans="1:46" x14ac:dyDescent="0.25">
      <c r="B121" s="99" t="s">
        <v>961</v>
      </c>
      <c r="C121" s="605">
        <v>7.6700000000000004E-2</v>
      </c>
      <c r="D121" s="373">
        <f>$E$117*C121</f>
        <v>1517236.9452473368</v>
      </c>
      <c r="E121" s="663"/>
      <c r="F121" s="154">
        <f>D121/($G$16*1000)</f>
        <v>124.09722207708917</v>
      </c>
      <c r="H121" s="370">
        <f>IF(ProjectData!$B$13="UNITED STATES",1,'Local Share'!D90)</f>
        <v>0</v>
      </c>
      <c r="I121" s="370"/>
      <c r="J121" s="99" t="s">
        <v>386</v>
      </c>
      <c r="K121" s="373">
        <f>D121</f>
        <v>1517236.9452473368</v>
      </c>
      <c r="L121" s="373"/>
      <c r="S121" t="s">
        <v>386</v>
      </c>
      <c r="T121" s="121">
        <f>IF(ProjectData!B$18="Binary",ProjectData!D122,0)</f>
        <v>1517236.9452473368</v>
      </c>
      <c r="U121" s="97"/>
      <c r="V121"/>
      <c r="W121"/>
      <c r="X121" s="26"/>
      <c r="Y121"/>
      <c r="AB121" s="591">
        <v>1</v>
      </c>
      <c r="AE121" s="369">
        <f>IF($C$13="Simple",$K121*$AB121,$T121*$AB121)</f>
        <v>1517236.9452473368</v>
      </c>
      <c r="AG121" s="368">
        <f>SUM(AC121:AF121)</f>
        <v>1517236.9452473368</v>
      </c>
      <c r="AP121" s="368">
        <f>AE121</f>
        <v>1517236.9452473368</v>
      </c>
    </row>
    <row r="122" spans="1:46" x14ac:dyDescent="0.25">
      <c r="A122" s="218"/>
      <c r="B122" s="358" t="s">
        <v>333</v>
      </c>
      <c r="C122" s="412">
        <f>SUM(C118:C121)</f>
        <v>1</v>
      </c>
      <c r="D122" s="154">
        <f>SUM(D118:D121)</f>
        <v>19781446.483016122</v>
      </c>
      <c r="E122" s="664"/>
      <c r="F122" s="154">
        <f>D122/($G$16*1000)</f>
        <v>1617.9559592840828</v>
      </c>
      <c r="H122" s="412"/>
      <c r="I122" s="412"/>
      <c r="K122" s="373"/>
      <c r="L122" s="373"/>
      <c r="S122"/>
      <c r="T122" s="97"/>
      <c r="U122" s="97"/>
      <c r="V122"/>
      <c r="W122"/>
      <c r="X122" s="26"/>
      <c r="Y122"/>
      <c r="AB122" s="379"/>
    </row>
    <row r="123" spans="1:46" x14ac:dyDescent="0.25">
      <c r="A123" s="218"/>
      <c r="B123" s="358"/>
      <c r="C123" s="412"/>
      <c r="D123" s="154"/>
      <c r="E123" s="664"/>
      <c r="F123" s="154"/>
      <c r="H123" s="412"/>
      <c r="I123" s="412"/>
      <c r="K123" s="373"/>
      <c r="L123" s="373"/>
      <c r="S123"/>
      <c r="T123" s="97"/>
      <c r="U123" s="97"/>
      <c r="V123"/>
      <c r="W123"/>
      <c r="X123" s="26"/>
      <c r="Y123"/>
      <c r="AB123" s="379"/>
    </row>
    <row r="124" spans="1:46" x14ac:dyDescent="0.25">
      <c r="A124" s="218"/>
      <c r="B124" s="358"/>
      <c r="C124" s="412"/>
      <c r="D124" s="154"/>
      <c r="E124" s="664"/>
      <c r="F124" s="154"/>
      <c r="H124" s="412"/>
      <c r="I124" s="412"/>
      <c r="K124" s="373"/>
      <c r="L124" s="373"/>
      <c r="S124"/>
      <c r="T124" s="97"/>
      <c r="U124" s="97"/>
      <c r="V124"/>
      <c r="W124"/>
      <c r="X124" s="26"/>
      <c r="Y124"/>
      <c r="AB124" s="379"/>
    </row>
    <row r="125" spans="1:46" ht="21" x14ac:dyDescent="0.35">
      <c r="A125" s="489"/>
      <c r="B125" s="356" t="s">
        <v>962</v>
      </c>
      <c r="C125" s="369"/>
      <c r="E125" s="609">
        <f>IF(C19="Flash",E109-E110,0)</f>
        <v>0</v>
      </c>
      <c r="F125" s="414"/>
      <c r="H125" s="408"/>
      <c r="I125" s="408"/>
      <c r="J125" s="356" t="s">
        <v>408</v>
      </c>
      <c r="S125" s="103" t="s">
        <v>962</v>
      </c>
      <c r="T125"/>
      <c r="U125"/>
      <c r="V125"/>
      <c r="W125"/>
      <c r="X125" s="26"/>
      <c r="Y125"/>
      <c r="AB125" s="379"/>
    </row>
    <row r="126" spans="1:46" x14ac:dyDescent="0.25">
      <c r="A126" s="489"/>
      <c r="B126" s="99" t="s">
        <v>391</v>
      </c>
      <c r="C126" s="606">
        <v>0.68736100228989616</v>
      </c>
      <c r="D126" s="373">
        <f>$E$125*C126</f>
        <v>0</v>
      </c>
      <c r="E126" s="413"/>
      <c r="F126" s="414"/>
      <c r="H126" s="370">
        <f>IF(ProjectData!$B$13="UNITED STATES",1,'Local Share'!D95)</f>
        <v>0</v>
      </c>
      <c r="I126" s="370"/>
      <c r="J126" s="99" t="s">
        <v>391</v>
      </c>
      <c r="K126" s="576">
        <f t="shared" ref="K126:K132" si="53">D126</f>
        <v>0</v>
      </c>
      <c r="L126" s="576"/>
      <c r="S126" t="s">
        <v>391</v>
      </c>
      <c r="T126" s="121">
        <f>IF(ProjectData!B$18="Flash",ProjectData!D127,0)</f>
        <v>0</v>
      </c>
      <c r="U126" s="120"/>
      <c r="V126"/>
      <c r="W126"/>
      <c r="X126" s="26"/>
      <c r="Y126"/>
      <c r="AB126" s="591">
        <v>1</v>
      </c>
      <c r="AE126" s="369">
        <f t="shared" ref="AE126:AE132" si="54">IF($C$13="Simple",$K126*$AB126,$T126*$AB126)</f>
        <v>0</v>
      </c>
      <c r="AG126" s="368">
        <f t="shared" ref="AG126:AG132" si="55">SUM(AC126:AF126)</f>
        <v>0</v>
      </c>
      <c r="AP126" s="368">
        <f t="shared" ref="AP126:AP132" si="56">AE126</f>
        <v>0</v>
      </c>
    </row>
    <row r="127" spans="1:46" x14ac:dyDescent="0.25">
      <c r="A127" s="489"/>
      <c r="B127" s="99" t="s">
        <v>392</v>
      </c>
      <c r="C127" s="606">
        <v>2.3842903199701105E-2</v>
      </c>
      <c r="D127" s="373">
        <f t="shared" ref="D127:D132" si="57">$E$125*C127</f>
        <v>0</v>
      </c>
      <c r="E127" s="413"/>
      <c r="F127" s="414"/>
      <c r="H127" s="370">
        <f>IF(ProjectData!$B$13="UNITED STATES",1,'Local Share'!D96)</f>
        <v>0</v>
      </c>
      <c r="I127" s="370"/>
      <c r="J127" s="99" t="s">
        <v>392</v>
      </c>
      <c r="K127" s="576">
        <f t="shared" si="53"/>
        <v>0</v>
      </c>
      <c r="L127" s="576"/>
      <c r="S127" t="s">
        <v>392</v>
      </c>
      <c r="T127" s="121">
        <f>IF(ProjectData!B$18="Flash",ProjectData!D128,0)</f>
        <v>0</v>
      </c>
      <c r="U127" s="120"/>
      <c r="V127"/>
      <c r="W127"/>
      <c r="X127" s="26"/>
      <c r="Y127"/>
      <c r="AB127" s="591">
        <v>1</v>
      </c>
      <c r="AE127" s="369">
        <f t="shared" si="54"/>
        <v>0</v>
      </c>
      <c r="AG127" s="368">
        <f t="shared" si="55"/>
        <v>0</v>
      </c>
      <c r="AP127" s="368">
        <f t="shared" si="56"/>
        <v>0</v>
      </c>
    </row>
    <row r="128" spans="1:46" x14ac:dyDescent="0.25">
      <c r="A128" s="489"/>
      <c r="B128" s="99" t="s">
        <v>393</v>
      </c>
      <c r="C128" s="606">
        <v>0.10213545719499909</v>
      </c>
      <c r="D128" s="373">
        <f t="shared" si="57"/>
        <v>0</v>
      </c>
      <c r="E128" s="413"/>
      <c r="F128" s="414"/>
      <c r="H128" s="370">
        <f>IF(ProjectData!$B$13="UNITED STATES",1,'Local Share'!D97)</f>
        <v>0</v>
      </c>
      <c r="I128" s="370"/>
      <c r="J128" s="99" t="s">
        <v>393</v>
      </c>
      <c r="K128" s="576">
        <f t="shared" si="53"/>
        <v>0</v>
      </c>
      <c r="L128" s="576"/>
      <c r="S128" t="s">
        <v>393</v>
      </c>
      <c r="T128" s="121">
        <f>IF(ProjectData!B$18="Flash",ProjectData!D129,0)</f>
        <v>0</v>
      </c>
      <c r="U128" s="120"/>
      <c r="V128"/>
      <c r="W128"/>
      <c r="X128" s="26"/>
      <c r="Y128"/>
      <c r="AB128" s="591">
        <v>1</v>
      </c>
      <c r="AE128" s="369">
        <f t="shared" si="54"/>
        <v>0</v>
      </c>
      <c r="AG128" s="368">
        <f t="shared" si="55"/>
        <v>0</v>
      </c>
      <c r="AP128" s="368">
        <f t="shared" si="56"/>
        <v>0</v>
      </c>
    </row>
    <row r="129" spans="1:42" x14ac:dyDescent="0.25">
      <c r="A129" s="489"/>
      <c r="B129" s="99" t="s">
        <v>394</v>
      </c>
      <c r="C129" s="606">
        <v>0.12023229250463993</v>
      </c>
      <c r="D129" s="373">
        <f t="shared" si="57"/>
        <v>0</v>
      </c>
      <c r="E129" s="413"/>
      <c r="F129" s="414"/>
      <c r="H129" s="370">
        <f>IF(ProjectData!$B$13="UNITED STATES",1,'Local Share'!D98)</f>
        <v>0</v>
      </c>
      <c r="I129" s="370"/>
      <c r="J129" s="99" t="s">
        <v>394</v>
      </c>
      <c r="K129" s="576">
        <f t="shared" si="53"/>
        <v>0</v>
      </c>
      <c r="L129" s="576"/>
      <c r="S129" t="s">
        <v>394</v>
      </c>
      <c r="T129" s="121">
        <f>IF(ProjectData!B$18="Flash",ProjectData!D130,0)</f>
        <v>0</v>
      </c>
      <c r="U129" s="120"/>
      <c r="V129"/>
      <c r="W129"/>
      <c r="X129" s="26"/>
      <c r="Y129"/>
      <c r="AB129" s="591">
        <v>1</v>
      </c>
      <c r="AE129" s="369">
        <f t="shared" si="54"/>
        <v>0</v>
      </c>
      <c r="AG129" s="368">
        <f t="shared" si="55"/>
        <v>0</v>
      </c>
      <c r="AP129" s="368">
        <f t="shared" si="56"/>
        <v>0</v>
      </c>
    </row>
    <row r="130" spans="1:42" x14ac:dyDescent="0.25">
      <c r="A130" s="489"/>
      <c r="B130" s="99" t="s">
        <v>395</v>
      </c>
      <c r="C130" s="606">
        <v>5.2897574988624574E-2</v>
      </c>
      <c r="D130" s="373">
        <f t="shared" si="57"/>
        <v>0</v>
      </c>
      <c r="E130" s="413"/>
      <c r="F130" s="414"/>
      <c r="H130" s="370">
        <f>IF(ProjectData!$B$13="UNITED STATES",1,'Local Share'!D99)</f>
        <v>0</v>
      </c>
      <c r="I130" s="370"/>
      <c r="J130" s="99" t="s">
        <v>395</v>
      </c>
      <c r="K130" s="576">
        <f t="shared" si="53"/>
        <v>0</v>
      </c>
      <c r="L130" s="576"/>
      <c r="S130" t="s">
        <v>395</v>
      </c>
      <c r="T130" s="121">
        <f>IF(ProjectData!B$18="Flash",ProjectData!D131,0)</f>
        <v>0</v>
      </c>
      <c r="U130" s="120"/>
      <c r="V130"/>
      <c r="W130"/>
      <c r="X130" s="26"/>
      <c r="Y130"/>
      <c r="AB130" s="591">
        <v>1</v>
      </c>
      <c r="AE130" s="369">
        <f t="shared" si="54"/>
        <v>0</v>
      </c>
      <c r="AG130" s="368">
        <f t="shared" si="55"/>
        <v>0</v>
      </c>
      <c r="AP130" s="368">
        <f t="shared" si="56"/>
        <v>0</v>
      </c>
    </row>
    <row r="131" spans="1:42" x14ac:dyDescent="0.25">
      <c r="A131" s="489"/>
      <c r="B131" s="99" t="s">
        <v>396</v>
      </c>
      <c r="C131" s="606">
        <v>3.4567717090566523E-3</v>
      </c>
      <c r="D131" s="373">
        <f t="shared" si="57"/>
        <v>0</v>
      </c>
      <c r="E131" s="413"/>
      <c r="F131" s="414"/>
      <c r="H131" s="370">
        <f>IF(ProjectData!$B$13="UNITED STATES",1,'Local Share'!D100)</f>
        <v>0</v>
      </c>
      <c r="I131" s="370"/>
      <c r="J131" s="99" t="s">
        <v>396</v>
      </c>
      <c r="K131" s="576">
        <f t="shared" si="53"/>
        <v>0</v>
      </c>
      <c r="L131" s="576"/>
      <c r="S131" t="s">
        <v>396</v>
      </c>
      <c r="T131" s="121">
        <f>IF(ProjectData!B$18="Flash",ProjectData!D132,0)</f>
        <v>0</v>
      </c>
      <c r="U131" s="120"/>
      <c r="V131"/>
      <c r="W131"/>
      <c r="X131" s="26"/>
      <c r="Y131"/>
      <c r="AB131" s="591">
        <v>1</v>
      </c>
      <c r="AE131" s="369">
        <f t="shared" si="54"/>
        <v>0</v>
      </c>
      <c r="AG131" s="368">
        <f t="shared" si="55"/>
        <v>0</v>
      </c>
      <c r="AP131" s="368">
        <f t="shared" si="56"/>
        <v>0</v>
      </c>
    </row>
    <row r="132" spans="1:42" x14ac:dyDescent="0.25">
      <c r="A132" s="489"/>
      <c r="B132" s="99" t="s">
        <v>397</v>
      </c>
      <c r="C132" s="606">
        <v>1.0073998113082478E-2</v>
      </c>
      <c r="D132" s="373">
        <f t="shared" si="57"/>
        <v>0</v>
      </c>
      <c r="E132" s="413"/>
      <c r="F132" s="414"/>
      <c r="H132" s="370">
        <f>IF(ProjectData!$B$13="UNITED STATES",1,'Local Share'!D101)</f>
        <v>0</v>
      </c>
      <c r="I132" s="370"/>
      <c r="J132" s="99" t="s">
        <v>397</v>
      </c>
      <c r="K132" s="576">
        <f t="shared" si="53"/>
        <v>0</v>
      </c>
      <c r="L132" s="576"/>
      <c r="S132" t="s">
        <v>397</v>
      </c>
      <c r="T132" s="121">
        <f>IF(ProjectData!B$18="Flash",ProjectData!D133,0)</f>
        <v>0</v>
      </c>
      <c r="U132" s="120"/>
      <c r="V132"/>
      <c r="W132"/>
      <c r="X132"/>
      <c r="Y132"/>
      <c r="AB132" s="591">
        <v>1</v>
      </c>
      <c r="AE132" s="369">
        <f t="shared" si="54"/>
        <v>0</v>
      </c>
      <c r="AG132" s="368">
        <f t="shared" si="55"/>
        <v>0</v>
      </c>
      <c r="AP132" s="368">
        <f t="shared" si="56"/>
        <v>0</v>
      </c>
    </row>
    <row r="133" spans="1:42" x14ac:dyDescent="0.25">
      <c r="A133" s="489"/>
      <c r="B133" s="358" t="s">
        <v>333</v>
      </c>
      <c r="C133" s="415">
        <f>SUM(C126:C132)</f>
        <v>1</v>
      </c>
      <c r="D133" s="154">
        <f>SUM(D126:D132)</f>
        <v>0</v>
      </c>
      <c r="E133" s="416"/>
      <c r="F133" s="417"/>
      <c r="H133" s="409"/>
      <c r="I133" s="409"/>
      <c r="J133" s="358"/>
      <c r="K133" s="579"/>
      <c r="L133" s="579"/>
      <c r="S133"/>
      <c r="T133" s="120"/>
      <c r="U133" s="120"/>
      <c r="V133"/>
      <c r="W133"/>
      <c r="X133"/>
      <c r="Y133"/>
    </row>
    <row r="134" spans="1:42" ht="21.75" thickBot="1" x14ac:dyDescent="0.4">
      <c r="A134" s="489"/>
      <c r="B134" s="356" t="s">
        <v>417</v>
      </c>
      <c r="D134" s="373">
        <f>D133+D116</f>
        <v>3767894.5681935479</v>
      </c>
      <c r="K134" s="579"/>
      <c r="L134" s="579"/>
      <c r="S134" s="103"/>
      <c r="T134"/>
      <c r="U134"/>
      <c r="V134"/>
      <c r="X134" s="26"/>
      <c r="Y134"/>
    </row>
    <row r="135" spans="1:42" ht="18.75" x14ac:dyDescent="0.3">
      <c r="A135" s="489"/>
      <c r="B135" s="422" t="s">
        <v>475</v>
      </c>
      <c r="C135" s="607">
        <f>IF(C19="Binary",G16,0)</f>
        <v>12.226195879750069</v>
      </c>
      <c r="J135" s="418" t="str">
        <f>B177</f>
        <v>Binary Plant O&amp;M Summary</v>
      </c>
      <c r="K135" s="581"/>
      <c r="L135" s="581"/>
      <c r="M135" s="419"/>
      <c r="N135" s="358"/>
      <c r="S135" s="418" t="str">
        <f>ProjectData!A139</f>
        <v>Binary Plant O&amp;M Costs</v>
      </c>
      <c r="T135" s="33"/>
      <c r="U135" s="33"/>
      <c r="V135" s="34"/>
      <c r="W135"/>
      <c r="X135" s="26"/>
      <c r="Y135"/>
    </row>
    <row r="136" spans="1:42" x14ac:dyDescent="0.25">
      <c r="A136" s="489"/>
      <c r="B136" s="422" t="s">
        <v>364</v>
      </c>
      <c r="C136" s="654">
        <f>IF(ProjectData!$B$11="Simple",'Rates &amp; Misc'!$C$12,ProjectData!$B$202)</f>
        <v>2.5</v>
      </c>
      <c r="J136" s="420" t="s">
        <v>378</v>
      </c>
      <c r="K136" s="372">
        <f>C178</f>
        <v>7.8564406519505434</v>
      </c>
      <c r="L136" s="372"/>
      <c r="M136" s="421"/>
      <c r="N136" s="358"/>
      <c r="S136" s="163" t="s">
        <v>378</v>
      </c>
      <c r="T136" s="372">
        <f>'Default Data'!W182+'Default Data'!W167</f>
        <v>16.777979113489003</v>
      </c>
      <c r="U136" s="372"/>
      <c r="V136" s="37"/>
      <c r="W136"/>
      <c r="X136" s="26"/>
      <c r="Y136"/>
    </row>
    <row r="137" spans="1:42" x14ac:dyDescent="0.25">
      <c r="A137" s="489"/>
      <c r="B137" s="422" t="s">
        <v>369</v>
      </c>
      <c r="C137" s="436">
        <f>'Rates &amp; Misc'!C98</f>
        <v>1.1694045174537988</v>
      </c>
      <c r="J137" s="420" t="s">
        <v>370</v>
      </c>
      <c r="K137" s="358"/>
      <c r="L137" s="358"/>
      <c r="M137" s="424">
        <f t="shared" ref="M137:M143" si="58">D179</f>
        <v>1037682.3960194002</v>
      </c>
      <c r="N137" s="416"/>
      <c r="S137" s="163" t="s">
        <v>370</v>
      </c>
      <c r="T137" s="36"/>
      <c r="U137" s="36"/>
      <c r="V137" s="164">
        <f>ProjectData!D143</f>
        <v>1037682.3960194002</v>
      </c>
      <c r="W137"/>
      <c r="X137" s="26"/>
      <c r="Y137"/>
    </row>
    <row r="138" spans="1:42" x14ac:dyDescent="0.25">
      <c r="A138" s="489"/>
      <c r="B138" s="422" t="s">
        <v>373</v>
      </c>
      <c r="C138" s="655">
        <f>ProjectData!B30</f>
        <v>0.02</v>
      </c>
      <c r="J138" s="420" t="s">
        <v>372</v>
      </c>
      <c r="K138" s="358"/>
      <c r="L138" s="358"/>
      <c r="M138" s="424">
        <f t="shared" si="58"/>
        <v>119164.48859722647</v>
      </c>
      <c r="N138" s="416"/>
      <c r="S138" s="163" t="s">
        <v>372</v>
      </c>
      <c r="T138" s="36"/>
      <c r="U138" s="36"/>
      <c r="V138" s="164">
        <f>ProjectData!D141</f>
        <v>119164.48859722647</v>
      </c>
      <c r="W138"/>
      <c r="X138" s="26"/>
      <c r="Y138"/>
    </row>
    <row r="139" spans="1:42" x14ac:dyDescent="0.25">
      <c r="A139" s="489"/>
      <c r="B139" s="422"/>
      <c r="C139" s="423"/>
      <c r="J139" s="420" t="s">
        <v>371</v>
      </c>
      <c r="K139" s="358"/>
      <c r="L139" s="358"/>
      <c r="M139" s="424">
        <f t="shared" si="58"/>
        <v>918517.90742217377</v>
      </c>
      <c r="N139" s="416"/>
      <c r="S139" s="163" t="s">
        <v>371</v>
      </c>
      <c r="T139" s="36"/>
      <c r="U139" s="36"/>
      <c r="V139" s="164">
        <f>ProjectData!D142</f>
        <v>918517.90742217377</v>
      </c>
      <c r="W139"/>
      <c r="X139" s="26"/>
      <c r="Y139"/>
    </row>
    <row r="140" spans="1:42" x14ac:dyDescent="0.25">
      <c r="A140" s="489"/>
      <c r="B140" s="363" t="s">
        <v>428</v>
      </c>
      <c r="C140" s="425" t="s">
        <v>886</v>
      </c>
      <c r="D140" s="425" t="s">
        <v>363</v>
      </c>
      <c r="E140" s="425" t="s">
        <v>421</v>
      </c>
      <c r="F140" s="425" t="s">
        <v>365</v>
      </c>
      <c r="G140" s="425" t="s">
        <v>367</v>
      </c>
      <c r="H140" s="1226"/>
      <c r="J140" s="420" t="s">
        <v>374</v>
      </c>
      <c r="K140" s="358"/>
      <c r="L140" s="358"/>
      <c r="M140" s="424">
        <f t="shared" si="58"/>
        <v>470986.82102419343</v>
      </c>
      <c r="N140" s="416"/>
      <c r="S140" s="163" t="s">
        <v>374</v>
      </c>
      <c r="T140" s="36"/>
      <c r="U140" s="36"/>
      <c r="V140" s="164">
        <f>ProjectData!D145</f>
        <v>470986.82102419343</v>
      </c>
      <c r="W140"/>
      <c r="X140" s="26"/>
      <c r="Y140"/>
    </row>
    <row r="141" spans="1:42" x14ac:dyDescent="0.25">
      <c r="A141" s="489"/>
      <c r="B141" s="426" t="s">
        <v>90</v>
      </c>
      <c r="C141" s="587">
        <f>'Rates &amp; Misc'!C37*C$137</f>
        <v>23.388090349075977</v>
      </c>
      <c r="D141" s="427">
        <f>0.25*$C$135^0.525</f>
        <v>0.93061054031773915</v>
      </c>
      <c r="E141" s="584">
        <f>365*24</f>
        <v>8760</v>
      </c>
      <c r="F141" s="99">
        <f>D141*E141</f>
        <v>8152.1483331833952</v>
      </c>
      <c r="G141" s="369">
        <f t="shared" ref="G141:G147" si="59">F141*C141*$C$136</f>
        <v>476657.9543889059</v>
      </c>
      <c r="H141" s="370">
        <f>IF(ProjectData!$B$13="UNITED STATES",1,'Local Share'!D$109)</f>
        <v>1</v>
      </c>
      <c r="I141" s="1227"/>
      <c r="J141" s="420" t="s">
        <v>375</v>
      </c>
      <c r="K141" s="358"/>
      <c r="L141" s="358"/>
      <c r="M141" s="582">
        <f t="shared" si="58"/>
        <v>1389504.7284463672</v>
      </c>
      <c r="N141" s="570"/>
      <c r="S141" s="163" t="s">
        <v>375</v>
      </c>
      <c r="T141" s="36"/>
      <c r="U141" s="36"/>
      <c r="V141" s="565">
        <f>ProjectData!D159</f>
        <v>1389504.7284463672</v>
      </c>
      <c r="W141"/>
      <c r="X141" s="26"/>
      <c r="Y141"/>
    </row>
    <row r="142" spans="1:42" x14ac:dyDescent="0.25">
      <c r="A142" s="219"/>
      <c r="B142" s="426" t="s">
        <v>105</v>
      </c>
      <c r="C142" s="587">
        <f>'Rates &amp; Misc'!C38*C$137</f>
        <v>28.06570841889117</v>
      </c>
      <c r="D142" s="379">
        <f>0.25*$C$135^0.525</f>
        <v>0.93061054031773915</v>
      </c>
      <c r="E142" s="614">
        <f>'Rates &amp; Misc'!$C$4</f>
        <v>2080</v>
      </c>
      <c r="F142" s="99">
        <f t="shared" ref="F142:F147" si="60">D142*E142</f>
        <v>1935.6699238608974</v>
      </c>
      <c r="G142" s="369">
        <f t="shared" si="59"/>
        <v>135814.86919574306</v>
      </c>
      <c r="H142" s="370">
        <f>IF(ProjectData!$B$13="UNITED STATES",1,'Local Share'!D$109)</f>
        <v>1</v>
      </c>
      <c r="I142" s="471"/>
      <c r="J142" s="420" t="s">
        <v>376</v>
      </c>
      <c r="K142" s="358"/>
      <c r="L142" s="358"/>
      <c r="M142" s="582">
        <f t="shared" si="58"/>
        <v>602488.6791794966</v>
      </c>
      <c r="N142" s="570"/>
      <c r="S142" s="163" t="s">
        <v>376</v>
      </c>
      <c r="T142" s="36"/>
      <c r="U142" s="36"/>
      <c r="V142" s="565">
        <f>ProjectData!D153</f>
        <v>680265.91439942003</v>
      </c>
      <c r="X142" s="26"/>
      <c r="Y142"/>
    </row>
    <row r="143" spans="1:42" ht="15.75" thickBot="1" x14ac:dyDescent="0.3">
      <c r="A143" s="219"/>
      <c r="B143" s="426" t="s">
        <v>91</v>
      </c>
      <c r="C143" s="587">
        <f>'Rates &amp; Misc'!C39*C$137</f>
        <v>28.06570841889117</v>
      </c>
      <c r="D143" s="379">
        <f>0.25*$C$135^0.525</f>
        <v>0.93061054031773915</v>
      </c>
      <c r="E143" s="614">
        <f>'Rates &amp; Misc'!$C$4</f>
        <v>2080</v>
      </c>
      <c r="F143" s="99">
        <f t="shared" si="60"/>
        <v>1935.6699238608974</v>
      </c>
      <c r="G143" s="369">
        <f t="shared" si="59"/>
        <v>135814.86919574306</v>
      </c>
      <c r="H143" s="370">
        <f>IF(ProjectData!$B$13="UNITED STATES",1,'Local Share'!D$109)</f>
        <v>1</v>
      </c>
      <c r="I143" s="471"/>
      <c r="J143" s="428" t="s">
        <v>377</v>
      </c>
      <c r="K143" s="429"/>
      <c r="L143" s="429"/>
      <c r="M143" s="430">
        <f t="shared" si="58"/>
        <v>1991993.4076258638</v>
      </c>
      <c r="N143" s="571"/>
      <c r="S143" s="165" t="s">
        <v>377</v>
      </c>
      <c r="T143" s="39"/>
      <c r="U143" s="39"/>
      <c r="V143" s="166">
        <f>ProjectData!D161</f>
        <v>1508674.2170435938</v>
      </c>
      <c r="X143" s="26"/>
      <c r="Y143"/>
    </row>
    <row r="144" spans="1:42" x14ac:dyDescent="0.25">
      <c r="A144" s="219"/>
      <c r="B144" s="426" t="s">
        <v>104</v>
      </c>
      <c r="C144" s="587">
        <f>'Rates &amp; Misc'!C40*C$137</f>
        <v>20.464579055441479</v>
      </c>
      <c r="D144" s="379">
        <f>0.25*$C$135^0.525</f>
        <v>0.93061054031773915</v>
      </c>
      <c r="E144" s="614">
        <f>'Rates &amp; Misc'!$C$4</f>
        <v>2080</v>
      </c>
      <c r="F144" s="99">
        <f t="shared" si="60"/>
        <v>1935.6699238608974</v>
      </c>
      <c r="G144" s="369">
        <f t="shared" si="59"/>
        <v>99031.675455229299</v>
      </c>
      <c r="H144" s="370">
        <f>IF(ProjectData!$B$13="UNITED STATES",1,'Local Share'!D$109)</f>
        <v>1</v>
      </c>
      <c r="I144" s="471"/>
      <c r="J144" s="426"/>
      <c r="S144" s="101"/>
      <c r="T144"/>
      <c r="U144"/>
      <c r="V144"/>
      <c r="X144" s="26"/>
      <c r="Y144"/>
    </row>
    <row r="145" spans="1:27" x14ac:dyDescent="0.25">
      <c r="A145" s="219"/>
      <c r="B145" s="426" t="s">
        <v>103</v>
      </c>
      <c r="C145" s="587">
        <f>'Rates &amp; Misc'!C41*C$137</f>
        <v>46.776180698151954</v>
      </c>
      <c r="D145" s="379">
        <f>0.075*$C$135^0.65</f>
        <v>0.38176898257869257</v>
      </c>
      <c r="E145" s="614">
        <f>'Rates &amp; Misc'!$C$4</f>
        <v>2080</v>
      </c>
      <c r="F145" s="99">
        <f t="shared" si="60"/>
        <v>794.07948376368051</v>
      </c>
      <c r="G145" s="369">
        <f t="shared" si="59"/>
        <v>92860.013553062861</v>
      </c>
      <c r="H145" s="370">
        <f>IF(ProjectData!$B$13="UNITED STATES",1,'Local Share'!D$109)</f>
        <v>1</v>
      </c>
      <c r="I145" s="471"/>
      <c r="J145" s="426"/>
      <c r="S145" s="101" t="s">
        <v>885</v>
      </c>
      <c r="T145"/>
      <c r="U145"/>
      <c r="V145"/>
      <c r="X145" s="26"/>
      <c r="Y145"/>
    </row>
    <row r="146" spans="1:27" x14ac:dyDescent="0.25">
      <c r="A146" s="219"/>
      <c r="B146" s="426" t="s">
        <v>92</v>
      </c>
      <c r="C146" s="587">
        <f>'Rates &amp; Misc'!C42*C$137</f>
        <v>35.082135523613964</v>
      </c>
      <c r="D146" s="379">
        <f>0.075*$C$135^0.65</f>
        <v>0.38176898257869257</v>
      </c>
      <c r="E146" s="614">
        <f>'Rates &amp; Misc'!$C$4</f>
        <v>2080</v>
      </c>
      <c r="F146" s="99">
        <f t="shared" si="60"/>
        <v>794.07948376368051</v>
      </c>
      <c r="G146" s="369">
        <f t="shared" si="59"/>
        <v>69645.010164797131</v>
      </c>
      <c r="H146" s="370">
        <f>IF(ProjectData!$B$13="UNITED STATES",1,'Local Share'!D$109)</f>
        <v>1</v>
      </c>
      <c r="I146" s="471"/>
      <c r="J146" s="426" t="s">
        <v>90</v>
      </c>
      <c r="N146" s="354">
        <f t="shared" ref="N146:N152" si="61">C141</f>
        <v>23.388090349075977</v>
      </c>
      <c r="P146" s="431">
        <f t="shared" ref="P146:P152" si="62">F141+F163</f>
        <v>8152.1483331833952</v>
      </c>
      <c r="Q146" s="563">
        <f>P146/'Rates &amp; Misc'!$C$4</f>
        <v>3.9193020832612477</v>
      </c>
      <c r="S146" s="101" t="s">
        <v>90</v>
      </c>
      <c r="T146"/>
      <c r="U146"/>
      <c r="V146" s="679">
        <f>ProjectData!B204</f>
        <v>23.388090349075977</v>
      </c>
      <c r="X146" s="574">
        <f>IF(C$19="Binary",'Default Data'!W159,'Default Data'!W174)</f>
        <v>8152.1483331833952</v>
      </c>
      <c r="Y146" s="563">
        <f>X146/'Rates &amp; Misc'!$C$4</f>
        <v>3.9193020832612477</v>
      </c>
      <c r="AA146" s="379">
        <f t="shared" ref="AA146:AA152" si="63">IF(C$13="Simple",Q146,Y146)</f>
        <v>3.9193020832612477</v>
      </c>
    </row>
    <row r="147" spans="1:27" x14ac:dyDescent="0.25">
      <c r="B147" s="426" t="s">
        <v>93</v>
      </c>
      <c r="C147" s="587">
        <f>'Rates &amp; Misc'!C43*C$137</f>
        <v>14.032854209445585</v>
      </c>
      <c r="D147" s="379">
        <f>0.075*$C$135^0.65</f>
        <v>0.38176898257869257</v>
      </c>
      <c r="E147" s="614">
        <f>'Rates &amp; Misc'!$C$4</f>
        <v>2080</v>
      </c>
      <c r="F147" s="99">
        <f t="shared" si="60"/>
        <v>794.07948376368051</v>
      </c>
      <c r="G147" s="369">
        <f t="shared" si="59"/>
        <v>27858.004065918853</v>
      </c>
      <c r="H147" s="370">
        <f>IF(ProjectData!$B$13="UNITED STATES",1,'Local Share'!D$109)</f>
        <v>1</v>
      </c>
      <c r="I147" s="471"/>
      <c r="J147" s="426" t="s">
        <v>105</v>
      </c>
      <c r="N147" s="354">
        <f t="shared" si="61"/>
        <v>28.06570841889117</v>
      </c>
      <c r="P147" s="431">
        <f t="shared" si="62"/>
        <v>1935.6699238608974</v>
      </c>
      <c r="Q147" s="563">
        <f>P147/'Rates &amp; Misc'!$C$4</f>
        <v>0.93061054031773915</v>
      </c>
      <c r="S147" s="101" t="s">
        <v>105</v>
      </c>
      <c r="T147"/>
      <c r="U147"/>
      <c r="V147" s="679">
        <f>ProjectData!B205</f>
        <v>28.06570841889117</v>
      </c>
      <c r="X147" s="574">
        <f>IF(C$19="Binary",'Default Data'!W160,'Default Data'!W175)</f>
        <v>1935.6699238608974</v>
      </c>
      <c r="Y147" s="563">
        <f>X147/'Rates &amp; Misc'!$C$4</f>
        <v>0.93061054031773915</v>
      </c>
      <c r="AA147" s="379">
        <f t="shared" si="63"/>
        <v>0.93061054031773915</v>
      </c>
    </row>
    <row r="148" spans="1:27" x14ac:dyDescent="0.25">
      <c r="B148" s="432" t="s">
        <v>220</v>
      </c>
      <c r="C148" s="433"/>
      <c r="D148" s="434"/>
      <c r="E148" s="433"/>
      <c r="F148" s="433">
        <f>SUM(F141:F147)</f>
        <v>16341.396556057131</v>
      </c>
      <c r="G148" s="435">
        <f>SUM(G141:G147)</f>
        <v>1037682.3960194002</v>
      </c>
      <c r="J148" s="426" t="s">
        <v>91</v>
      </c>
      <c r="N148" s="354">
        <f t="shared" si="61"/>
        <v>28.06570841889117</v>
      </c>
      <c r="P148" s="431">
        <f t="shared" si="62"/>
        <v>1935.6699238608974</v>
      </c>
      <c r="Q148" s="563">
        <f>P148/'Rates &amp; Misc'!$C$4</f>
        <v>0.93061054031773915</v>
      </c>
      <c r="S148" s="101" t="s">
        <v>91</v>
      </c>
      <c r="T148"/>
      <c r="U148"/>
      <c r="V148" s="679">
        <f>ProjectData!B206</f>
        <v>28.06570841889117</v>
      </c>
      <c r="X148" s="574">
        <f>IF(C$19="Binary",'Default Data'!W161,'Default Data'!W176)</f>
        <v>1935.6699238608974</v>
      </c>
      <c r="Y148" s="563">
        <f>X148/'Rates &amp; Misc'!$C$4</f>
        <v>0.93061054031773915</v>
      </c>
      <c r="AA148" s="379">
        <f t="shared" si="63"/>
        <v>0.93061054031773915</v>
      </c>
    </row>
    <row r="149" spans="1:27" x14ac:dyDescent="0.25">
      <c r="B149" s="426" t="s">
        <v>378</v>
      </c>
      <c r="D149" s="379"/>
      <c r="F149" s="608">
        <f>F148/'Rates &amp; Misc'!C4</f>
        <v>7.8564406519505434</v>
      </c>
      <c r="G149" s="369"/>
      <c r="J149" s="426" t="s">
        <v>104</v>
      </c>
      <c r="N149" s="354">
        <f t="shared" si="61"/>
        <v>20.464579055441479</v>
      </c>
      <c r="P149" s="431">
        <f t="shared" si="62"/>
        <v>1935.6699238608974</v>
      </c>
      <c r="Q149" s="563">
        <f>P149/'Rates &amp; Misc'!$C$4</f>
        <v>0.93061054031773915</v>
      </c>
      <c r="S149" s="101" t="s">
        <v>104</v>
      </c>
      <c r="T149"/>
      <c r="U149"/>
      <c r="V149" s="679">
        <f>ProjectData!B207</f>
        <v>20.464579055441479</v>
      </c>
      <c r="X149" s="574">
        <f>IF(C$19="Binary",'Default Data'!W162,'Default Data'!W177)</f>
        <v>1935.6699238608974</v>
      </c>
      <c r="Y149" s="563">
        <f>X149/'Rates &amp; Misc'!$C$4</f>
        <v>0.93061054031773915</v>
      </c>
      <c r="AA149" s="379">
        <f t="shared" si="63"/>
        <v>0.93061054031773915</v>
      </c>
    </row>
    <row r="150" spans="1:27" x14ac:dyDescent="0.25">
      <c r="A150" s="219"/>
      <c r="B150" s="426" t="s">
        <v>370</v>
      </c>
      <c r="D150" s="379"/>
      <c r="G150" s="369">
        <f>G148</f>
        <v>1037682.3960194002</v>
      </c>
      <c r="J150" s="426" t="s">
        <v>103</v>
      </c>
      <c r="N150" s="354">
        <f t="shared" si="61"/>
        <v>46.776180698151954</v>
      </c>
      <c r="P150" s="431">
        <f t="shared" si="62"/>
        <v>794.07948376368051</v>
      </c>
      <c r="Q150" s="563">
        <f>P150/'Rates &amp; Misc'!$C$4</f>
        <v>0.38176898257869257</v>
      </c>
      <c r="S150" s="101" t="s">
        <v>103</v>
      </c>
      <c r="T150"/>
      <c r="U150"/>
      <c r="V150" s="679">
        <f>ProjectData!B208</f>
        <v>46.776180698151954</v>
      </c>
      <c r="X150" s="574">
        <f>IF(C$19="Binary",'Default Data'!W163,'Default Data'!W178)</f>
        <v>794.07948376368051</v>
      </c>
      <c r="Y150" s="563">
        <f>X150/'Rates &amp; Misc'!$C$4</f>
        <v>0.38176898257869257</v>
      </c>
      <c r="AA150" s="379">
        <f t="shared" si="63"/>
        <v>0.38176898257869257</v>
      </c>
    </row>
    <row r="151" spans="1:27" x14ac:dyDescent="0.25">
      <c r="A151" s="219"/>
      <c r="B151" s="426" t="s">
        <v>372</v>
      </c>
      <c r="D151" s="379"/>
      <c r="G151" s="369">
        <f>G141*0.25</f>
        <v>119164.48859722647</v>
      </c>
      <c r="J151" s="426" t="s">
        <v>92</v>
      </c>
      <c r="N151" s="354">
        <f t="shared" si="61"/>
        <v>35.082135523613964</v>
      </c>
      <c r="P151" s="431">
        <f t="shared" si="62"/>
        <v>794.07948376368051</v>
      </c>
      <c r="Q151" s="563">
        <f>P151/'Rates &amp; Misc'!$C$4</f>
        <v>0.38176898257869257</v>
      </c>
      <c r="S151" s="101" t="s">
        <v>92</v>
      </c>
      <c r="T151"/>
      <c r="U151"/>
      <c r="V151" s="679">
        <f>ProjectData!B209</f>
        <v>35.082135523613964</v>
      </c>
      <c r="X151" s="574">
        <f>IF(C$19="Binary",'Default Data'!W164,'Default Data'!W179)</f>
        <v>794.07948376368051</v>
      </c>
      <c r="Y151" s="563">
        <f>X151/'Rates &amp; Misc'!$C$4</f>
        <v>0.38176898257869257</v>
      </c>
      <c r="AA151" s="379">
        <f t="shared" si="63"/>
        <v>0.38176898257869257</v>
      </c>
    </row>
    <row r="152" spans="1:27" x14ac:dyDescent="0.25">
      <c r="A152" s="219"/>
      <c r="B152" s="426" t="s">
        <v>371</v>
      </c>
      <c r="D152" s="379"/>
      <c r="G152" s="369">
        <f>G150-G151</f>
        <v>918517.90742217377</v>
      </c>
      <c r="J152" s="426" t="s">
        <v>93</v>
      </c>
      <c r="N152" s="354">
        <f t="shared" si="61"/>
        <v>14.032854209445585</v>
      </c>
      <c r="P152" s="431">
        <f t="shared" si="62"/>
        <v>794.07948376368051</v>
      </c>
      <c r="Q152" s="563">
        <f>P152/'Rates &amp; Misc'!$C$4</f>
        <v>0.38176898257869257</v>
      </c>
      <c r="S152" s="101" t="s">
        <v>93</v>
      </c>
      <c r="T152"/>
      <c r="U152"/>
      <c r="V152" s="679">
        <f>ProjectData!B210</f>
        <v>14.032854209445585</v>
      </c>
      <c r="X152" s="574">
        <f>IF(C$19="Binary",'Default Data'!W165,'Default Data'!W180)</f>
        <v>794.07948376368051</v>
      </c>
      <c r="Y152" s="563">
        <f>X152/'Rates &amp; Misc'!$C$4</f>
        <v>0.38176898257869257</v>
      </c>
      <c r="AA152" s="379">
        <f t="shared" si="63"/>
        <v>0.38176898257869257</v>
      </c>
    </row>
    <row r="153" spans="1:27" ht="15.75" thickBot="1" x14ac:dyDescent="0.3">
      <c r="A153" s="219"/>
      <c r="B153" s="426"/>
      <c r="D153" s="379"/>
      <c r="G153" s="369"/>
      <c r="S153"/>
      <c r="T153"/>
      <c r="U153"/>
      <c r="V153"/>
      <c r="X153"/>
      <c r="Y153"/>
    </row>
    <row r="154" spans="1:27" ht="19.5" thickBot="1" x14ac:dyDescent="0.35">
      <c r="A154" s="219"/>
      <c r="B154" s="426"/>
      <c r="D154" s="379"/>
      <c r="G154" s="369"/>
      <c r="J154" s="168" t="s">
        <v>333</v>
      </c>
      <c r="K154" s="169"/>
      <c r="L154" s="169"/>
      <c r="M154" s="169"/>
      <c r="N154" s="169"/>
      <c r="O154" s="169"/>
      <c r="P154" s="169"/>
      <c r="Q154" s="388">
        <f>SUM(Q146:Q153)</f>
        <v>7.8564406519505416</v>
      </c>
      <c r="S154" s="168" t="s">
        <v>333</v>
      </c>
      <c r="T154" s="20"/>
      <c r="U154" s="20"/>
      <c r="V154" s="20"/>
      <c r="W154" s="169"/>
      <c r="X154" s="20"/>
      <c r="Y154" s="119">
        <f>SUM(Y146:Y153)</f>
        <v>7.8564406519505416</v>
      </c>
      <c r="AA154" s="119">
        <f>SUM(AA146:AA153)</f>
        <v>7.8564406519505416</v>
      </c>
    </row>
    <row r="155" spans="1:27" ht="21" x14ac:dyDescent="0.35">
      <c r="A155" s="219"/>
      <c r="B155" s="356" t="s">
        <v>416</v>
      </c>
      <c r="F155" s="99" t="s">
        <v>415</v>
      </c>
    </row>
    <row r="156" spans="1:27" x14ac:dyDescent="0.25">
      <c r="A156" s="219"/>
      <c r="B156" s="422" t="s">
        <v>476</v>
      </c>
      <c r="C156" s="436">
        <f>IF(C19="Flash",G16,0)</f>
        <v>0</v>
      </c>
      <c r="E156" s="99" t="s">
        <v>413</v>
      </c>
      <c r="F156" s="577">
        <f>IF(C$19="Flash",'Flash O&amp;M'!K17,0)</f>
        <v>0</v>
      </c>
    </row>
    <row r="157" spans="1:27" x14ac:dyDescent="0.25">
      <c r="A157" s="219"/>
      <c r="B157" s="422" t="s">
        <v>364</v>
      </c>
      <c r="C157" s="839">
        <f>C136</f>
        <v>2.5</v>
      </c>
      <c r="E157" s="99" t="s">
        <v>89</v>
      </c>
      <c r="F157" s="577">
        <f>IF(C$19="Flash",'Flash O&amp;M'!K18,0)</f>
        <v>0</v>
      </c>
      <c r="S157" s="461" t="s">
        <v>878</v>
      </c>
    </row>
    <row r="158" spans="1:27" x14ac:dyDescent="0.25">
      <c r="A158" s="219"/>
      <c r="B158" s="422" t="s">
        <v>369</v>
      </c>
      <c r="C158" s="466">
        <f>C137</f>
        <v>1.1694045174537988</v>
      </c>
      <c r="E158" s="99" t="s">
        <v>414</v>
      </c>
      <c r="F158" s="577">
        <f>IF(C$19="Flash",'Flash O&amp;M'!K19,0)</f>
        <v>0</v>
      </c>
      <c r="S158" s="98" t="s">
        <v>428</v>
      </c>
      <c r="T158" s="104" t="s">
        <v>884</v>
      </c>
      <c r="U158" s="104" t="s">
        <v>363</v>
      </c>
      <c r="V158" s="104" t="s">
        <v>421</v>
      </c>
      <c r="W158" s="104" t="s">
        <v>365</v>
      </c>
      <c r="X158" s="104" t="s">
        <v>367</v>
      </c>
    </row>
    <row r="159" spans="1:27" x14ac:dyDescent="0.25">
      <c r="A159" s="219"/>
      <c r="B159" s="422" t="s">
        <v>373</v>
      </c>
      <c r="C159" s="839">
        <f>C138</f>
        <v>0.02</v>
      </c>
      <c r="S159" s="101" t="s">
        <v>90</v>
      </c>
      <c r="T159" s="153">
        <f>ProjectData!B204</f>
        <v>23.388090349075977</v>
      </c>
      <c r="U159" s="167">
        <f>IF(ProjectData!B$18="Binary",0.25*ProjectData!$G$13^0.525,0)</f>
        <v>0.93061054031773915</v>
      </c>
      <c r="V159">
        <f>365*24</f>
        <v>8760</v>
      </c>
      <c r="W159">
        <f t="shared" ref="W159:W165" si="64">U159*V159</f>
        <v>8152.1483331833952</v>
      </c>
      <c r="X159" s="28">
        <f>W159*T159*ProjectData!$B$202</f>
        <v>476657.9543889059</v>
      </c>
    </row>
    <row r="160" spans="1:27" x14ac:dyDescent="0.25">
      <c r="A160" s="219"/>
      <c r="S160" s="101" t="s">
        <v>105</v>
      </c>
      <c r="T160" s="153">
        <f>ProjectData!B205</f>
        <v>28.06570841889117</v>
      </c>
      <c r="U160" s="167">
        <f>IF(ProjectData!B$18="Binary",0.25*ProjectData!$G$13^0.525,0)</f>
        <v>0.93061054031773915</v>
      </c>
      <c r="V160">
        <f>'Rates &amp; Misc'!$C$4</f>
        <v>2080</v>
      </c>
      <c r="W160">
        <f t="shared" si="64"/>
        <v>1935.6699238608974</v>
      </c>
      <c r="X160" s="28">
        <f>W160*T160*ProjectData!$B$202</f>
        <v>135814.86919574306</v>
      </c>
    </row>
    <row r="161" spans="1:24" x14ac:dyDescent="0.25">
      <c r="A161" s="219"/>
      <c r="B161" s="422"/>
      <c r="C161" s="423"/>
      <c r="S161" s="101" t="s">
        <v>91</v>
      </c>
      <c r="T161" s="153">
        <f>ProjectData!B206</f>
        <v>28.06570841889117</v>
      </c>
      <c r="U161" s="167">
        <f>IF(ProjectData!B$18="Binary",0.25*ProjectData!$G$13^0.525,0)</f>
        <v>0.93061054031773915</v>
      </c>
      <c r="V161">
        <f>'Rates &amp; Misc'!$C$4</f>
        <v>2080</v>
      </c>
      <c r="W161">
        <f t="shared" si="64"/>
        <v>1935.6699238608974</v>
      </c>
      <c r="X161" s="28">
        <f>W161*T161*ProjectData!$B$202</f>
        <v>135814.86919574306</v>
      </c>
    </row>
    <row r="162" spans="1:24" x14ac:dyDescent="0.25">
      <c r="A162" s="219"/>
      <c r="B162" s="363" t="s">
        <v>429</v>
      </c>
      <c r="C162" s="425" t="s">
        <v>886</v>
      </c>
      <c r="D162" s="425" t="s">
        <v>363</v>
      </c>
      <c r="E162" s="425" t="s">
        <v>366</v>
      </c>
      <c r="F162" s="425" t="s">
        <v>365</v>
      </c>
      <c r="G162" s="425" t="s">
        <v>367</v>
      </c>
      <c r="S162" s="101" t="s">
        <v>104</v>
      </c>
      <c r="T162" s="153">
        <f>ProjectData!B207</f>
        <v>20.464579055441479</v>
      </c>
      <c r="U162" s="167">
        <f>IF(ProjectData!B$18="Binary",0.25*ProjectData!$G$13^0.525,0)</f>
        <v>0.93061054031773915</v>
      </c>
      <c r="V162">
        <f>'Rates &amp; Misc'!$C$4</f>
        <v>2080</v>
      </c>
      <c r="W162">
        <f t="shared" si="64"/>
        <v>1935.6699238608974</v>
      </c>
      <c r="X162" s="28">
        <f>W162*T162*ProjectData!$B$202</f>
        <v>99031.675455229299</v>
      </c>
    </row>
    <row r="163" spans="1:24" ht="15.75" x14ac:dyDescent="0.25">
      <c r="A163" s="219"/>
      <c r="B163" s="426" t="s">
        <v>90</v>
      </c>
      <c r="C163" s="587">
        <f>'Rates &amp; Misc'!D37*C$158</f>
        <v>23.388090349075977</v>
      </c>
      <c r="D163" s="437">
        <f>F156</f>
        <v>0</v>
      </c>
      <c r="E163" s="99">
        <f>'Rates &amp; Misc'!C2</f>
        <v>8760</v>
      </c>
      <c r="F163" s="99">
        <f>D163*E163</f>
        <v>0</v>
      </c>
      <c r="G163" s="369">
        <f t="shared" ref="G163:G169" si="65">F163*C163*$C$157</f>
        <v>0</v>
      </c>
      <c r="H163" s="370">
        <f>IF(ProjectData!$B$13="UNITED STATES",1,'Local Share'!D$109)</f>
        <v>1</v>
      </c>
      <c r="I163" s="471"/>
      <c r="S163" s="101" t="s">
        <v>103</v>
      </c>
      <c r="T163" s="153">
        <f>ProjectData!B208</f>
        <v>46.776180698151954</v>
      </c>
      <c r="U163" s="167">
        <f>IF(ProjectData!B$18="Binary",0.075*ProjectData!$G$13^0.65,0)</f>
        <v>0.38176898257869257</v>
      </c>
      <c r="V163">
        <f>'Rates &amp; Misc'!$C$4</f>
        <v>2080</v>
      </c>
      <c r="W163">
        <f t="shared" si="64"/>
        <v>794.07948376368051</v>
      </c>
      <c r="X163" s="28">
        <f>W163*T163*ProjectData!$B$202</f>
        <v>92860.013553062861</v>
      </c>
    </row>
    <row r="164" spans="1:24" x14ac:dyDescent="0.25">
      <c r="A164" s="219"/>
      <c r="B164" s="426" t="s">
        <v>105</v>
      </c>
      <c r="C164" s="587">
        <f>'Rates &amp; Misc'!D38*C$158</f>
        <v>28.06570841889117</v>
      </c>
      <c r="D164" s="375">
        <f>F157</f>
        <v>0</v>
      </c>
      <c r="E164" s="614">
        <f>'Rates &amp; Misc'!$C$4</f>
        <v>2080</v>
      </c>
      <c r="F164" s="99">
        <f t="shared" ref="F164:F169" si="66">D164*E164</f>
        <v>0</v>
      </c>
      <c r="G164" s="369">
        <f t="shared" si="65"/>
        <v>0</v>
      </c>
      <c r="H164" s="370">
        <f>IF(ProjectData!$B$13="UNITED STATES",1,'Local Share'!D$109)</f>
        <v>1</v>
      </c>
      <c r="I164" s="471"/>
      <c r="S164" s="101" t="s">
        <v>92</v>
      </c>
      <c r="T164" s="153">
        <f>ProjectData!B209</f>
        <v>35.082135523613964</v>
      </c>
      <c r="U164" s="167">
        <f>IF(ProjectData!B$18="Binary",0.075*ProjectData!$G$13^0.65,0)</f>
        <v>0.38176898257869257</v>
      </c>
      <c r="V164">
        <f>'Rates &amp; Misc'!$C$4</f>
        <v>2080</v>
      </c>
      <c r="W164">
        <f t="shared" si="64"/>
        <v>794.07948376368051</v>
      </c>
      <c r="X164" s="28">
        <f>W164*T164*ProjectData!$B$202</f>
        <v>69645.010164797131</v>
      </c>
    </row>
    <row r="165" spans="1:24" x14ac:dyDescent="0.25">
      <c r="A165" s="219"/>
      <c r="B165" s="426" t="s">
        <v>91</v>
      </c>
      <c r="C165" s="587">
        <f>'Rates &amp; Misc'!D39*C$158</f>
        <v>28.06570841889117</v>
      </c>
      <c r="D165" s="375">
        <f>F157</f>
        <v>0</v>
      </c>
      <c r="E165" s="614">
        <f>'Rates &amp; Misc'!$C$4</f>
        <v>2080</v>
      </c>
      <c r="F165" s="99">
        <f t="shared" si="66"/>
        <v>0</v>
      </c>
      <c r="G165" s="369">
        <f t="shared" si="65"/>
        <v>0</v>
      </c>
      <c r="H165" s="370">
        <f>IF(ProjectData!$B$13="UNITED STATES",1,'Local Share'!D$109)</f>
        <v>1</v>
      </c>
      <c r="I165" s="471"/>
      <c r="S165" s="101" t="s">
        <v>93</v>
      </c>
      <c r="T165" s="153">
        <f>ProjectData!B210</f>
        <v>14.032854209445585</v>
      </c>
      <c r="U165" s="167">
        <f>IF(ProjectData!B$18="Binary",0.075*ProjectData!$G$13^0.65,0)</f>
        <v>0.38176898257869257</v>
      </c>
      <c r="V165">
        <f>'Rates &amp; Misc'!$C$4</f>
        <v>2080</v>
      </c>
      <c r="W165">
        <f t="shared" si="64"/>
        <v>794.07948376368051</v>
      </c>
      <c r="X165" s="28">
        <f>W165*T165*ProjectData!$B$202</f>
        <v>27858.004065918853</v>
      </c>
    </row>
    <row r="166" spans="1:24" x14ac:dyDescent="0.25">
      <c r="A166" s="219"/>
      <c r="B166" s="426" t="s">
        <v>104</v>
      </c>
      <c r="C166" s="587">
        <f>'Rates &amp; Misc'!D40*C$158</f>
        <v>20.464579055441479</v>
      </c>
      <c r="D166" s="375">
        <f>F157</f>
        <v>0</v>
      </c>
      <c r="E166" s="614">
        <f>'Rates &amp; Misc'!$C$4</f>
        <v>2080</v>
      </c>
      <c r="F166" s="99">
        <f t="shared" si="66"/>
        <v>0</v>
      </c>
      <c r="G166" s="369">
        <f t="shared" si="65"/>
        <v>0</v>
      </c>
      <c r="H166" s="370">
        <f>IF(ProjectData!$B$13="UNITED STATES",1,'Local Share'!D$109)</f>
        <v>1</v>
      </c>
      <c r="I166" s="471"/>
      <c r="S166" s="170" t="s">
        <v>220</v>
      </c>
      <c r="T166" s="1"/>
      <c r="U166" s="171"/>
      <c r="V166" s="1"/>
      <c r="W166" s="1">
        <f>SUM(W159:W165)</f>
        <v>16341.396556057131</v>
      </c>
      <c r="X166" s="172">
        <f>SUM(X159:X165)</f>
        <v>1037682.3960194002</v>
      </c>
    </row>
    <row r="167" spans="1:24" x14ac:dyDescent="0.25">
      <c r="A167" s="219"/>
      <c r="B167" s="426" t="s">
        <v>103</v>
      </c>
      <c r="C167" s="587">
        <f>'Rates &amp; Misc'!D41*C$158</f>
        <v>46.776180698151954</v>
      </c>
      <c r="D167" s="375">
        <f>F158</f>
        <v>0</v>
      </c>
      <c r="E167" s="614">
        <f>'Rates &amp; Misc'!$C$4</f>
        <v>2080</v>
      </c>
      <c r="F167" s="99">
        <f t="shared" si="66"/>
        <v>0</v>
      </c>
      <c r="G167" s="369">
        <f t="shared" si="65"/>
        <v>0</v>
      </c>
      <c r="H167" s="370">
        <f>IF(ProjectData!$B$13="UNITED STATES",1,'Local Share'!D$109)</f>
        <v>1</v>
      </c>
      <c r="I167" s="471"/>
      <c r="S167" s="101" t="s">
        <v>378</v>
      </c>
      <c r="T167"/>
      <c r="U167" s="122"/>
      <c r="V167"/>
      <c r="W167" s="585">
        <f>W166/'Rates &amp; Misc'!C4</f>
        <v>7.8564406519505434</v>
      </c>
      <c r="X167" s="28"/>
    </row>
    <row r="168" spans="1:24" x14ac:dyDescent="0.25">
      <c r="A168" s="219"/>
      <c r="B168" s="426" t="s">
        <v>92</v>
      </c>
      <c r="C168" s="587">
        <f>'Rates &amp; Misc'!D42*C$158</f>
        <v>35.082135523613964</v>
      </c>
      <c r="D168" s="375">
        <f>F158</f>
        <v>0</v>
      </c>
      <c r="E168" s="614">
        <f>'Rates &amp; Misc'!$C$4</f>
        <v>2080</v>
      </c>
      <c r="F168" s="99">
        <f t="shared" si="66"/>
        <v>0</v>
      </c>
      <c r="G168" s="369">
        <f t="shared" si="65"/>
        <v>0</v>
      </c>
      <c r="H168" s="370">
        <f>IF(ProjectData!$B$13="UNITED STATES",1,'Local Share'!D$109)</f>
        <v>1</v>
      </c>
      <c r="I168" s="471"/>
      <c r="S168" s="101" t="s">
        <v>370</v>
      </c>
      <c r="T168"/>
      <c r="U168" s="122"/>
      <c r="V168"/>
      <c r="W168"/>
      <c r="X168" s="28">
        <f>X166</f>
        <v>1037682.3960194002</v>
      </c>
    </row>
    <row r="169" spans="1:24" ht="15.75" thickBot="1" x14ac:dyDescent="0.3">
      <c r="A169" s="219"/>
      <c r="B169" s="426" t="s">
        <v>93</v>
      </c>
      <c r="C169" s="587">
        <f>'Rates &amp; Misc'!D43*C$158</f>
        <v>14.032854209445585</v>
      </c>
      <c r="D169" s="375">
        <f>F158</f>
        <v>0</v>
      </c>
      <c r="E169" s="614">
        <f>'Rates &amp; Misc'!$C$4</f>
        <v>2080</v>
      </c>
      <c r="F169" s="99">
        <f t="shared" si="66"/>
        <v>0</v>
      </c>
      <c r="G169" s="369">
        <f t="shared" si="65"/>
        <v>0</v>
      </c>
      <c r="H169" s="370">
        <f>IF(ProjectData!$B$13="UNITED STATES",1,'Local Share'!D$109)</f>
        <v>1</v>
      </c>
      <c r="I169" s="471"/>
      <c r="S169" s="101" t="s">
        <v>372</v>
      </c>
      <c r="T169"/>
      <c r="U169" s="122"/>
      <c r="V169"/>
      <c r="W169"/>
      <c r="X169" s="28">
        <f>X159*0.25</f>
        <v>119164.48859722647</v>
      </c>
    </row>
    <row r="170" spans="1:24" ht="15.75" thickBot="1" x14ac:dyDescent="0.3">
      <c r="A170" s="219"/>
      <c r="B170" s="438" t="s">
        <v>220</v>
      </c>
      <c r="C170" s="169"/>
      <c r="D170" s="439"/>
      <c r="E170" s="169"/>
      <c r="F170" s="169">
        <f>SUM(F163:F169)</f>
        <v>0</v>
      </c>
      <c r="G170" s="440">
        <f>SUM(G163:G169)</f>
        <v>0</v>
      </c>
      <c r="S170" s="101" t="s">
        <v>371</v>
      </c>
      <c r="T170"/>
      <c r="U170" s="122"/>
      <c r="V170"/>
      <c r="W170"/>
      <c r="X170" s="28">
        <f>X168-X169</f>
        <v>918517.90742217377</v>
      </c>
    </row>
    <row r="171" spans="1:24" x14ac:dyDescent="0.25">
      <c r="A171" s="219"/>
      <c r="B171" s="426" t="s">
        <v>378</v>
      </c>
      <c r="D171" s="379"/>
      <c r="F171" s="613">
        <f>F170/'Rates &amp; Misc'!$C$4</f>
        <v>0</v>
      </c>
      <c r="G171" s="369"/>
    </row>
    <row r="172" spans="1:24" x14ac:dyDescent="0.25">
      <c r="A172" s="219"/>
      <c r="B172" s="426" t="s">
        <v>370</v>
      </c>
      <c r="D172" s="379"/>
      <c r="G172" s="369">
        <f>G170</f>
        <v>0</v>
      </c>
      <c r="S172" s="136" t="s">
        <v>760</v>
      </c>
      <c r="T172" s="142"/>
      <c r="U172"/>
      <c r="V172"/>
      <c r="W172"/>
      <c r="X172"/>
    </row>
    <row r="173" spans="1:24" x14ac:dyDescent="0.25">
      <c r="A173" s="219"/>
      <c r="B173" s="426" t="s">
        <v>1123</v>
      </c>
      <c r="D173" s="379"/>
      <c r="G173" s="618">
        <f>G163*0.25</f>
        <v>0</v>
      </c>
      <c r="H173" s="370">
        <f>IF(ProjectData!$B$13="UNITED STATES",1,'Local Share'!D109)</f>
        <v>1</v>
      </c>
      <c r="I173" s="414"/>
      <c r="S173" s="98" t="s">
        <v>429</v>
      </c>
      <c r="T173" s="104" t="s">
        <v>884</v>
      </c>
      <c r="U173" s="104" t="s">
        <v>363</v>
      </c>
      <c r="V173" s="104" t="s">
        <v>366</v>
      </c>
      <c r="W173" s="104" t="s">
        <v>365</v>
      </c>
      <c r="X173" s="104" t="s">
        <v>367</v>
      </c>
    </row>
    <row r="174" spans="1:24" ht="15.75" x14ac:dyDescent="0.25">
      <c r="A174" s="219"/>
      <c r="B174" s="426" t="s">
        <v>371</v>
      </c>
      <c r="D174" s="379"/>
      <c r="G174" s="369">
        <f>G172-G173</f>
        <v>0</v>
      </c>
      <c r="H174" s="370">
        <f>IF(ProjectData!$B$13="UNITED STATES",1,'Local Share'!$D110)</f>
        <v>1</v>
      </c>
      <c r="I174" s="414"/>
      <c r="S174" s="101" t="s">
        <v>90</v>
      </c>
      <c r="T174" s="375">
        <f>ProjectData!B204</f>
        <v>23.388090349075977</v>
      </c>
      <c r="U174" s="186">
        <f>W187</f>
        <v>1</v>
      </c>
      <c r="V174">
        <f>365*24</f>
        <v>8760</v>
      </c>
      <c r="W174">
        <f t="shared" ref="W174:W180" si="67">U174*V174</f>
        <v>8760</v>
      </c>
      <c r="X174" s="28">
        <f>W174*T174*ProjectData!$B$202</f>
        <v>512199.17864476389</v>
      </c>
    </row>
    <row r="175" spans="1:24" x14ac:dyDescent="0.25">
      <c r="A175" s="219"/>
      <c r="S175" s="101" t="s">
        <v>105</v>
      </c>
      <c r="T175" s="375">
        <f>ProjectData!B205</f>
        <v>28.06570841889117</v>
      </c>
      <c r="U175" s="153">
        <f>W188</f>
        <v>0.9</v>
      </c>
      <c r="V175">
        <f>'Rates &amp; Misc'!$C$4</f>
        <v>2080</v>
      </c>
      <c r="W175">
        <f t="shared" si="67"/>
        <v>1872</v>
      </c>
      <c r="X175" s="28">
        <f>W175*T175*ProjectData!$B$202</f>
        <v>131347.51540041066</v>
      </c>
    </row>
    <row r="176" spans="1:24" ht="15.75" thickBot="1" x14ac:dyDescent="0.3">
      <c r="A176" s="219"/>
      <c r="S176" s="101" t="s">
        <v>91</v>
      </c>
      <c r="T176" s="375">
        <f>ProjectData!B206</f>
        <v>28.06570841889117</v>
      </c>
      <c r="U176" s="153">
        <f>W188</f>
        <v>0.9</v>
      </c>
      <c r="V176">
        <f>'Rates &amp; Misc'!$C$4</f>
        <v>2080</v>
      </c>
      <c r="W176">
        <f t="shared" si="67"/>
        <v>1872</v>
      </c>
      <c r="X176" s="28">
        <f>W176*T176*ProjectData!$B$202</f>
        <v>131347.51540041066</v>
      </c>
    </row>
    <row r="177" spans="1:24" ht="18.75" x14ac:dyDescent="0.3">
      <c r="A177" s="219"/>
      <c r="B177" s="418" t="str">
        <f>CONCATENATE(C19," Plant O&amp;M Summary")</f>
        <v>Binary Plant O&amp;M Summary</v>
      </c>
      <c r="C177" s="398"/>
      <c r="D177" s="419"/>
      <c r="E177" s="358"/>
      <c r="F177" s="358"/>
      <c r="G177" s="358"/>
      <c r="S177" s="101" t="s">
        <v>104</v>
      </c>
      <c r="T177" s="375">
        <f>ProjectData!B207</f>
        <v>20.464579055441479</v>
      </c>
      <c r="U177" s="153">
        <f>W188</f>
        <v>0.9</v>
      </c>
      <c r="V177">
        <f>'Rates &amp; Misc'!$C$4</f>
        <v>2080</v>
      </c>
      <c r="W177">
        <f t="shared" si="67"/>
        <v>1872</v>
      </c>
      <c r="X177" s="28">
        <f>W177*T177*ProjectData!$B$202</f>
        <v>95774.229979466123</v>
      </c>
    </row>
    <row r="178" spans="1:24" x14ac:dyDescent="0.25">
      <c r="A178" s="219"/>
      <c r="B178" s="420" t="s">
        <v>378</v>
      </c>
      <c r="C178" s="589">
        <f>F171+F149</f>
        <v>7.8564406519505434</v>
      </c>
      <c r="D178" s="421"/>
      <c r="E178" s="358"/>
      <c r="F178" s="358"/>
      <c r="G178" s="358"/>
      <c r="S178" s="101" t="s">
        <v>103</v>
      </c>
      <c r="T178" s="375">
        <f>ProjectData!B208</f>
        <v>46.776180698151954</v>
      </c>
      <c r="U178" s="153">
        <f>W189</f>
        <v>0.67</v>
      </c>
      <c r="V178">
        <f>'Rates &amp; Misc'!$C$4</f>
        <v>2080</v>
      </c>
      <c r="W178">
        <f t="shared" si="67"/>
        <v>1393.6000000000001</v>
      </c>
      <c r="X178" s="28">
        <f>W178*T178*ProjectData!$B$202</f>
        <v>162968.21355236144</v>
      </c>
    </row>
    <row r="179" spans="1:24" x14ac:dyDescent="0.25">
      <c r="A179" s="219"/>
      <c r="B179" s="420" t="s">
        <v>370</v>
      </c>
      <c r="C179" s="358"/>
      <c r="D179" s="424">
        <f>G172+G150</f>
        <v>1037682.3960194002</v>
      </c>
      <c r="E179" s="358"/>
      <c r="F179" s="358"/>
      <c r="G179" s="358"/>
      <c r="S179" s="101" t="s">
        <v>92</v>
      </c>
      <c r="T179" s="375">
        <f>ProjectData!B209</f>
        <v>35.082135523613964</v>
      </c>
      <c r="U179" s="153">
        <f>W189</f>
        <v>0.67</v>
      </c>
      <c r="V179">
        <f>'Rates &amp; Misc'!$C$4</f>
        <v>2080</v>
      </c>
      <c r="W179">
        <f t="shared" si="67"/>
        <v>1393.6000000000001</v>
      </c>
      <c r="X179" s="28">
        <f>W179*T179*ProjectData!$B$202</f>
        <v>122226.16016427106</v>
      </c>
    </row>
    <row r="180" spans="1:24" ht="15.75" thickBot="1" x14ac:dyDescent="0.3">
      <c r="A180" s="219"/>
      <c r="B180" s="420" t="s">
        <v>1123</v>
      </c>
      <c r="C180" s="358"/>
      <c r="D180" s="424">
        <f>G173+G151</f>
        <v>119164.48859722647</v>
      </c>
      <c r="E180" s="358"/>
      <c r="F180" s="358"/>
      <c r="G180" s="358"/>
      <c r="S180" s="101" t="s">
        <v>93</v>
      </c>
      <c r="T180" s="375">
        <f>ProjectData!B210</f>
        <v>14.032854209445585</v>
      </c>
      <c r="U180" s="153">
        <f>W189</f>
        <v>0.67</v>
      </c>
      <c r="V180">
        <f>'Rates &amp; Misc'!$C$4</f>
        <v>2080</v>
      </c>
      <c r="W180">
        <f t="shared" si="67"/>
        <v>1393.6000000000001</v>
      </c>
      <c r="X180" s="28">
        <f>W180*T180*ProjectData!$B$202</f>
        <v>48890.464065708424</v>
      </c>
    </row>
    <row r="181" spans="1:24" ht="15.75" thickBot="1" x14ac:dyDescent="0.3">
      <c r="A181" s="219"/>
      <c r="B181" s="420" t="s">
        <v>371</v>
      </c>
      <c r="C181" s="358"/>
      <c r="D181" s="424">
        <f>G174+G152</f>
        <v>918517.90742217377</v>
      </c>
      <c r="E181" s="358"/>
      <c r="F181" s="358"/>
      <c r="G181" s="358"/>
      <c r="S181" s="134" t="s">
        <v>220</v>
      </c>
      <c r="T181" s="20"/>
      <c r="U181" s="135"/>
      <c r="V181" s="20"/>
      <c r="W181" s="20">
        <f>SUM(W174:W180)</f>
        <v>18556.8</v>
      </c>
      <c r="X181" s="123">
        <f>SUM(X174:X180)</f>
        <v>1204753.2772073923</v>
      </c>
    </row>
    <row r="182" spans="1:24" x14ac:dyDescent="0.25">
      <c r="A182" s="219"/>
      <c r="B182" s="420" t="s">
        <v>374</v>
      </c>
      <c r="C182" s="358"/>
      <c r="D182" s="424">
        <f>IF(C19="Binary",K15*C138,K15*C159)</f>
        <v>470986.82102419343</v>
      </c>
      <c r="E182" s="358"/>
      <c r="F182" s="358"/>
      <c r="G182" s="358"/>
      <c r="S182" s="101" t="s">
        <v>378</v>
      </c>
      <c r="T182"/>
      <c r="U182" s="122"/>
      <c r="V182"/>
      <c r="W182" s="583">
        <f>W181/'Rates &amp; Misc'!C4</f>
        <v>8.9215384615384608</v>
      </c>
      <c r="X182" s="28"/>
    </row>
    <row r="183" spans="1:24" x14ac:dyDescent="0.25">
      <c r="A183" s="219"/>
      <c r="B183" s="420" t="s">
        <v>375</v>
      </c>
      <c r="C183" s="358"/>
      <c r="D183" s="588">
        <f>D181+D182</f>
        <v>1389504.7284463672</v>
      </c>
      <c r="E183" s="358"/>
      <c r="F183" s="358"/>
      <c r="G183" s="358"/>
      <c r="S183" s="101" t="s">
        <v>370</v>
      </c>
      <c r="T183"/>
      <c r="U183" s="122"/>
      <c r="V183"/>
      <c r="W183"/>
      <c r="X183" s="28">
        <f>X181*'Default Data'!C158</f>
        <v>1408843.9247835933</v>
      </c>
    </row>
    <row r="184" spans="1:24" x14ac:dyDescent="0.25">
      <c r="A184" s="219"/>
      <c r="B184" s="420" t="s">
        <v>894</v>
      </c>
      <c r="C184" s="611">
        <v>4.4999999999999998E-2</v>
      </c>
      <c r="D184" s="612">
        <f>K18*C184</f>
        <v>602488.6791794966</v>
      </c>
      <c r="E184" s="358"/>
      <c r="F184" s="358"/>
      <c r="G184" s="358"/>
      <c r="S184" s="101" t="s">
        <v>372</v>
      </c>
      <c r="T184"/>
      <c r="U184" s="122"/>
      <c r="V184"/>
      <c r="W184"/>
      <c r="X184" s="28">
        <f>X174*0.25*'Default Data'!C158</f>
        <v>149742.00833582805</v>
      </c>
    </row>
    <row r="185" spans="1:24" ht="15.75" thickBot="1" x14ac:dyDescent="0.3">
      <c r="A185" s="219"/>
      <c r="B185" s="428" t="s">
        <v>377</v>
      </c>
      <c r="C185" s="429"/>
      <c r="D185" s="441">
        <f>D184+D183</f>
        <v>1991993.4076258638</v>
      </c>
      <c r="E185" s="358"/>
      <c r="F185" s="358"/>
      <c r="G185" s="358"/>
      <c r="S185" s="101" t="s">
        <v>371</v>
      </c>
      <c r="T185"/>
      <c r="U185" s="122"/>
      <c r="V185"/>
      <c r="W185"/>
      <c r="X185" s="28">
        <f>X183-X184</f>
        <v>1259101.9164477652</v>
      </c>
    </row>
    <row r="186" spans="1:24" x14ac:dyDescent="0.25">
      <c r="A186" s="219"/>
      <c r="B186" s="426"/>
      <c r="D186" s="379"/>
      <c r="G186" s="369"/>
      <c r="S186"/>
      <c r="T186"/>
      <c r="U186"/>
      <c r="W186" s="99" t="s">
        <v>415</v>
      </c>
      <c r="X186"/>
    </row>
    <row r="187" spans="1:24" x14ac:dyDescent="0.25">
      <c r="A187" s="219"/>
      <c r="B187" s="420" t="s">
        <v>797</v>
      </c>
      <c r="D187" s="379"/>
      <c r="G187" s="369"/>
      <c r="S187"/>
      <c r="T187"/>
      <c r="U187"/>
      <c r="V187" s="99" t="s">
        <v>413</v>
      </c>
      <c r="W187" s="577">
        <f>'Flash O&amp;M'!K17</f>
        <v>1</v>
      </c>
      <c r="X187"/>
    </row>
    <row r="188" spans="1:24" x14ac:dyDescent="0.25">
      <c r="A188" s="219"/>
      <c r="B188" s="420" t="s">
        <v>794</v>
      </c>
      <c r="D188" s="379">
        <f>D182</f>
        <v>470986.82102419343</v>
      </c>
      <c r="F188" s="363"/>
      <c r="G188" s="369"/>
      <c r="H188" s="370">
        <f>IF(ProjectData!$B$13="UNITED STATES",1,'Local Share'!$D113)</f>
        <v>0</v>
      </c>
      <c r="I188" s="1228"/>
      <c r="S188"/>
      <c r="T188"/>
      <c r="U188"/>
      <c r="V188" s="99" t="s">
        <v>89</v>
      </c>
      <c r="W188" s="577">
        <f>'Flash O&amp;M'!K18</f>
        <v>0.9</v>
      </c>
      <c r="X188" s="36"/>
    </row>
    <row r="189" spans="1:24" x14ac:dyDescent="0.25">
      <c r="A189" s="219"/>
      <c r="B189" s="420" t="s">
        <v>795</v>
      </c>
      <c r="G189" s="369"/>
      <c r="H189" s="370">
        <f>IF(ProjectData!$B$13="UNITED STATES",1,'Local Share'!$D114)</f>
        <v>0</v>
      </c>
      <c r="I189" s="370"/>
      <c r="S189"/>
      <c r="T189"/>
      <c r="U189"/>
      <c r="V189" s="99" t="s">
        <v>414</v>
      </c>
      <c r="W189" s="577">
        <f>'Flash O&amp;M'!K19</f>
        <v>0.67</v>
      </c>
      <c r="X189" s="36"/>
    </row>
    <row r="190" spans="1:24" x14ac:dyDescent="0.25">
      <c r="A190" s="219"/>
      <c r="B190" s="99" t="s">
        <v>97</v>
      </c>
      <c r="G190" s="369"/>
      <c r="H190" s="370">
        <f>IF(ProjectData!$B$13="UNITED STATES",1,'Local Share'!$D115)</f>
        <v>0</v>
      </c>
      <c r="I190" s="370"/>
      <c r="S190"/>
      <c r="T190"/>
      <c r="U190"/>
      <c r="V190" s="36"/>
      <c r="W190" s="36"/>
      <c r="X190" s="36"/>
    </row>
    <row r="191" spans="1:24" x14ac:dyDescent="0.25">
      <c r="A191" s="219"/>
      <c r="B191" s="99" t="s">
        <v>96</v>
      </c>
      <c r="G191" s="369"/>
      <c r="H191" s="370">
        <f>IF(ProjectData!$B$13="UNITED STATES",1,'Local Share'!$D116)</f>
        <v>0</v>
      </c>
      <c r="I191" s="370"/>
    </row>
    <row r="192" spans="1:24" x14ac:dyDescent="0.25">
      <c r="A192" s="219"/>
      <c r="B192" s="99" t="s">
        <v>94</v>
      </c>
      <c r="F192" s="367"/>
      <c r="G192" s="369"/>
      <c r="H192" s="370">
        <f>IF(ProjectData!$B$13="UNITED STATES",1,'Local Share'!$D117)</f>
        <v>0</v>
      </c>
      <c r="I192" s="370"/>
    </row>
    <row r="193" spans="1:9" x14ac:dyDescent="0.25">
      <c r="A193" s="219"/>
      <c r="B193" s="99" t="s">
        <v>796</v>
      </c>
      <c r="G193" s="369"/>
      <c r="H193" s="370">
        <f>IF(ProjectData!$B$13="UNITED STATES",1,'Local Share'!$D118)</f>
        <v>0</v>
      </c>
      <c r="I193" s="370"/>
    </row>
    <row r="194" spans="1:9" x14ac:dyDescent="0.25">
      <c r="A194" s="219"/>
      <c r="B194" s="99" t="s">
        <v>788</v>
      </c>
      <c r="D194" s="379">
        <f>SUM(D188:D193)</f>
        <v>470986.82102419343</v>
      </c>
      <c r="F194" s="367"/>
      <c r="G194" s="369"/>
    </row>
    <row r="195" spans="1:9" x14ac:dyDescent="0.25">
      <c r="A195" s="219"/>
      <c r="B195" s="99" t="s">
        <v>799</v>
      </c>
      <c r="G195" s="369"/>
    </row>
    <row r="196" spans="1:9" x14ac:dyDescent="0.25">
      <c r="A196" s="219"/>
      <c r="B196" s="99" t="s">
        <v>794</v>
      </c>
      <c r="D196" s="368">
        <f>D184-D180</f>
        <v>483324.19058227015</v>
      </c>
      <c r="G196" s="369"/>
      <c r="H196" s="370">
        <f>IF(ProjectData!$B$13="UNITED STATES",1,'Local Share'!$D121)</f>
        <v>0</v>
      </c>
      <c r="I196" s="370"/>
    </row>
    <row r="197" spans="1:9" x14ac:dyDescent="0.25">
      <c r="A197" s="219"/>
      <c r="B197" s="99" t="s">
        <v>795</v>
      </c>
      <c r="G197" s="369"/>
      <c r="H197" s="370">
        <f>IF(ProjectData!$B$13="UNITED STATES",1,'Local Share'!$D122)</f>
        <v>0</v>
      </c>
      <c r="I197" s="370"/>
    </row>
    <row r="198" spans="1:9" x14ac:dyDescent="0.25">
      <c r="A198" s="219"/>
      <c r="B198" s="367" t="s">
        <v>95</v>
      </c>
      <c r="H198" s="370">
        <f>IF(ProjectData!$B$13="UNITED STATES",1,'Local Share'!$D123)</f>
        <v>0</v>
      </c>
      <c r="I198" s="370"/>
    </row>
    <row r="199" spans="1:9" x14ac:dyDescent="0.25">
      <c r="A199" s="219"/>
      <c r="B199" s="99" t="s">
        <v>94</v>
      </c>
      <c r="H199" s="370">
        <f>IF(ProjectData!$B$13="UNITED STATES",1,'Local Share'!$D124)</f>
        <v>0</v>
      </c>
      <c r="I199" s="370"/>
    </row>
    <row r="200" spans="1:9" x14ac:dyDescent="0.25">
      <c r="A200" s="219"/>
      <c r="B200" s="99" t="s">
        <v>796</v>
      </c>
      <c r="H200" s="370">
        <f>IF(ProjectData!$B$13="UNITED STATES",1,'Local Share'!$D125)</f>
        <v>0</v>
      </c>
      <c r="I200" s="370"/>
    </row>
    <row r="201" spans="1:9" x14ac:dyDescent="0.25">
      <c r="A201" s="219"/>
      <c r="B201" s="99" t="s">
        <v>788</v>
      </c>
      <c r="D201" s="368">
        <f>SUM(D196:D200)</f>
        <v>483324.19058227015</v>
      </c>
      <c r="G201" s="369"/>
    </row>
    <row r="202" spans="1:9" x14ac:dyDescent="0.25">
      <c r="A202" s="219"/>
      <c r="B202" s="420" t="s">
        <v>763</v>
      </c>
      <c r="D202" s="368">
        <f>D194+D181</f>
        <v>1389504.7284463672</v>
      </c>
    </row>
    <row r="203" spans="1:9" x14ac:dyDescent="0.25">
      <c r="A203" s="219"/>
      <c r="B203" s="420" t="s">
        <v>800</v>
      </c>
      <c r="D203" s="368">
        <f>D201+D180</f>
        <v>602488.6791794966</v>
      </c>
    </row>
    <row r="204" spans="1:9" x14ac:dyDescent="0.25">
      <c r="A204" s="219"/>
      <c r="B204" s="470" t="s">
        <v>377</v>
      </c>
      <c r="D204" s="368">
        <f>D203+D202</f>
        <v>1991993.4076258638</v>
      </c>
    </row>
    <row r="205" spans="1:9" x14ac:dyDescent="0.25">
      <c r="A205" s="219"/>
      <c r="B205" s="99" t="s">
        <v>98</v>
      </c>
      <c r="H205" s="604">
        <v>1</v>
      </c>
      <c r="I205" s="370"/>
    </row>
    <row r="206" spans="1:9" x14ac:dyDescent="0.25">
      <c r="A206" s="219"/>
    </row>
    <row r="207" spans="1:9" x14ac:dyDescent="0.25">
      <c r="A207" s="219"/>
    </row>
    <row r="208" spans="1:9" x14ac:dyDescent="0.25">
      <c r="A208" s="219"/>
      <c r="B208" s="507" t="s">
        <v>991</v>
      </c>
      <c r="E208" s="484" t="s">
        <v>751</v>
      </c>
    </row>
    <row r="209" spans="1:19" x14ac:dyDescent="0.25">
      <c r="A209" s="219"/>
      <c r="B209" s="523" t="s">
        <v>992</v>
      </c>
      <c r="C209" s="368"/>
      <c r="D209" s="370"/>
    </row>
    <row r="210" spans="1:19" x14ac:dyDescent="0.25">
      <c r="A210" s="219"/>
      <c r="B210" s="489" t="s">
        <v>993</v>
      </c>
      <c r="C210" s="499">
        <v>0.7</v>
      </c>
      <c r="D210" s="499"/>
      <c r="E210" s="370">
        <f>IF(ProjectData!$B$13="UNITED STATES",1,0)</f>
        <v>0</v>
      </c>
      <c r="F210" s="557"/>
      <c r="G210" s="557"/>
      <c r="H210" s="557"/>
      <c r="I210" s="557"/>
      <c r="J210" s="557"/>
      <c r="K210" s="557"/>
      <c r="L210" s="557"/>
      <c r="M210" s="557"/>
      <c r="N210" s="557"/>
      <c r="O210" s="557"/>
      <c r="P210" s="557"/>
      <c r="Q210" s="557"/>
      <c r="R210" s="557"/>
      <c r="S210" s="557"/>
    </row>
    <row r="211" spans="1:19" x14ac:dyDescent="0.25">
      <c r="A211" s="219"/>
      <c r="B211" s="489" t="s">
        <v>994</v>
      </c>
      <c r="C211" s="478">
        <v>15</v>
      </c>
      <c r="D211" s="478"/>
      <c r="E211" s="478"/>
    </row>
    <row r="212" spans="1:19" x14ac:dyDescent="0.25">
      <c r="A212" s="219"/>
      <c r="B212" s="489" t="s">
        <v>995</v>
      </c>
      <c r="C212" s="499">
        <v>0.1</v>
      </c>
      <c r="D212" s="499"/>
      <c r="E212" s="478"/>
    </row>
    <row r="213" spans="1:19" x14ac:dyDescent="0.25">
      <c r="A213" s="219"/>
      <c r="B213" s="769" t="s">
        <v>1022</v>
      </c>
      <c r="C213" s="765"/>
      <c r="D213" s="499"/>
      <c r="E213" s="478"/>
    </row>
    <row r="214" spans="1:19" x14ac:dyDescent="0.25">
      <c r="A214" s="219"/>
      <c r="B214" s="507" t="s">
        <v>996</v>
      </c>
      <c r="C214" s="765"/>
      <c r="D214" s="484"/>
    </row>
    <row r="215" spans="1:19" x14ac:dyDescent="0.25">
      <c r="A215" s="219"/>
      <c r="B215" s="489" t="s">
        <v>997</v>
      </c>
      <c r="C215" s="538">
        <f>1-C210</f>
        <v>0.30000000000000004</v>
      </c>
      <c r="D215" s="766"/>
      <c r="E215" s="484"/>
    </row>
    <row r="216" spans="1:19" x14ac:dyDescent="0.25">
      <c r="A216" s="219"/>
      <c r="B216" s="489" t="s">
        <v>998</v>
      </c>
      <c r="C216" s="538">
        <v>0</v>
      </c>
      <c r="D216" s="499"/>
      <c r="E216" s="822">
        <v>1</v>
      </c>
    </row>
    <row r="217" spans="1:19" x14ac:dyDescent="0.25">
      <c r="A217" s="219"/>
      <c r="B217" s="489" t="s">
        <v>999</v>
      </c>
      <c r="C217" s="538">
        <f>1-C216</f>
        <v>1</v>
      </c>
      <c r="D217" s="499"/>
      <c r="E217" s="604">
        <f>IF(ProjectData!$B$13="UNITED STATES",1,0)</f>
        <v>0</v>
      </c>
    </row>
    <row r="218" spans="1:19" x14ac:dyDescent="0.25">
      <c r="A218" s="219"/>
      <c r="B218" s="489" t="s">
        <v>1000</v>
      </c>
      <c r="C218" s="538">
        <v>0.16</v>
      </c>
      <c r="D218" s="499"/>
      <c r="E218" s="478"/>
    </row>
    <row r="219" spans="1:19" x14ac:dyDescent="0.25">
      <c r="A219" s="219"/>
      <c r="B219" s="489" t="s">
        <v>1001</v>
      </c>
      <c r="C219" s="767">
        <v>10</v>
      </c>
      <c r="D219" s="499"/>
      <c r="E219" s="478"/>
    </row>
    <row r="220" spans="1:19" x14ac:dyDescent="0.25">
      <c r="A220" s="219"/>
      <c r="B220" s="507" t="s">
        <v>1002</v>
      </c>
      <c r="C220" s="499"/>
      <c r="D220" s="499"/>
      <c r="E220" s="478"/>
    </row>
    <row r="221" spans="1:19" x14ac:dyDescent="0.25">
      <c r="A221" s="219"/>
      <c r="B221" s="489" t="s">
        <v>1003</v>
      </c>
      <c r="C221" s="538">
        <v>0</v>
      </c>
      <c r="D221" s="538"/>
      <c r="E221" s="219"/>
    </row>
    <row r="222" spans="1:19" x14ac:dyDescent="0.25">
      <c r="A222" s="219"/>
      <c r="B222" s="489" t="s">
        <v>1004</v>
      </c>
      <c r="C222" s="538">
        <v>0</v>
      </c>
      <c r="D222" s="538"/>
      <c r="E222" s="219"/>
    </row>
    <row r="223" spans="1:19" x14ac:dyDescent="0.25">
      <c r="A223" s="219"/>
      <c r="B223" s="489" t="s">
        <v>1005</v>
      </c>
      <c r="C223" s="538">
        <v>0</v>
      </c>
      <c r="D223" s="538"/>
      <c r="E223" s="219"/>
    </row>
    <row r="224" spans="1:19" x14ac:dyDescent="0.25">
      <c r="A224" s="219"/>
      <c r="B224" s="489" t="s">
        <v>1006</v>
      </c>
      <c r="C224" s="501">
        <f>K20*$D222*$D223</f>
        <v>0</v>
      </c>
      <c r="D224" s="501"/>
      <c r="E224" s="219"/>
    </row>
    <row r="225" spans="1:5" x14ac:dyDescent="0.25">
      <c r="A225" s="219"/>
      <c r="B225" s="489" t="s">
        <v>1007</v>
      </c>
      <c r="C225" s="501">
        <f>IF($C224="na",0,$C221*$C224)</f>
        <v>0</v>
      </c>
      <c r="D225" s="501"/>
      <c r="E225" s="823">
        <v>1</v>
      </c>
    </row>
    <row r="226" spans="1:5" x14ac:dyDescent="0.25">
      <c r="A226" s="219"/>
      <c r="B226" s="507" t="s">
        <v>1008</v>
      </c>
      <c r="C226" s="501"/>
      <c r="D226" s="219"/>
      <c r="E226" s="768"/>
    </row>
    <row r="227" spans="1:5" x14ac:dyDescent="0.25">
      <c r="A227" s="219"/>
      <c r="B227" s="486" t="s">
        <v>1079</v>
      </c>
      <c r="C227" s="820">
        <f>'Rates &amp; Misc'!C73</f>
        <v>2420</v>
      </c>
      <c r="D227" s="219"/>
      <c r="E227" s="768"/>
    </row>
    <row r="228" spans="1:5" x14ac:dyDescent="0.25">
      <c r="A228" s="219"/>
      <c r="B228" s="502" t="s">
        <v>1127</v>
      </c>
      <c r="C228" s="501">
        <f>'Rates &amp; Misc'!C74</f>
        <v>319</v>
      </c>
      <c r="D228" s="219"/>
      <c r="E228" s="768"/>
    </row>
    <row r="229" spans="1:5" x14ac:dyDescent="0.25">
      <c r="A229" s="219"/>
      <c r="B229" s="502" t="s">
        <v>1128</v>
      </c>
      <c r="C229" s="501">
        <f>'Rates &amp; Misc'!C75</f>
        <v>771980</v>
      </c>
      <c r="D229" s="219"/>
      <c r="E229" s="768"/>
    </row>
    <row r="230" spans="1:5" x14ac:dyDescent="0.25">
      <c r="A230" s="219"/>
      <c r="B230" s="99" t="s">
        <v>1104</v>
      </c>
      <c r="C230" s="501">
        <f>'Rates &amp; Misc'!C76</f>
        <v>5</v>
      </c>
      <c r="D230" s="219"/>
      <c r="E230" s="219"/>
    </row>
    <row r="231" spans="1:5" x14ac:dyDescent="0.25">
      <c r="A231" s="219"/>
      <c r="B231" s="99" t="s">
        <v>1124</v>
      </c>
      <c r="C231" s="771">
        <f>C230*C227</f>
        <v>12100</v>
      </c>
      <c r="D231" s="219"/>
      <c r="E231" s="219"/>
    </row>
    <row r="232" spans="1:5" x14ac:dyDescent="0.25">
      <c r="A232" s="219"/>
      <c r="B232" s="487" t="s">
        <v>1095</v>
      </c>
      <c r="C232" s="478" t="s">
        <v>1075</v>
      </c>
      <c r="D232" s="219"/>
      <c r="E232" s="604">
        <f>IF(ProjectData!$B$13="UNITED STATES",1,0)</f>
        <v>0</v>
      </c>
    </row>
    <row r="233" spans="1:5" x14ac:dyDescent="0.25">
      <c r="A233" s="219"/>
    </row>
    <row r="234" spans="1:5" x14ac:dyDescent="0.25">
      <c r="A234" s="219"/>
    </row>
    <row r="235" spans="1:5" x14ac:dyDescent="0.25">
      <c r="A235" s="219"/>
    </row>
    <row r="236" spans="1:5" x14ac:dyDescent="0.25">
      <c r="A236" s="219"/>
    </row>
    <row r="237" spans="1:5" x14ac:dyDescent="0.25">
      <c r="A237" s="219"/>
    </row>
    <row r="238" spans="1:5" x14ac:dyDescent="0.25">
      <c r="A238" s="219"/>
    </row>
    <row r="239" spans="1:5" x14ac:dyDescent="0.25">
      <c r="A239" s="219"/>
    </row>
    <row r="240" spans="1:5" x14ac:dyDescent="0.25">
      <c r="A240" s="219"/>
    </row>
    <row r="241" spans="1:1" x14ac:dyDescent="0.25">
      <c r="A241" s="219"/>
    </row>
    <row r="242" spans="1:1" x14ac:dyDescent="0.25">
      <c r="A242" s="219"/>
    </row>
    <row r="243" spans="1:1" x14ac:dyDescent="0.25">
      <c r="A243" s="219"/>
    </row>
    <row r="244" spans="1:1" x14ac:dyDescent="0.25">
      <c r="A244" s="219"/>
    </row>
    <row r="245" spans="1:1" x14ac:dyDescent="0.25">
      <c r="A245" s="219"/>
    </row>
    <row r="246" spans="1:1" x14ac:dyDescent="0.25">
      <c r="A246" s="219"/>
    </row>
    <row r="247" spans="1:1" x14ac:dyDescent="0.25">
      <c r="A247" s="219"/>
    </row>
    <row r="248" spans="1:1" x14ac:dyDescent="0.25">
      <c r="A248" s="219"/>
    </row>
    <row r="249" spans="1:1" x14ac:dyDescent="0.25">
      <c r="A249" s="219"/>
    </row>
    <row r="250" spans="1:1" x14ac:dyDescent="0.25">
      <c r="A250" s="219"/>
    </row>
    <row r="251" spans="1:1" x14ac:dyDescent="0.25">
      <c r="A251" s="219"/>
    </row>
    <row r="252" spans="1:1" x14ac:dyDescent="0.25">
      <c r="A252" s="219"/>
    </row>
    <row r="253" spans="1:1" x14ac:dyDescent="0.25">
      <c r="A253" s="219"/>
    </row>
    <row r="254" spans="1:1" x14ac:dyDescent="0.25">
      <c r="A254" s="219"/>
    </row>
    <row r="255" spans="1:1" x14ac:dyDescent="0.25">
      <c r="A255" s="219"/>
    </row>
    <row r="256" spans="1:1" x14ac:dyDescent="0.25">
      <c r="A256" s="219"/>
    </row>
    <row r="257" spans="1:20" x14ac:dyDescent="0.25">
      <c r="A257" s="219"/>
    </row>
    <row r="258" spans="1:20" x14ac:dyDescent="0.25">
      <c r="A258" s="219"/>
      <c r="B258" s="510" t="s">
        <v>827</v>
      </c>
      <c r="C258" s="219"/>
      <c r="D258" s="219"/>
      <c r="E258" s="219"/>
      <c r="F258" s="219"/>
      <c r="G258" s="219"/>
      <c r="H258" s="219"/>
      <c r="I258" s="219"/>
      <c r="J258" s="219"/>
      <c r="K258" s="219"/>
      <c r="L258" s="219"/>
      <c r="M258" s="219"/>
      <c r="N258" s="219"/>
      <c r="O258" s="219"/>
      <c r="P258" s="219"/>
      <c r="Q258" s="219"/>
      <c r="R258" s="520"/>
      <c r="S258" s="520"/>
      <c r="T258" s="520"/>
    </row>
    <row r="259" spans="1:20" x14ac:dyDescent="0.25">
      <c r="A259" s="219"/>
      <c r="B259" s="219"/>
      <c r="C259" s="219" t="s">
        <v>592</v>
      </c>
      <c r="D259" s="219" t="s">
        <v>593</v>
      </c>
      <c r="E259" s="219" t="s">
        <v>595</v>
      </c>
      <c r="F259" s="219" t="s">
        <v>828</v>
      </c>
      <c r="G259" s="219" t="s">
        <v>598</v>
      </c>
      <c r="H259" s="219" t="s">
        <v>599</v>
      </c>
      <c r="I259" s="219"/>
      <c r="J259" s="219" t="s">
        <v>601</v>
      </c>
      <c r="K259" s="219" t="s">
        <v>602</v>
      </c>
      <c r="L259" s="219"/>
      <c r="M259" s="219" t="s">
        <v>603</v>
      </c>
      <c r="N259" s="219"/>
      <c r="O259" s="219" t="s">
        <v>604</v>
      </c>
      <c r="P259" s="219" t="s">
        <v>605</v>
      </c>
      <c r="Q259" s="219" t="s">
        <v>829</v>
      </c>
      <c r="R259" s="520" t="s">
        <v>607</v>
      </c>
      <c r="S259" s="520" t="s">
        <v>609</v>
      </c>
      <c r="T259" s="520" t="s">
        <v>624</v>
      </c>
    </row>
    <row r="260" spans="1:20" x14ac:dyDescent="0.25">
      <c r="A260" s="219"/>
      <c r="B260" s="493" t="s">
        <v>592</v>
      </c>
      <c r="C260" s="521">
        <v>0.58366899999999999</v>
      </c>
      <c r="D260" s="521">
        <v>0</v>
      </c>
      <c r="E260" s="521">
        <v>0</v>
      </c>
      <c r="F260" s="521">
        <v>0</v>
      </c>
      <c r="G260" s="521">
        <v>0</v>
      </c>
      <c r="H260" s="521">
        <v>0</v>
      </c>
      <c r="I260" s="521"/>
      <c r="J260" s="521">
        <v>0</v>
      </c>
      <c r="K260" s="521">
        <v>5.1572E-2</v>
      </c>
      <c r="L260" s="521"/>
      <c r="M260" s="521">
        <v>7.2450000000000001E-2</v>
      </c>
      <c r="N260" s="521"/>
      <c r="O260" s="521">
        <v>0.29230899999999999</v>
      </c>
      <c r="P260" s="521">
        <v>0</v>
      </c>
      <c r="Q260" s="521">
        <v>0</v>
      </c>
      <c r="R260" s="521">
        <v>0</v>
      </c>
      <c r="S260" s="521">
        <v>0</v>
      </c>
      <c r="T260" s="522">
        <f>SUM(C260:S260)</f>
        <v>1</v>
      </c>
    </row>
    <row r="261" spans="1:20" x14ac:dyDescent="0.25">
      <c r="A261" s="219"/>
      <c r="B261" s="493" t="s">
        <v>593</v>
      </c>
      <c r="C261" s="521">
        <v>0</v>
      </c>
      <c r="D261" s="521">
        <v>0.36205100000000001</v>
      </c>
      <c r="E261" s="521">
        <v>0</v>
      </c>
      <c r="F261" s="521">
        <v>0</v>
      </c>
      <c r="G261" s="521">
        <v>0</v>
      </c>
      <c r="H261" s="521">
        <v>0</v>
      </c>
      <c r="I261" s="521"/>
      <c r="J261" s="521">
        <v>0</v>
      </c>
      <c r="K261" s="521">
        <f>0.284423+0.346126</f>
        <v>0.63054900000000003</v>
      </c>
      <c r="L261" s="521"/>
      <c r="M261" s="521">
        <v>7.4000000000000003E-3</v>
      </c>
      <c r="N261" s="521"/>
      <c r="O261" s="521">
        <v>0</v>
      </c>
      <c r="P261" s="521">
        <v>0</v>
      </c>
      <c r="Q261" s="521">
        <v>0</v>
      </c>
      <c r="R261" s="521">
        <v>0</v>
      </c>
      <c r="S261" s="521">
        <v>0</v>
      </c>
      <c r="T261" s="522">
        <f t="shared" ref="T261:T273" si="68">SUM(C261:S261)</f>
        <v>1</v>
      </c>
    </row>
    <row r="262" spans="1:20" x14ac:dyDescent="0.25">
      <c r="A262" s="219"/>
      <c r="B262" s="493" t="s">
        <v>595</v>
      </c>
      <c r="C262" s="521">
        <v>0</v>
      </c>
      <c r="D262" s="521">
        <v>0</v>
      </c>
      <c r="E262" s="521">
        <v>1</v>
      </c>
      <c r="F262" s="521">
        <v>0</v>
      </c>
      <c r="G262" s="521">
        <v>0</v>
      </c>
      <c r="H262" s="521">
        <v>0</v>
      </c>
      <c r="I262" s="521"/>
      <c r="J262" s="521">
        <v>0</v>
      </c>
      <c r="K262" s="521">
        <v>0</v>
      </c>
      <c r="L262" s="521"/>
      <c r="M262" s="521">
        <v>0</v>
      </c>
      <c r="N262" s="521"/>
      <c r="O262" s="521">
        <v>0</v>
      </c>
      <c r="P262" s="521">
        <v>0</v>
      </c>
      <c r="Q262" s="521">
        <v>0</v>
      </c>
      <c r="R262" s="521">
        <v>0</v>
      </c>
      <c r="S262" s="521">
        <v>0</v>
      </c>
      <c r="T262" s="522">
        <f t="shared" si="68"/>
        <v>1</v>
      </c>
    </row>
    <row r="263" spans="1:20" x14ac:dyDescent="0.25">
      <c r="A263" s="219"/>
      <c r="B263" s="493" t="s">
        <v>596</v>
      </c>
      <c r="C263" s="521">
        <v>0</v>
      </c>
      <c r="D263" s="521">
        <v>0</v>
      </c>
      <c r="E263" s="521">
        <v>0</v>
      </c>
      <c r="F263" s="521">
        <v>0.55841200000000002</v>
      </c>
      <c r="G263" s="521">
        <v>0</v>
      </c>
      <c r="H263" s="521">
        <v>0</v>
      </c>
      <c r="I263" s="521"/>
      <c r="J263" s="521">
        <v>0</v>
      </c>
      <c r="K263" s="521">
        <v>2.3014E-2</v>
      </c>
      <c r="L263" s="521"/>
      <c r="M263" s="521">
        <f>0.080398+0.338175</f>
        <v>0.41857299999999997</v>
      </c>
      <c r="N263" s="521"/>
      <c r="O263" s="521">
        <v>0</v>
      </c>
      <c r="P263" s="521">
        <v>0</v>
      </c>
      <c r="Q263" s="521">
        <v>0</v>
      </c>
      <c r="R263" s="521">
        <v>0</v>
      </c>
      <c r="S263" s="521">
        <v>0</v>
      </c>
      <c r="T263" s="522">
        <f t="shared" si="68"/>
        <v>0.99999899999999997</v>
      </c>
    </row>
    <row r="264" spans="1:20" x14ac:dyDescent="0.25">
      <c r="A264" s="219"/>
      <c r="B264" s="493" t="s">
        <v>598</v>
      </c>
      <c r="C264" s="521">
        <v>0</v>
      </c>
      <c r="D264" s="521">
        <v>0</v>
      </c>
      <c r="E264" s="521">
        <v>0</v>
      </c>
      <c r="F264" s="521">
        <v>0</v>
      </c>
      <c r="G264" s="521">
        <v>1</v>
      </c>
      <c r="H264" s="521">
        <v>0</v>
      </c>
      <c r="I264" s="521"/>
      <c r="J264" s="521">
        <v>0</v>
      </c>
      <c r="K264" s="521">
        <v>0</v>
      </c>
      <c r="L264" s="521"/>
      <c r="M264" s="521">
        <v>0</v>
      </c>
      <c r="N264" s="521"/>
      <c r="O264" s="521">
        <v>0</v>
      </c>
      <c r="P264" s="521">
        <v>0</v>
      </c>
      <c r="Q264" s="521">
        <v>0</v>
      </c>
      <c r="R264" s="521">
        <v>0</v>
      </c>
      <c r="S264" s="521">
        <v>0</v>
      </c>
      <c r="T264" s="522">
        <f t="shared" si="68"/>
        <v>1</v>
      </c>
    </row>
    <row r="265" spans="1:20" x14ac:dyDescent="0.25">
      <c r="A265" s="219"/>
      <c r="B265" s="493" t="s">
        <v>599</v>
      </c>
      <c r="C265" s="521">
        <v>0</v>
      </c>
      <c r="D265" s="521">
        <v>0</v>
      </c>
      <c r="E265" s="521">
        <v>0</v>
      </c>
      <c r="F265" s="521">
        <v>0</v>
      </c>
      <c r="G265" s="521">
        <v>0</v>
      </c>
      <c r="H265" s="521">
        <v>0.63125100000000001</v>
      </c>
      <c r="I265" s="521"/>
      <c r="J265" s="521">
        <v>0</v>
      </c>
      <c r="K265" s="521">
        <f>0.000889</f>
        <v>8.8900000000000003E-4</v>
      </c>
      <c r="L265" s="521"/>
      <c r="M265" s="521">
        <f>0.1018+0.266059</f>
        <v>0.36785899999999999</v>
      </c>
      <c r="N265" s="521"/>
      <c r="O265" s="521">
        <v>0</v>
      </c>
      <c r="P265" s="521">
        <v>0</v>
      </c>
      <c r="Q265" s="521">
        <v>0</v>
      </c>
      <c r="R265" s="521">
        <v>0</v>
      </c>
      <c r="S265" s="521">
        <v>0</v>
      </c>
      <c r="T265" s="522">
        <f t="shared" si="68"/>
        <v>0.99999900000000008</v>
      </c>
    </row>
    <row r="266" spans="1:20" x14ac:dyDescent="0.25">
      <c r="A266" s="219"/>
      <c r="B266" s="493" t="s">
        <v>601</v>
      </c>
      <c r="C266" s="521">
        <v>0</v>
      </c>
      <c r="D266" s="521">
        <v>0</v>
      </c>
      <c r="E266" s="521">
        <v>0</v>
      </c>
      <c r="F266" s="521">
        <v>0</v>
      </c>
      <c r="G266" s="521">
        <v>0</v>
      </c>
      <c r="H266" s="521">
        <v>0</v>
      </c>
      <c r="I266" s="521"/>
      <c r="J266" s="521">
        <v>0.51277399999999995</v>
      </c>
      <c r="K266" s="521">
        <v>1.2135999999999999E-2</v>
      </c>
      <c r="L266" s="521"/>
      <c r="M266" s="521">
        <f>0.075345+0.399745</f>
        <v>0.47509000000000001</v>
      </c>
      <c r="N266" s="521"/>
      <c r="O266" s="521">
        <v>0</v>
      </c>
      <c r="P266" s="521">
        <v>0</v>
      </c>
      <c r="Q266" s="521">
        <v>0</v>
      </c>
      <c r="R266" s="521">
        <v>0</v>
      </c>
      <c r="S266" s="521">
        <v>0</v>
      </c>
      <c r="T266" s="522">
        <f t="shared" si="68"/>
        <v>1</v>
      </c>
    </row>
    <row r="267" spans="1:20" x14ac:dyDescent="0.25">
      <c r="A267" s="219"/>
      <c r="B267" s="493" t="s">
        <v>602</v>
      </c>
      <c r="C267" s="521">
        <v>0</v>
      </c>
      <c r="D267" s="521">
        <v>0</v>
      </c>
      <c r="E267" s="521">
        <v>0</v>
      </c>
      <c r="F267" s="521">
        <v>0</v>
      </c>
      <c r="G267" s="521">
        <v>0</v>
      </c>
      <c r="H267" s="521">
        <v>0</v>
      </c>
      <c r="I267" s="521"/>
      <c r="J267" s="521">
        <v>0</v>
      </c>
      <c r="K267" s="521">
        <v>1</v>
      </c>
      <c r="L267" s="521"/>
      <c r="M267" s="521">
        <v>0</v>
      </c>
      <c r="N267" s="521"/>
      <c r="O267" s="521">
        <v>0</v>
      </c>
      <c r="P267" s="521">
        <v>0</v>
      </c>
      <c r="Q267" s="521">
        <v>0</v>
      </c>
      <c r="R267" s="521">
        <v>0</v>
      </c>
      <c r="S267" s="521">
        <v>0</v>
      </c>
      <c r="T267" s="522">
        <f t="shared" si="68"/>
        <v>1</v>
      </c>
    </row>
    <row r="268" spans="1:20" x14ac:dyDescent="0.25">
      <c r="A268" s="219"/>
      <c r="B268" s="493" t="s">
        <v>603</v>
      </c>
      <c r="C268" s="521">
        <v>0</v>
      </c>
      <c r="D268" s="521">
        <v>0</v>
      </c>
      <c r="E268" s="521">
        <v>0</v>
      </c>
      <c r="F268" s="521">
        <v>0</v>
      </c>
      <c r="G268" s="521">
        <v>0</v>
      </c>
      <c r="H268" s="521">
        <v>0</v>
      </c>
      <c r="I268" s="521"/>
      <c r="J268" s="521">
        <v>0</v>
      </c>
      <c r="K268" s="521">
        <v>0</v>
      </c>
      <c r="L268" s="521"/>
      <c r="M268" s="521">
        <v>1</v>
      </c>
      <c r="N268" s="521"/>
      <c r="O268" s="521">
        <v>0</v>
      </c>
      <c r="P268" s="521">
        <v>0</v>
      </c>
      <c r="Q268" s="521">
        <v>0</v>
      </c>
      <c r="R268" s="521">
        <v>0</v>
      </c>
      <c r="S268" s="521">
        <v>0</v>
      </c>
      <c r="T268" s="522">
        <f t="shared" si="68"/>
        <v>1</v>
      </c>
    </row>
    <row r="269" spans="1:20" x14ac:dyDescent="0.25">
      <c r="A269" s="219"/>
      <c r="B269" s="493" t="s">
        <v>604</v>
      </c>
      <c r="C269" s="521">
        <v>0</v>
      </c>
      <c r="D269" s="521">
        <v>0</v>
      </c>
      <c r="E269" s="521">
        <v>0</v>
      </c>
      <c r="F269" s="521">
        <v>0</v>
      </c>
      <c r="G269" s="521">
        <v>0</v>
      </c>
      <c r="H269" s="521">
        <v>0</v>
      </c>
      <c r="I269" s="521"/>
      <c r="J269" s="521">
        <v>0</v>
      </c>
      <c r="K269" s="521">
        <v>0</v>
      </c>
      <c r="L269" s="521"/>
      <c r="M269" s="521">
        <f>1-O269</f>
        <v>0.68871400000000005</v>
      </c>
      <c r="N269" s="521"/>
      <c r="O269" s="521">
        <v>0.31128600000000001</v>
      </c>
      <c r="P269" s="521">
        <v>0</v>
      </c>
      <c r="Q269" s="521">
        <v>0</v>
      </c>
      <c r="R269" s="521">
        <v>0</v>
      </c>
      <c r="S269" s="521">
        <v>0</v>
      </c>
      <c r="T269" s="522">
        <f t="shared" si="68"/>
        <v>1</v>
      </c>
    </row>
    <row r="270" spans="1:20" x14ac:dyDescent="0.25">
      <c r="A270" s="219"/>
      <c r="B270" s="493" t="s">
        <v>605</v>
      </c>
      <c r="C270" s="521">
        <v>0</v>
      </c>
      <c r="D270" s="521">
        <v>0</v>
      </c>
      <c r="E270" s="521">
        <v>0</v>
      </c>
      <c r="F270" s="521">
        <v>0</v>
      </c>
      <c r="G270" s="521">
        <v>0</v>
      </c>
      <c r="H270" s="521">
        <v>0</v>
      </c>
      <c r="I270" s="521"/>
      <c r="J270" s="521">
        <v>0</v>
      </c>
      <c r="K270" s="521">
        <v>0</v>
      </c>
      <c r="L270" s="521"/>
      <c r="M270" s="521">
        <v>0</v>
      </c>
      <c r="N270" s="521"/>
      <c r="O270" s="521">
        <v>0</v>
      </c>
      <c r="P270" s="521">
        <v>1</v>
      </c>
      <c r="Q270" s="521">
        <v>0</v>
      </c>
      <c r="R270" s="521">
        <v>0</v>
      </c>
      <c r="S270" s="521">
        <v>0</v>
      </c>
      <c r="T270" s="522">
        <f t="shared" si="68"/>
        <v>1</v>
      </c>
    </row>
    <row r="271" spans="1:20" x14ac:dyDescent="0.25">
      <c r="A271" s="219"/>
      <c r="B271" s="493" t="s">
        <v>606</v>
      </c>
      <c r="C271" s="521">
        <v>0</v>
      </c>
      <c r="D271" s="521">
        <v>0</v>
      </c>
      <c r="E271" s="521">
        <v>0</v>
      </c>
      <c r="F271" s="521">
        <v>0</v>
      </c>
      <c r="G271" s="521">
        <v>0</v>
      </c>
      <c r="H271" s="521">
        <v>0</v>
      </c>
      <c r="I271" s="521"/>
      <c r="J271" s="521">
        <v>0</v>
      </c>
      <c r="K271" s="521">
        <v>4.2428E-2</v>
      </c>
      <c r="L271" s="521"/>
      <c r="M271" s="521">
        <v>9.2082999999999998E-2</v>
      </c>
      <c r="N271" s="521"/>
      <c r="O271" s="521">
        <v>0.361097</v>
      </c>
      <c r="P271" s="521">
        <v>0</v>
      </c>
      <c r="Q271" s="521">
        <v>0.50439199999999995</v>
      </c>
      <c r="R271" s="521">
        <v>0</v>
      </c>
      <c r="S271" s="521">
        <v>0</v>
      </c>
      <c r="T271" s="522">
        <f t="shared" si="68"/>
        <v>1</v>
      </c>
    </row>
    <row r="272" spans="1:20" x14ac:dyDescent="0.25">
      <c r="A272" s="219"/>
      <c r="B272" s="493" t="s">
        <v>607</v>
      </c>
      <c r="C272" s="521">
        <v>0</v>
      </c>
      <c r="D272" s="521">
        <v>0</v>
      </c>
      <c r="E272" s="521">
        <v>0</v>
      </c>
      <c r="F272" s="521">
        <v>0</v>
      </c>
      <c r="G272" s="521">
        <v>0</v>
      </c>
      <c r="H272" s="521">
        <v>0</v>
      </c>
      <c r="I272" s="521"/>
      <c r="J272" s="521">
        <v>0</v>
      </c>
      <c r="K272" s="521">
        <v>0</v>
      </c>
      <c r="L272" s="521"/>
      <c r="M272" s="521">
        <v>0</v>
      </c>
      <c r="N272" s="521"/>
      <c r="O272" s="521">
        <v>0</v>
      </c>
      <c r="P272" s="521">
        <v>0</v>
      </c>
      <c r="Q272" s="521">
        <v>0</v>
      </c>
      <c r="R272" s="521">
        <v>1</v>
      </c>
      <c r="S272" s="521">
        <v>0</v>
      </c>
      <c r="T272" s="522">
        <f t="shared" si="68"/>
        <v>1</v>
      </c>
    </row>
    <row r="273" spans="1:20" x14ac:dyDescent="0.25">
      <c r="A273" s="219"/>
      <c r="B273" s="493" t="s">
        <v>609</v>
      </c>
      <c r="C273" s="521">
        <v>0</v>
      </c>
      <c r="D273" s="521">
        <v>0</v>
      </c>
      <c r="E273" s="521">
        <v>0</v>
      </c>
      <c r="F273" s="521">
        <v>0</v>
      </c>
      <c r="G273" s="521">
        <v>0</v>
      </c>
      <c r="H273" s="521">
        <v>0</v>
      </c>
      <c r="I273" s="521"/>
      <c r="J273" s="521">
        <v>0</v>
      </c>
      <c r="K273" s="521">
        <v>0</v>
      </c>
      <c r="L273" s="521"/>
      <c r="M273" s="521">
        <v>0</v>
      </c>
      <c r="N273" s="521"/>
      <c r="O273" s="521">
        <v>0</v>
      </c>
      <c r="P273" s="521">
        <v>0</v>
      </c>
      <c r="Q273" s="521">
        <v>0</v>
      </c>
      <c r="R273" s="521">
        <v>0</v>
      </c>
      <c r="S273" s="521">
        <v>1</v>
      </c>
      <c r="T273" s="522">
        <f t="shared" si="68"/>
        <v>1</v>
      </c>
    </row>
    <row r="274" spans="1:20" x14ac:dyDescent="0.25">
      <c r="A274" s="219"/>
    </row>
    <row r="275" spans="1:20" x14ac:dyDescent="0.25">
      <c r="A275" s="219"/>
    </row>
    <row r="276" spans="1:20" x14ac:dyDescent="0.25">
      <c r="A276" s="219"/>
    </row>
    <row r="277" spans="1:20" x14ac:dyDescent="0.25">
      <c r="A277" s="219"/>
    </row>
    <row r="278" spans="1:20" x14ac:dyDescent="0.25">
      <c r="A278" s="219"/>
    </row>
    <row r="279" spans="1:20" x14ac:dyDescent="0.25">
      <c r="A279" s="219"/>
    </row>
    <row r="280" spans="1:20" x14ac:dyDescent="0.25">
      <c r="A280" s="219"/>
    </row>
    <row r="281" spans="1:20" x14ac:dyDescent="0.25">
      <c r="A281" s="219"/>
    </row>
    <row r="282" spans="1:20" x14ac:dyDescent="0.25">
      <c r="A282" s="219"/>
    </row>
    <row r="283" spans="1:20" x14ac:dyDescent="0.25">
      <c r="A283" s="219"/>
    </row>
    <row r="284" spans="1:20" x14ac:dyDescent="0.25">
      <c r="A284" s="219"/>
    </row>
    <row r="285" spans="1:20" x14ac:dyDescent="0.25">
      <c r="A285" s="219"/>
    </row>
    <row r="286" spans="1:20" x14ac:dyDescent="0.25">
      <c r="A286" s="219"/>
    </row>
    <row r="287" spans="1:20" x14ac:dyDescent="0.25">
      <c r="A287" s="219"/>
    </row>
    <row r="288" spans="1:20" x14ac:dyDescent="0.25">
      <c r="A288" s="219"/>
    </row>
    <row r="289" spans="1:1" x14ac:dyDescent="0.25">
      <c r="A289" s="219"/>
    </row>
    <row r="290" spans="1:1" x14ac:dyDescent="0.25">
      <c r="A290" s="219"/>
    </row>
  </sheetData>
  <sheetProtection password="DFD3" sheet="1" objects="1" scenarios="1"/>
  <conditionalFormatting sqref="C13">
    <cfRule type="expression" priority="22">
      <formula>"if(B6=""Simple"")"</formula>
    </cfRule>
  </conditionalFormatting>
  <conditionalFormatting sqref="E12:E14 F11">
    <cfRule type="colorScale" priority="21">
      <colorScale>
        <cfvo type="formula" val="&quot;if(b6=&quot;&quot;Simple&quot;&quot;)&quot;"/>
        <cfvo type="max"/>
        <color rgb="FFFF7128"/>
        <color rgb="FFFFEF9C"/>
      </colorScale>
    </cfRule>
  </conditionalFormatting>
  <conditionalFormatting sqref="B202:B204 B187:B189 B28:B30">
    <cfRule type="expression" dxfId="136" priority="7">
      <formula>#REF!="Simple"</formula>
    </cfRule>
  </conditionalFormatting>
  <conditionalFormatting sqref="B228:B229">
    <cfRule type="expression" dxfId="135" priority="2">
      <formula>$B$13="Simple"</formula>
    </cfRule>
  </conditionalFormatting>
  <dataValidations count="1">
    <dataValidation type="list" allowBlank="1" showInputMessage="1" showErrorMessage="1" sqref="C13">
      <formula1>"Simple, Advanced"</formula1>
    </dataValidation>
  </dataValidations>
  <pageMargins left="0.7" right="0.7" top="0.75" bottom="0.75" header="0.3" footer="0.3"/>
  <pageSetup orientation="portrait" horizontalDpi="4294967293"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BH290"/>
  <sheetViews>
    <sheetView workbookViewId="0">
      <selection activeCell="D1" sqref="D1"/>
    </sheetView>
  </sheetViews>
  <sheetFormatPr defaultRowHeight="15" x14ac:dyDescent="0.25"/>
  <cols>
    <col min="1" max="1" width="140.42578125" style="225" customWidth="1"/>
    <col min="3" max="3" width="43.7109375" customWidth="1"/>
    <col min="4" max="4" width="6.7109375" customWidth="1"/>
    <col min="5" max="5" width="8.5703125" style="813" customWidth="1"/>
    <col min="6" max="6" width="27.5703125" customWidth="1"/>
  </cols>
  <sheetData>
    <row r="1" spans="1:60" x14ac:dyDescent="0.25">
      <c r="A1" s="217"/>
      <c r="E1" s="387" t="s">
        <v>1109</v>
      </c>
      <c r="F1" t="s">
        <v>1110</v>
      </c>
    </row>
    <row r="2" spans="1:60" ht="39" x14ac:dyDescent="0.25">
      <c r="A2" s="217"/>
      <c r="B2" s="813">
        <v>1</v>
      </c>
      <c r="F2" t="s">
        <v>1111</v>
      </c>
      <c r="G2" s="812" t="s">
        <v>539</v>
      </c>
      <c r="H2" s="812" t="s">
        <v>540</v>
      </c>
      <c r="I2" s="812" t="s">
        <v>541</v>
      </c>
      <c r="J2" s="812" t="s">
        <v>542</v>
      </c>
      <c r="K2" s="812" t="s">
        <v>543</v>
      </c>
      <c r="L2" s="812" t="s">
        <v>143</v>
      </c>
      <c r="M2" s="812" t="s">
        <v>544</v>
      </c>
      <c r="N2" s="812" t="s">
        <v>545</v>
      </c>
      <c r="O2" s="812" t="s">
        <v>546</v>
      </c>
      <c r="P2" s="812" t="s">
        <v>547</v>
      </c>
      <c r="Q2" s="812" t="s">
        <v>548</v>
      </c>
      <c r="R2" s="812" t="s">
        <v>549</v>
      </c>
      <c r="S2" s="812" t="s">
        <v>550</v>
      </c>
      <c r="T2" s="812" t="s">
        <v>551</v>
      </c>
      <c r="U2" s="812" t="s">
        <v>552</v>
      </c>
      <c r="V2" s="812" t="s">
        <v>553</v>
      </c>
      <c r="W2" s="812" t="s">
        <v>554</v>
      </c>
      <c r="X2" s="812" t="s">
        <v>555</v>
      </c>
      <c r="Y2" s="812" t="s">
        <v>556</v>
      </c>
      <c r="Z2" s="812" t="s">
        <v>557</v>
      </c>
      <c r="AA2" s="812" t="s">
        <v>558</v>
      </c>
      <c r="AB2" s="812" t="s">
        <v>559</v>
      </c>
      <c r="AC2" s="812" t="s">
        <v>560</v>
      </c>
      <c r="AD2" s="812" t="s">
        <v>561</v>
      </c>
      <c r="AE2" s="812" t="s">
        <v>562</v>
      </c>
      <c r="AF2" s="812" t="s">
        <v>563</v>
      </c>
      <c r="AG2" s="812" t="s">
        <v>564</v>
      </c>
      <c r="AH2" s="260" t="s">
        <v>565</v>
      </c>
      <c r="AI2" s="260" t="s">
        <v>566</v>
      </c>
      <c r="AJ2" s="257" t="s">
        <v>567</v>
      </c>
      <c r="AK2" s="257" t="s">
        <v>568</v>
      </c>
      <c r="AL2" s="257" t="s">
        <v>569</v>
      </c>
      <c r="AM2" s="257" t="s">
        <v>570</v>
      </c>
      <c r="AN2" s="257" t="s">
        <v>571</v>
      </c>
      <c r="AO2" s="257" t="s">
        <v>572</v>
      </c>
      <c r="AP2" s="257" t="s">
        <v>573</v>
      </c>
      <c r="AQ2" s="257" t="s">
        <v>574</v>
      </c>
      <c r="AR2" s="257" t="s">
        <v>575</v>
      </c>
      <c r="AS2" s="257" t="s">
        <v>576</v>
      </c>
      <c r="AT2" s="257" t="s">
        <v>577</v>
      </c>
      <c r="AU2" s="257" t="s">
        <v>578</v>
      </c>
      <c r="AV2" s="257" t="s">
        <v>579</v>
      </c>
      <c r="AW2" s="257" t="s">
        <v>580</v>
      </c>
      <c r="AX2" s="257" t="s">
        <v>581</v>
      </c>
      <c r="AY2" s="257" t="s">
        <v>582</v>
      </c>
      <c r="AZ2" s="257" t="s">
        <v>583</v>
      </c>
      <c r="BA2" s="257" t="s">
        <v>584</v>
      </c>
      <c r="BB2" s="257" t="s">
        <v>585</v>
      </c>
      <c r="BC2" s="257" t="s">
        <v>586</v>
      </c>
      <c r="BD2" s="257" t="s">
        <v>587</v>
      </c>
      <c r="BE2" s="257" t="s">
        <v>588</v>
      </c>
      <c r="BF2" s="257" t="s">
        <v>589</v>
      </c>
      <c r="BG2" s="257" t="s">
        <v>590</v>
      </c>
    </row>
    <row r="3" spans="1:60" ht="15.75" x14ac:dyDescent="0.25">
      <c r="A3" s="217"/>
      <c r="B3" s="813">
        <f>B2+1</f>
        <v>2</v>
      </c>
      <c r="C3" s="401" t="s">
        <v>125</v>
      </c>
      <c r="D3" s="401"/>
    </row>
    <row r="4" spans="1:60" x14ac:dyDescent="0.25">
      <c r="A4" s="217"/>
      <c r="B4" s="813">
        <f t="shared" ref="B4:B67" si="0">B3+1</f>
        <v>3</v>
      </c>
      <c r="C4" s="99" t="s">
        <v>734</v>
      </c>
      <c r="D4" s="436">
        <f>HLOOKUP(ProjectData!B$13,G$2:BG$125,B4)</f>
        <v>0</v>
      </c>
      <c r="E4" s="816">
        <v>0.75</v>
      </c>
      <c r="F4" t="s">
        <v>1112</v>
      </c>
      <c r="G4" s="538">
        <v>0</v>
      </c>
      <c r="H4" s="538">
        <v>0</v>
      </c>
      <c r="I4" s="538">
        <v>0</v>
      </c>
      <c r="J4" s="538">
        <v>0</v>
      </c>
      <c r="K4" s="816">
        <v>0.75</v>
      </c>
      <c r="L4" s="816">
        <v>0.75</v>
      </c>
      <c r="M4" s="538">
        <v>0</v>
      </c>
      <c r="N4" s="538">
        <v>0</v>
      </c>
      <c r="O4" s="538">
        <v>0</v>
      </c>
      <c r="P4" s="538">
        <v>0</v>
      </c>
      <c r="Q4" s="538">
        <v>0</v>
      </c>
      <c r="R4" s="538">
        <v>0</v>
      </c>
      <c r="S4" s="538">
        <v>0</v>
      </c>
      <c r="T4" s="538">
        <v>0</v>
      </c>
      <c r="U4" s="538">
        <v>0</v>
      </c>
      <c r="V4" s="538">
        <v>0</v>
      </c>
      <c r="W4" s="538">
        <v>0</v>
      </c>
      <c r="X4" s="538">
        <v>0</v>
      </c>
      <c r="Y4" s="538">
        <v>0</v>
      </c>
      <c r="Z4" s="538">
        <v>0</v>
      </c>
      <c r="AA4" s="538">
        <v>0</v>
      </c>
      <c r="AB4" s="538">
        <v>0</v>
      </c>
      <c r="AC4" s="538">
        <v>0</v>
      </c>
      <c r="AD4" s="538">
        <v>0</v>
      </c>
      <c r="AE4" s="538">
        <v>0</v>
      </c>
      <c r="AF4" s="538">
        <v>0</v>
      </c>
      <c r="AG4" s="538">
        <v>0</v>
      </c>
      <c r="AH4" s="538">
        <v>0</v>
      </c>
      <c r="AI4" s="538">
        <v>0</v>
      </c>
      <c r="AJ4" s="538">
        <v>0</v>
      </c>
      <c r="AK4" s="816">
        <v>0.75</v>
      </c>
      <c r="AL4" s="538">
        <v>0</v>
      </c>
      <c r="AM4" s="538">
        <v>0</v>
      </c>
      <c r="AN4" s="538">
        <v>0</v>
      </c>
      <c r="AO4" s="538">
        <v>0</v>
      </c>
      <c r="AP4" s="538">
        <v>0</v>
      </c>
      <c r="AQ4" s="538">
        <v>0</v>
      </c>
      <c r="AR4" s="538">
        <v>0</v>
      </c>
      <c r="AS4" s="538">
        <v>0</v>
      </c>
      <c r="AT4" s="538">
        <v>0</v>
      </c>
      <c r="AU4" s="538">
        <v>0</v>
      </c>
      <c r="AV4" s="538">
        <v>0</v>
      </c>
      <c r="AW4" s="538">
        <v>0</v>
      </c>
      <c r="AX4" s="538">
        <v>0</v>
      </c>
      <c r="AY4" s="538">
        <v>0</v>
      </c>
      <c r="AZ4" s="538">
        <v>0</v>
      </c>
      <c r="BA4" s="816">
        <v>0.75</v>
      </c>
      <c r="BB4" s="538">
        <v>0</v>
      </c>
      <c r="BC4" s="538">
        <v>0</v>
      </c>
      <c r="BD4" s="538">
        <v>0</v>
      </c>
      <c r="BE4" s="538">
        <v>0</v>
      </c>
      <c r="BF4" s="538">
        <v>0</v>
      </c>
      <c r="BG4" s="538">
        <v>0</v>
      </c>
      <c r="BH4">
        <f>COUNTIF(G4:BG4,"&gt;0")</f>
        <v>4</v>
      </c>
    </row>
    <row r="5" spans="1:60" ht="23.25" x14ac:dyDescent="0.35">
      <c r="A5" s="221" t="s">
        <v>591</v>
      </c>
      <c r="B5" s="813">
        <f t="shared" si="0"/>
        <v>4</v>
      </c>
      <c r="C5" s="99" t="s">
        <v>735</v>
      </c>
      <c r="D5" s="436">
        <f>HLOOKUP(ProjectData!B$13,G$2:BG$125,B5)</f>
        <v>0</v>
      </c>
      <c r="E5" s="816">
        <v>0.75</v>
      </c>
      <c r="F5" t="s">
        <v>1112</v>
      </c>
      <c r="G5" s="538">
        <v>0</v>
      </c>
      <c r="H5" s="538">
        <v>0</v>
      </c>
      <c r="I5" s="538">
        <v>0</v>
      </c>
      <c r="J5" s="538">
        <v>0</v>
      </c>
      <c r="K5" s="816">
        <v>0.75</v>
      </c>
      <c r="L5" s="816">
        <v>0.75</v>
      </c>
      <c r="M5" s="538">
        <v>0</v>
      </c>
      <c r="N5" s="538">
        <v>0</v>
      </c>
      <c r="O5" s="538">
        <v>0</v>
      </c>
      <c r="P5" s="538">
        <v>0</v>
      </c>
      <c r="Q5" s="538">
        <v>0</v>
      </c>
      <c r="R5" s="538">
        <v>0</v>
      </c>
      <c r="S5" s="538">
        <v>0</v>
      </c>
      <c r="T5" s="538">
        <v>0</v>
      </c>
      <c r="U5" s="538">
        <v>0</v>
      </c>
      <c r="V5" s="538">
        <v>0</v>
      </c>
      <c r="W5" s="538">
        <v>0</v>
      </c>
      <c r="X5" s="538">
        <v>0</v>
      </c>
      <c r="Y5" s="538">
        <v>0</v>
      </c>
      <c r="Z5" s="538">
        <v>0</v>
      </c>
      <c r="AA5" s="538">
        <v>0</v>
      </c>
      <c r="AB5" s="538">
        <v>0</v>
      </c>
      <c r="AC5" s="538">
        <v>0</v>
      </c>
      <c r="AD5" s="538">
        <v>0</v>
      </c>
      <c r="AE5" s="538">
        <v>0</v>
      </c>
      <c r="AF5" s="538">
        <v>0</v>
      </c>
      <c r="AG5" s="538">
        <v>0</v>
      </c>
      <c r="AH5" s="538">
        <v>0</v>
      </c>
      <c r="AI5" s="538">
        <v>0</v>
      </c>
      <c r="AJ5" s="538">
        <v>0</v>
      </c>
      <c r="AK5" s="816">
        <v>0.75</v>
      </c>
      <c r="AL5" s="538">
        <v>0</v>
      </c>
      <c r="AM5" s="538">
        <v>0</v>
      </c>
      <c r="AN5" s="538">
        <v>0</v>
      </c>
      <c r="AO5" s="538">
        <v>0</v>
      </c>
      <c r="AP5" s="538">
        <v>0</v>
      </c>
      <c r="AQ5" s="538">
        <v>0</v>
      </c>
      <c r="AR5" s="538">
        <v>0</v>
      </c>
      <c r="AS5" s="538">
        <v>0</v>
      </c>
      <c r="AT5" s="538">
        <v>0</v>
      </c>
      <c r="AU5" s="538">
        <v>0</v>
      </c>
      <c r="AV5" s="538">
        <v>0</v>
      </c>
      <c r="AW5" s="538">
        <v>0</v>
      </c>
      <c r="AX5" s="538">
        <v>0</v>
      </c>
      <c r="AY5" s="538">
        <v>0</v>
      </c>
      <c r="AZ5" s="538">
        <v>0</v>
      </c>
      <c r="BA5" s="816">
        <v>0.75</v>
      </c>
      <c r="BB5" s="538">
        <v>0</v>
      </c>
      <c r="BC5" s="538">
        <v>0</v>
      </c>
      <c r="BD5" s="538">
        <v>0</v>
      </c>
      <c r="BE5" s="538">
        <v>0</v>
      </c>
      <c r="BF5" s="538">
        <v>0</v>
      </c>
      <c r="BG5" s="538">
        <v>0</v>
      </c>
      <c r="BH5">
        <f>COUNTIF(G5:BG5,"&gt;0")</f>
        <v>4</v>
      </c>
    </row>
    <row r="6" spans="1:60" x14ac:dyDescent="0.25">
      <c r="A6" s="217"/>
      <c r="B6" s="813">
        <f t="shared" si="0"/>
        <v>5</v>
      </c>
      <c r="C6" s="99" t="s">
        <v>736</v>
      </c>
      <c r="D6" s="436">
        <f>HLOOKUP(ProjectData!B$13,G$2:BG$125,B6)</f>
        <v>0</v>
      </c>
      <c r="E6" s="173" t="s">
        <v>1113</v>
      </c>
      <c r="G6" s="538">
        <v>0</v>
      </c>
      <c r="H6" s="538">
        <v>0</v>
      </c>
      <c r="I6" s="538">
        <v>0</v>
      </c>
      <c r="J6" s="538">
        <v>0</v>
      </c>
      <c r="K6" s="538">
        <v>0</v>
      </c>
      <c r="L6" s="538">
        <v>0</v>
      </c>
      <c r="M6" s="538">
        <v>0</v>
      </c>
      <c r="N6" s="538">
        <v>0</v>
      </c>
      <c r="O6" s="538">
        <v>0</v>
      </c>
      <c r="P6" s="538">
        <v>0</v>
      </c>
      <c r="Q6" s="538">
        <v>0</v>
      </c>
      <c r="R6" s="538">
        <v>0</v>
      </c>
      <c r="S6" s="538">
        <v>0</v>
      </c>
      <c r="T6" s="538">
        <v>0</v>
      </c>
      <c r="U6" s="538">
        <v>0</v>
      </c>
      <c r="V6" s="538">
        <v>0</v>
      </c>
      <c r="W6" s="538">
        <v>0</v>
      </c>
      <c r="X6" s="538">
        <v>0</v>
      </c>
      <c r="Y6" s="538">
        <v>0</v>
      </c>
      <c r="Z6" s="538">
        <v>0</v>
      </c>
      <c r="AA6" s="538">
        <v>0</v>
      </c>
      <c r="AB6" s="538">
        <v>0</v>
      </c>
      <c r="AC6" s="538">
        <v>0</v>
      </c>
      <c r="AD6" s="538">
        <v>0</v>
      </c>
      <c r="AE6" s="538">
        <v>0</v>
      </c>
      <c r="AF6" s="538">
        <v>0</v>
      </c>
      <c r="AG6" s="538">
        <v>0</v>
      </c>
      <c r="AH6" s="538">
        <v>0</v>
      </c>
      <c r="AI6" s="538">
        <v>0</v>
      </c>
      <c r="AJ6" s="538">
        <v>0</v>
      </c>
      <c r="AK6" s="538">
        <v>0</v>
      </c>
      <c r="AL6" s="538">
        <v>0</v>
      </c>
      <c r="AM6" s="538">
        <v>0</v>
      </c>
      <c r="AN6" s="538">
        <v>0</v>
      </c>
      <c r="AO6" s="538">
        <v>0</v>
      </c>
      <c r="AP6" s="538">
        <v>0</v>
      </c>
      <c r="AQ6" s="538">
        <v>0</v>
      </c>
      <c r="AR6" s="538">
        <v>0</v>
      </c>
      <c r="AS6" s="538">
        <v>0</v>
      </c>
      <c r="AT6" s="538">
        <v>0</v>
      </c>
      <c r="AU6" s="538">
        <v>0</v>
      </c>
      <c r="AV6" s="538">
        <v>0</v>
      </c>
      <c r="AW6" s="538">
        <v>0</v>
      </c>
      <c r="AX6" s="538">
        <v>0</v>
      </c>
      <c r="AY6" s="538">
        <v>0</v>
      </c>
      <c r="AZ6" s="538">
        <v>0</v>
      </c>
      <c r="BA6" s="538">
        <v>0</v>
      </c>
      <c r="BB6" s="538">
        <v>0</v>
      </c>
      <c r="BC6" s="538">
        <v>0</v>
      </c>
      <c r="BD6" s="538">
        <v>0</v>
      </c>
      <c r="BE6" s="538">
        <v>0</v>
      </c>
      <c r="BF6" s="538">
        <v>0</v>
      </c>
      <c r="BG6" s="538">
        <v>0</v>
      </c>
      <c r="BH6">
        <f>COUNTIF(G6:BG6,"&gt;0")</f>
        <v>0</v>
      </c>
    </row>
    <row r="7" spans="1:60" ht="15.75" x14ac:dyDescent="0.25">
      <c r="A7" s="223" t="s">
        <v>594</v>
      </c>
      <c r="B7" s="813">
        <f t="shared" si="0"/>
        <v>6</v>
      </c>
      <c r="C7" s="99" t="s">
        <v>737</v>
      </c>
      <c r="D7" s="436">
        <f>HLOOKUP(ProjectData!B$13,G$2:BG$125,B7)</f>
        <v>0</v>
      </c>
      <c r="E7" s="813" t="s">
        <v>1114</v>
      </c>
      <c r="G7" s="538">
        <v>0</v>
      </c>
      <c r="H7" s="538">
        <v>0</v>
      </c>
      <c r="I7" s="538">
        <v>0</v>
      </c>
      <c r="J7" s="538">
        <v>0</v>
      </c>
      <c r="K7" s="538">
        <v>0</v>
      </c>
      <c r="L7" s="538">
        <v>0</v>
      </c>
      <c r="M7" s="538">
        <v>0</v>
      </c>
      <c r="N7" s="538">
        <v>0</v>
      </c>
      <c r="O7" s="538">
        <v>0</v>
      </c>
      <c r="P7" s="538">
        <v>0</v>
      </c>
      <c r="Q7" s="538">
        <v>0</v>
      </c>
      <c r="R7" s="538">
        <v>0</v>
      </c>
      <c r="S7" s="538">
        <v>0</v>
      </c>
      <c r="T7" s="538">
        <v>0</v>
      </c>
      <c r="U7" s="538">
        <v>0</v>
      </c>
      <c r="V7" s="538">
        <v>0</v>
      </c>
      <c r="W7" s="538">
        <v>0</v>
      </c>
      <c r="X7" s="538">
        <v>0</v>
      </c>
      <c r="Y7" s="538">
        <v>0</v>
      </c>
      <c r="Z7" s="538">
        <v>0</v>
      </c>
      <c r="AA7" s="538">
        <v>0</v>
      </c>
      <c r="AB7" s="538">
        <v>0</v>
      </c>
      <c r="AC7" s="538">
        <v>0</v>
      </c>
      <c r="AD7" s="538">
        <v>0</v>
      </c>
      <c r="AE7" s="538">
        <v>0</v>
      </c>
      <c r="AF7" s="538">
        <v>0</v>
      </c>
      <c r="AG7" s="538">
        <v>0</v>
      </c>
      <c r="AH7" s="538">
        <v>0</v>
      </c>
      <c r="AI7" s="538">
        <v>0</v>
      </c>
      <c r="AJ7" s="538">
        <v>0</v>
      </c>
      <c r="AK7" s="538">
        <v>0</v>
      </c>
      <c r="AL7" s="538">
        <v>0</v>
      </c>
      <c r="AM7" s="538">
        <v>0</v>
      </c>
      <c r="AN7" s="538">
        <v>0</v>
      </c>
      <c r="AO7" s="538">
        <v>0</v>
      </c>
      <c r="AP7" s="538">
        <v>0</v>
      </c>
      <c r="AQ7" s="538">
        <v>0</v>
      </c>
      <c r="AR7" s="538">
        <v>0</v>
      </c>
      <c r="AS7" s="538">
        <v>0</v>
      </c>
      <c r="AT7" s="538">
        <v>0</v>
      </c>
      <c r="AU7" s="538">
        <v>0</v>
      </c>
      <c r="AV7" s="538">
        <v>0</v>
      </c>
      <c r="AW7" s="538">
        <v>0</v>
      </c>
      <c r="AX7" s="538">
        <v>0</v>
      </c>
      <c r="AY7" s="538">
        <v>0</v>
      </c>
      <c r="AZ7" s="538">
        <v>0</v>
      </c>
      <c r="BA7" s="538">
        <v>0</v>
      </c>
      <c r="BB7" s="538">
        <v>0</v>
      </c>
      <c r="BC7" s="538">
        <v>0</v>
      </c>
      <c r="BD7" s="538">
        <v>0</v>
      </c>
      <c r="BE7" s="538">
        <v>0</v>
      </c>
      <c r="BF7" s="538">
        <v>0</v>
      </c>
      <c r="BG7" s="538">
        <v>0</v>
      </c>
      <c r="BH7">
        <f>COUNTIF(G7:BG7,"&gt;0")</f>
        <v>0</v>
      </c>
    </row>
    <row r="8" spans="1:60" ht="15.75" x14ac:dyDescent="0.25">
      <c r="A8" s="224"/>
      <c r="B8" s="813">
        <f t="shared" si="0"/>
        <v>7</v>
      </c>
      <c r="C8" s="390" t="s">
        <v>120</v>
      </c>
      <c r="D8" s="390"/>
      <c r="G8" s="538"/>
      <c r="H8" s="538"/>
      <c r="I8" s="538"/>
      <c r="J8" s="538"/>
      <c r="K8" s="538"/>
      <c r="L8" s="538"/>
      <c r="M8" s="538"/>
      <c r="N8" s="538"/>
      <c r="O8" s="538"/>
      <c r="P8" s="538"/>
      <c r="Q8" s="538"/>
      <c r="R8" s="538"/>
      <c r="S8" s="538"/>
      <c r="T8" s="538"/>
      <c r="U8" s="538"/>
      <c r="V8" s="538"/>
      <c r="W8" s="538"/>
      <c r="X8" s="538"/>
      <c r="Y8" s="538"/>
      <c r="Z8" s="538"/>
      <c r="AA8" s="538"/>
      <c r="AB8" s="538"/>
      <c r="AC8" s="538"/>
      <c r="AD8" s="538"/>
      <c r="AE8" s="538"/>
      <c r="AF8" s="538"/>
      <c r="AG8" s="538"/>
      <c r="AH8" s="538"/>
      <c r="AI8" s="538"/>
      <c r="AJ8" s="538"/>
      <c r="AK8" s="538"/>
      <c r="AL8" s="538"/>
      <c r="AM8" s="538"/>
      <c r="AN8" s="538"/>
      <c r="AO8" s="538"/>
      <c r="AP8" s="538"/>
      <c r="AQ8" s="538"/>
      <c r="AR8" s="538"/>
      <c r="AS8" s="538"/>
      <c r="AT8" s="538"/>
      <c r="AU8" s="538"/>
      <c r="AV8" s="538"/>
      <c r="AW8" s="538"/>
      <c r="AX8" s="538"/>
      <c r="AY8" s="538"/>
      <c r="AZ8" s="538"/>
      <c r="BA8" s="538"/>
      <c r="BB8" s="538"/>
      <c r="BC8" s="538"/>
      <c r="BD8" s="538"/>
      <c r="BE8" s="538"/>
      <c r="BF8" s="538"/>
      <c r="BG8" s="538"/>
    </row>
    <row r="9" spans="1:60" ht="15.75" x14ac:dyDescent="0.25">
      <c r="A9" s="223" t="s">
        <v>597</v>
      </c>
      <c r="B9" s="813">
        <f t="shared" si="0"/>
        <v>8</v>
      </c>
      <c r="C9" s="99" t="s">
        <v>738</v>
      </c>
      <c r="D9" s="436">
        <f>HLOOKUP(ProjectData!B$13,G$2:BG$125,B9)</f>
        <v>1</v>
      </c>
      <c r="E9" s="816">
        <v>1</v>
      </c>
      <c r="F9" t="s">
        <v>1115</v>
      </c>
      <c r="G9" s="538">
        <v>0</v>
      </c>
      <c r="H9" s="538">
        <v>0</v>
      </c>
      <c r="I9" s="538">
        <v>0</v>
      </c>
      <c r="J9" s="538">
        <v>0</v>
      </c>
      <c r="K9" s="816">
        <v>1</v>
      </c>
      <c r="L9" s="816">
        <v>1</v>
      </c>
      <c r="M9" s="538">
        <v>0</v>
      </c>
      <c r="N9" s="538">
        <v>0</v>
      </c>
      <c r="O9" s="538">
        <v>0</v>
      </c>
      <c r="P9" s="538">
        <v>0</v>
      </c>
      <c r="Q9" s="538">
        <v>0</v>
      </c>
      <c r="R9" s="538">
        <v>0</v>
      </c>
      <c r="S9" s="816">
        <v>1</v>
      </c>
      <c r="T9" s="538">
        <v>0</v>
      </c>
      <c r="U9" s="538">
        <v>0</v>
      </c>
      <c r="V9" s="538">
        <v>0</v>
      </c>
      <c r="W9" s="538">
        <v>0</v>
      </c>
      <c r="X9" s="538">
        <v>0</v>
      </c>
      <c r="Y9" s="538">
        <v>0</v>
      </c>
      <c r="Z9" s="538">
        <v>0</v>
      </c>
      <c r="AA9" s="538">
        <v>0</v>
      </c>
      <c r="AB9" s="538">
        <v>0</v>
      </c>
      <c r="AC9" s="538">
        <v>0</v>
      </c>
      <c r="AD9" s="538">
        <v>0</v>
      </c>
      <c r="AE9" s="538">
        <v>0</v>
      </c>
      <c r="AF9" s="538">
        <v>0</v>
      </c>
      <c r="AG9" s="538">
        <v>0</v>
      </c>
      <c r="AH9" s="538">
        <v>0</v>
      </c>
      <c r="AI9" s="538">
        <v>0</v>
      </c>
      <c r="AJ9" s="538">
        <v>0</v>
      </c>
      <c r="AK9" s="816">
        <v>1</v>
      </c>
      <c r="AL9" s="538">
        <v>0</v>
      </c>
      <c r="AM9" s="538">
        <v>0</v>
      </c>
      <c r="AN9" s="816">
        <v>1</v>
      </c>
      <c r="AO9" s="538">
        <v>0</v>
      </c>
      <c r="AP9" s="538">
        <v>0</v>
      </c>
      <c r="AQ9" s="538">
        <v>0</v>
      </c>
      <c r="AR9" s="538">
        <v>0</v>
      </c>
      <c r="AS9" s="538">
        <v>0</v>
      </c>
      <c r="AT9" s="816">
        <v>1</v>
      </c>
      <c r="AU9" s="538">
        <v>0</v>
      </c>
      <c r="AV9" s="538">
        <v>0</v>
      </c>
      <c r="AW9" s="538">
        <v>0</v>
      </c>
      <c r="AX9" s="538">
        <v>0</v>
      </c>
      <c r="AY9" s="538">
        <v>0</v>
      </c>
      <c r="AZ9" s="816">
        <v>1</v>
      </c>
      <c r="BA9" s="816">
        <v>1</v>
      </c>
      <c r="BB9" s="538">
        <v>0</v>
      </c>
      <c r="BC9" s="538">
        <v>0</v>
      </c>
      <c r="BD9" s="538">
        <v>0</v>
      </c>
      <c r="BE9" s="538">
        <v>0</v>
      </c>
      <c r="BF9" s="538">
        <v>0</v>
      </c>
      <c r="BG9" s="538">
        <v>0</v>
      </c>
      <c r="BH9">
        <f t="shared" ref="BH9:BH15" si="1">COUNTIF(G9:BG9,"&gt;0")</f>
        <v>8</v>
      </c>
    </row>
    <row r="10" spans="1:60" ht="15.75" x14ac:dyDescent="0.25">
      <c r="A10" s="223"/>
      <c r="B10" s="813">
        <f t="shared" si="0"/>
        <v>9</v>
      </c>
      <c r="C10" s="99" t="s">
        <v>739</v>
      </c>
      <c r="D10" s="436">
        <f>HLOOKUP(ProjectData!B$13,G$2:BG$125,B10)</f>
        <v>0</v>
      </c>
      <c r="E10" s="816">
        <v>1</v>
      </c>
      <c r="F10" t="s">
        <v>1116</v>
      </c>
      <c r="G10" s="538">
        <v>0</v>
      </c>
      <c r="H10" s="538">
        <v>0</v>
      </c>
      <c r="I10" s="538">
        <v>0</v>
      </c>
      <c r="J10" s="538">
        <v>0</v>
      </c>
      <c r="K10" s="816">
        <v>1</v>
      </c>
      <c r="L10" s="816">
        <v>1</v>
      </c>
      <c r="M10" s="538">
        <v>0</v>
      </c>
      <c r="N10" s="538">
        <v>0</v>
      </c>
      <c r="O10" s="538">
        <v>0</v>
      </c>
      <c r="P10" s="538">
        <v>0</v>
      </c>
      <c r="Q10" s="538">
        <v>0</v>
      </c>
      <c r="R10" s="538">
        <v>0</v>
      </c>
      <c r="S10" s="538">
        <v>0</v>
      </c>
      <c r="T10" s="538">
        <v>0</v>
      </c>
      <c r="U10" s="538">
        <v>0</v>
      </c>
      <c r="V10" s="538">
        <v>0</v>
      </c>
      <c r="W10" s="538">
        <v>0</v>
      </c>
      <c r="X10" s="538">
        <v>0</v>
      </c>
      <c r="Y10" s="538">
        <v>0</v>
      </c>
      <c r="Z10" s="538">
        <v>0</v>
      </c>
      <c r="AA10" s="538">
        <v>0</v>
      </c>
      <c r="AB10" s="538">
        <v>0</v>
      </c>
      <c r="AC10" s="538">
        <v>0</v>
      </c>
      <c r="AD10" s="538">
        <v>0</v>
      </c>
      <c r="AE10" s="538">
        <v>0</v>
      </c>
      <c r="AF10" s="538">
        <v>0</v>
      </c>
      <c r="AG10" s="538">
        <v>0</v>
      </c>
      <c r="AH10" s="538">
        <v>0</v>
      </c>
      <c r="AI10" s="538">
        <v>0</v>
      </c>
      <c r="AJ10" s="538">
        <v>0</v>
      </c>
      <c r="AK10" s="816">
        <v>1</v>
      </c>
      <c r="AL10" s="538">
        <v>0</v>
      </c>
      <c r="AM10" s="538">
        <v>0</v>
      </c>
      <c r="AN10" s="538">
        <v>0</v>
      </c>
      <c r="AO10" s="538">
        <v>0</v>
      </c>
      <c r="AP10" s="538">
        <v>0</v>
      </c>
      <c r="AQ10" s="538">
        <v>0</v>
      </c>
      <c r="AR10" s="538">
        <v>0</v>
      </c>
      <c r="AS10" s="538">
        <v>0</v>
      </c>
      <c r="AT10" s="538">
        <v>0</v>
      </c>
      <c r="AU10" s="538">
        <v>0</v>
      </c>
      <c r="AV10" s="538">
        <v>0</v>
      </c>
      <c r="AW10" s="538">
        <v>0</v>
      </c>
      <c r="AX10" s="538">
        <v>0</v>
      </c>
      <c r="AY10" s="538">
        <v>0</v>
      </c>
      <c r="AZ10" s="816">
        <v>1</v>
      </c>
      <c r="BA10" s="816">
        <v>1</v>
      </c>
      <c r="BB10" s="538">
        <v>0</v>
      </c>
      <c r="BC10" s="538">
        <v>0</v>
      </c>
      <c r="BD10" s="538">
        <v>0</v>
      </c>
      <c r="BE10" s="538">
        <v>0</v>
      </c>
      <c r="BF10" s="538">
        <v>0</v>
      </c>
      <c r="BG10" s="538">
        <v>0</v>
      </c>
      <c r="BH10">
        <f t="shared" si="1"/>
        <v>5</v>
      </c>
    </row>
    <row r="11" spans="1:60" ht="15.75" x14ac:dyDescent="0.25">
      <c r="A11" s="223" t="s">
        <v>600</v>
      </c>
      <c r="B11" s="813">
        <f t="shared" si="0"/>
        <v>10</v>
      </c>
      <c r="C11" s="99" t="s">
        <v>740</v>
      </c>
      <c r="D11" s="436">
        <f>HLOOKUP(ProjectData!B$13,G$2:BG$125,B11)</f>
        <v>0</v>
      </c>
      <c r="E11" s="816">
        <v>1</v>
      </c>
      <c r="F11" t="s">
        <v>1116</v>
      </c>
      <c r="G11" s="538">
        <v>0</v>
      </c>
      <c r="H11" s="538">
        <v>0</v>
      </c>
      <c r="I11" s="538">
        <v>0</v>
      </c>
      <c r="J11" s="538">
        <v>0</v>
      </c>
      <c r="K11" s="816">
        <v>1</v>
      </c>
      <c r="L11" s="816">
        <v>1</v>
      </c>
      <c r="M11" s="538">
        <v>0</v>
      </c>
      <c r="N11" s="538">
        <v>0</v>
      </c>
      <c r="O11" s="538">
        <v>0</v>
      </c>
      <c r="P11" s="538">
        <v>0</v>
      </c>
      <c r="Q11" s="538">
        <v>0</v>
      </c>
      <c r="R11" s="538">
        <v>0</v>
      </c>
      <c r="S11" s="538">
        <v>0</v>
      </c>
      <c r="T11" s="538">
        <v>0</v>
      </c>
      <c r="U11" s="538">
        <v>0</v>
      </c>
      <c r="V11" s="538">
        <v>0</v>
      </c>
      <c r="W11" s="538">
        <v>0</v>
      </c>
      <c r="X11" s="538">
        <v>0</v>
      </c>
      <c r="Y11" s="538">
        <v>0</v>
      </c>
      <c r="Z11" s="538">
        <v>0</v>
      </c>
      <c r="AA11" s="538">
        <v>0</v>
      </c>
      <c r="AB11" s="538">
        <v>0</v>
      </c>
      <c r="AC11" s="538">
        <v>0</v>
      </c>
      <c r="AD11" s="538">
        <v>0</v>
      </c>
      <c r="AE11" s="538">
        <v>0</v>
      </c>
      <c r="AF11" s="538">
        <v>0</v>
      </c>
      <c r="AG11" s="538">
        <v>0</v>
      </c>
      <c r="AH11" s="538">
        <v>0</v>
      </c>
      <c r="AI11" s="538">
        <v>0</v>
      </c>
      <c r="AJ11" s="538">
        <v>0</v>
      </c>
      <c r="AK11" s="816">
        <v>1</v>
      </c>
      <c r="AL11" s="538">
        <v>0</v>
      </c>
      <c r="AM11" s="538">
        <v>0</v>
      </c>
      <c r="AN11" s="538">
        <v>0</v>
      </c>
      <c r="AO11" s="538">
        <v>0</v>
      </c>
      <c r="AP11" s="538">
        <v>0</v>
      </c>
      <c r="AQ11" s="538">
        <v>0</v>
      </c>
      <c r="AR11" s="538">
        <v>0</v>
      </c>
      <c r="AS11" s="538">
        <v>0</v>
      </c>
      <c r="AT11" s="538">
        <v>0</v>
      </c>
      <c r="AU11" s="538">
        <v>0</v>
      </c>
      <c r="AV11" s="538">
        <v>0</v>
      </c>
      <c r="AW11" s="538">
        <v>0</v>
      </c>
      <c r="AX11" s="538">
        <v>0</v>
      </c>
      <c r="AY11" s="538">
        <v>0</v>
      </c>
      <c r="AZ11" s="816">
        <v>1</v>
      </c>
      <c r="BA11" s="816">
        <v>1</v>
      </c>
      <c r="BB11" s="538">
        <v>0</v>
      </c>
      <c r="BC11" s="538">
        <v>0</v>
      </c>
      <c r="BD11" s="538">
        <v>0</v>
      </c>
      <c r="BE11" s="538">
        <v>0</v>
      </c>
      <c r="BF11" s="538">
        <v>0</v>
      </c>
      <c r="BG11" s="538">
        <v>0</v>
      </c>
      <c r="BH11">
        <f t="shared" si="1"/>
        <v>5</v>
      </c>
    </row>
    <row r="12" spans="1:60" x14ac:dyDescent="0.25">
      <c r="A12" s="217"/>
      <c r="B12" s="813">
        <f t="shared" si="0"/>
        <v>11</v>
      </c>
      <c r="C12" s="99" t="s">
        <v>741</v>
      </c>
      <c r="D12" s="436">
        <f>HLOOKUP(ProjectData!B$13,G$2:BG$125,B12)</f>
        <v>0</v>
      </c>
      <c r="E12" s="816">
        <v>1</v>
      </c>
      <c r="F12" t="s">
        <v>1116</v>
      </c>
      <c r="G12" s="538">
        <v>0</v>
      </c>
      <c r="H12" s="538">
        <v>0</v>
      </c>
      <c r="I12" s="538">
        <v>0</v>
      </c>
      <c r="J12" s="538">
        <v>0</v>
      </c>
      <c r="K12" s="816">
        <v>1</v>
      </c>
      <c r="L12" s="816">
        <v>1</v>
      </c>
      <c r="M12" s="538">
        <v>0</v>
      </c>
      <c r="N12" s="538">
        <v>0</v>
      </c>
      <c r="O12" s="538">
        <v>0</v>
      </c>
      <c r="P12" s="538">
        <v>0</v>
      </c>
      <c r="Q12" s="538">
        <v>0</v>
      </c>
      <c r="R12" s="538">
        <v>0</v>
      </c>
      <c r="S12" s="538">
        <v>0</v>
      </c>
      <c r="T12" s="538">
        <v>0</v>
      </c>
      <c r="U12" s="538">
        <v>0</v>
      </c>
      <c r="V12" s="538">
        <v>0</v>
      </c>
      <c r="W12" s="538">
        <v>0</v>
      </c>
      <c r="X12" s="538">
        <v>0</v>
      </c>
      <c r="Y12" s="538">
        <v>0</v>
      </c>
      <c r="Z12" s="538">
        <v>0</v>
      </c>
      <c r="AA12" s="538">
        <v>0</v>
      </c>
      <c r="AB12" s="538">
        <v>0</v>
      </c>
      <c r="AC12" s="538">
        <v>0</v>
      </c>
      <c r="AD12" s="538">
        <v>0</v>
      </c>
      <c r="AE12" s="538">
        <v>0</v>
      </c>
      <c r="AF12" s="538">
        <v>0</v>
      </c>
      <c r="AG12" s="538">
        <v>0</v>
      </c>
      <c r="AH12" s="538">
        <v>0</v>
      </c>
      <c r="AI12" s="538">
        <v>0</v>
      </c>
      <c r="AJ12" s="538">
        <v>0</v>
      </c>
      <c r="AK12" s="816">
        <v>1</v>
      </c>
      <c r="AL12" s="538">
        <v>0</v>
      </c>
      <c r="AM12" s="538">
        <v>0</v>
      </c>
      <c r="AN12" s="538">
        <v>0</v>
      </c>
      <c r="AO12" s="538">
        <v>0</v>
      </c>
      <c r="AP12" s="538">
        <v>0</v>
      </c>
      <c r="AQ12" s="538">
        <v>0</v>
      </c>
      <c r="AR12" s="538">
        <v>0</v>
      </c>
      <c r="AS12" s="538">
        <v>0</v>
      </c>
      <c r="AT12" s="538">
        <v>0</v>
      </c>
      <c r="AU12" s="538">
        <v>0</v>
      </c>
      <c r="AV12" s="538">
        <v>0</v>
      </c>
      <c r="AW12" s="538">
        <v>0</v>
      </c>
      <c r="AX12" s="538">
        <v>0</v>
      </c>
      <c r="AY12" s="538">
        <v>0</v>
      </c>
      <c r="AZ12" s="816">
        <v>1</v>
      </c>
      <c r="BA12" s="816">
        <v>1</v>
      </c>
      <c r="BB12" s="538">
        <v>0</v>
      </c>
      <c r="BC12" s="538">
        <v>0</v>
      </c>
      <c r="BD12" s="538">
        <v>0</v>
      </c>
      <c r="BE12" s="538">
        <v>0</v>
      </c>
      <c r="BF12" s="538">
        <v>0</v>
      </c>
      <c r="BG12" s="538">
        <v>0</v>
      </c>
      <c r="BH12">
        <f t="shared" si="1"/>
        <v>5</v>
      </c>
    </row>
    <row r="13" spans="1:60" x14ac:dyDescent="0.25">
      <c r="A13" s="217"/>
      <c r="B13" s="813">
        <f t="shared" si="0"/>
        <v>12</v>
      </c>
      <c r="C13" s="99" t="s">
        <v>742</v>
      </c>
      <c r="D13" s="436">
        <f>HLOOKUP(ProjectData!B$13,G$2:BG$125,B13)</f>
        <v>0</v>
      </c>
      <c r="E13" s="816">
        <v>1</v>
      </c>
      <c r="F13" t="s">
        <v>1116</v>
      </c>
      <c r="G13" s="538">
        <v>0</v>
      </c>
      <c r="H13" s="538">
        <v>0</v>
      </c>
      <c r="I13" s="538">
        <v>0</v>
      </c>
      <c r="J13" s="538">
        <v>0</v>
      </c>
      <c r="K13" s="816">
        <v>1</v>
      </c>
      <c r="L13" s="816">
        <v>1</v>
      </c>
      <c r="M13" s="538">
        <v>0</v>
      </c>
      <c r="N13" s="538">
        <v>0</v>
      </c>
      <c r="O13" s="538">
        <v>0</v>
      </c>
      <c r="P13" s="538">
        <v>0</v>
      </c>
      <c r="Q13" s="538">
        <v>0</v>
      </c>
      <c r="R13" s="538">
        <v>0</v>
      </c>
      <c r="S13" s="538">
        <v>0</v>
      </c>
      <c r="T13" s="538">
        <v>0</v>
      </c>
      <c r="U13" s="538">
        <v>0</v>
      </c>
      <c r="V13" s="538">
        <v>0</v>
      </c>
      <c r="W13" s="538">
        <v>0</v>
      </c>
      <c r="X13" s="538">
        <v>0</v>
      </c>
      <c r="Y13" s="538">
        <v>0</v>
      </c>
      <c r="Z13" s="538">
        <v>0</v>
      </c>
      <c r="AA13" s="538">
        <v>0</v>
      </c>
      <c r="AB13" s="538">
        <v>0</v>
      </c>
      <c r="AC13" s="538">
        <v>0</v>
      </c>
      <c r="AD13" s="538">
        <v>0</v>
      </c>
      <c r="AE13" s="538">
        <v>0</v>
      </c>
      <c r="AF13" s="538">
        <v>0</v>
      </c>
      <c r="AG13" s="538">
        <v>0</v>
      </c>
      <c r="AH13" s="538">
        <v>0</v>
      </c>
      <c r="AI13" s="538">
        <v>0</v>
      </c>
      <c r="AJ13" s="538">
        <v>0</v>
      </c>
      <c r="AK13" s="816">
        <v>1</v>
      </c>
      <c r="AL13" s="538">
        <v>0</v>
      </c>
      <c r="AM13" s="538">
        <v>0</v>
      </c>
      <c r="AN13" s="538">
        <v>0</v>
      </c>
      <c r="AO13" s="538">
        <v>0</v>
      </c>
      <c r="AP13" s="538">
        <v>0</v>
      </c>
      <c r="AQ13" s="538">
        <v>0</v>
      </c>
      <c r="AR13" s="538">
        <v>0</v>
      </c>
      <c r="AS13" s="538">
        <v>0</v>
      </c>
      <c r="AT13" s="538">
        <v>0</v>
      </c>
      <c r="AU13" s="538">
        <v>0</v>
      </c>
      <c r="AV13" s="538">
        <v>0</v>
      </c>
      <c r="AW13" s="538">
        <v>0</v>
      </c>
      <c r="AX13" s="538">
        <v>0</v>
      </c>
      <c r="AY13" s="538">
        <v>0</v>
      </c>
      <c r="AZ13" s="816">
        <v>1</v>
      </c>
      <c r="BA13" s="816">
        <v>1</v>
      </c>
      <c r="BB13" s="538">
        <v>0</v>
      </c>
      <c r="BC13" s="538">
        <v>0</v>
      </c>
      <c r="BD13" s="538">
        <v>0</v>
      </c>
      <c r="BE13" s="538">
        <v>0</v>
      </c>
      <c r="BF13" s="538">
        <v>0</v>
      </c>
      <c r="BG13" s="538">
        <v>0</v>
      </c>
      <c r="BH13">
        <f t="shared" si="1"/>
        <v>5</v>
      </c>
    </row>
    <row r="14" spans="1:60" x14ac:dyDescent="0.25">
      <c r="A14" s="217"/>
      <c r="B14" s="813">
        <f t="shared" si="0"/>
        <v>13</v>
      </c>
      <c r="C14" s="99" t="s">
        <v>743</v>
      </c>
      <c r="D14" s="436">
        <f>HLOOKUP(ProjectData!B$13,G$2:BG$125,B14)</f>
        <v>0</v>
      </c>
      <c r="E14" s="816">
        <f>E9</f>
        <v>1</v>
      </c>
      <c r="F14" t="s">
        <v>1116</v>
      </c>
      <c r="G14" s="538">
        <v>0</v>
      </c>
      <c r="H14" s="538">
        <v>0</v>
      </c>
      <c r="I14" s="538">
        <v>0</v>
      </c>
      <c r="J14" s="538">
        <v>0</v>
      </c>
      <c r="K14" s="816">
        <v>1</v>
      </c>
      <c r="L14" s="816">
        <v>1</v>
      </c>
      <c r="M14" s="538">
        <v>0</v>
      </c>
      <c r="N14" s="538">
        <v>0</v>
      </c>
      <c r="O14" s="538">
        <v>0</v>
      </c>
      <c r="P14" s="538">
        <v>0</v>
      </c>
      <c r="Q14" s="538">
        <v>0</v>
      </c>
      <c r="R14" s="538">
        <v>0</v>
      </c>
      <c r="S14" s="538">
        <v>0</v>
      </c>
      <c r="T14" s="538">
        <v>0</v>
      </c>
      <c r="U14" s="538">
        <v>0</v>
      </c>
      <c r="V14" s="538">
        <v>0</v>
      </c>
      <c r="W14" s="538">
        <v>0</v>
      </c>
      <c r="X14" s="538">
        <v>0</v>
      </c>
      <c r="Y14" s="538">
        <v>0</v>
      </c>
      <c r="Z14" s="538">
        <v>0</v>
      </c>
      <c r="AA14" s="538">
        <v>0</v>
      </c>
      <c r="AB14" s="538">
        <v>0</v>
      </c>
      <c r="AC14" s="538">
        <v>0</v>
      </c>
      <c r="AD14" s="538">
        <v>0</v>
      </c>
      <c r="AE14" s="538">
        <v>0</v>
      </c>
      <c r="AF14" s="538">
        <v>0</v>
      </c>
      <c r="AG14" s="538">
        <v>0</v>
      </c>
      <c r="AH14" s="538">
        <v>0</v>
      </c>
      <c r="AI14" s="538">
        <v>0</v>
      </c>
      <c r="AJ14" s="538">
        <v>0</v>
      </c>
      <c r="AK14" s="816">
        <v>1</v>
      </c>
      <c r="AL14" s="538">
        <v>0</v>
      </c>
      <c r="AM14" s="538">
        <v>0</v>
      </c>
      <c r="AN14" s="538">
        <v>0</v>
      </c>
      <c r="AO14" s="538">
        <v>0</v>
      </c>
      <c r="AP14" s="538">
        <v>0</v>
      </c>
      <c r="AQ14" s="538">
        <v>0</v>
      </c>
      <c r="AR14" s="538">
        <v>0</v>
      </c>
      <c r="AS14" s="538">
        <v>0</v>
      </c>
      <c r="AT14" s="538">
        <v>0</v>
      </c>
      <c r="AU14" s="538">
        <v>0</v>
      </c>
      <c r="AV14" s="538">
        <v>0</v>
      </c>
      <c r="AW14" s="538">
        <v>0</v>
      </c>
      <c r="AX14" s="538">
        <v>0</v>
      </c>
      <c r="AY14" s="538">
        <v>0</v>
      </c>
      <c r="AZ14" s="816">
        <v>1</v>
      </c>
      <c r="BA14" s="816">
        <v>1</v>
      </c>
      <c r="BB14" s="538">
        <v>0</v>
      </c>
      <c r="BC14" s="538">
        <v>0</v>
      </c>
      <c r="BD14" s="538">
        <v>0</v>
      </c>
      <c r="BE14" s="538">
        <v>0</v>
      </c>
      <c r="BF14" s="538">
        <v>0</v>
      </c>
      <c r="BG14" s="538">
        <v>0</v>
      </c>
      <c r="BH14">
        <f t="shared" si="1"/>
        <v>5</v>
      </c>
    </row>
    <row r="15" spans="1:60" ht="15.75" thickBot="1" x14ac:dyDescent="0.3">
      <c r="A15" s="217"/>
      <c r="B15" s="813">
        <f t="shared" si="0"/>
        <v>14</v>
      </c>
      <c r="C15" s="99" t="s">
        <v>744</v>
      </c>
      <c r="D15" s="436">
        <f>HLOOKUP(ProjectData!B$13,G$2:BG$125,B15)</f>
        <v>0</v>
      </c>
      <c r="E15" s="816">
        <f>E9</f>
        <v>1</v>
      </c>
      <c r="F15" t="s">
        <v>1116</v>
      </c>
      <c r="G15" s="538">
        <v>0</v>
      </c>
      <c r="H15" s="538">
        <v>0</v>
      </c>
      <c r="I15" s="538">
        <v>0</v>
      </c>
      <c r="J15" s="538">
        <v>0</v>
      </c>
      <c r="K15" s="816">
        <v>1</v>
      </c>
      <c r="L15" s="816">
        <v>1</v>
      </c>
      <c r="M15" s="538">
        <v>0</v>
      </c>
      <c r="N15" s="538">
        <v>0</v>
      </c>
      <c r="O15" s="538">
        <v>0</v>
      </c>
      <c r="P15" s="538">
        <v>0</v>
      </c>
      <c r="Q15" s="538">
        <v>0</v>
      </c>
      <c r="R15" s="538">
        <v>0</v>
      </c>
      <c r="S15" s="538">
        <v>0</v>
      </c>
      <c r="T15" s="538">
        <v>0</v>
      </c>
      <c r="U15" s="538">
        <v>0</v>
      </c>
      <c r="V15" s="538">
        <v>0</v>
      </c>
      <c r="W15" s="538">
        <v>0</v>
      </c>
      <c r="X15" s="538">
        <v>0</v>
      </c>
      <c r="Y15" s="538">
        <v>0</v>
      </c>
      <c r="Z15" s="538">
        <v>0</v>
      </c>
      <c r="AA15" s="538">
        <v>0</v>
      </c>
      <c r="AB15" s="538">
        <v>0</v>
      </c>
      <c r="AC15" s="538">
        <v>0</v>
      </c>
      <c r="AD15" s="538">
        <v>0</v>
      </c>
      <c r="AE15" s="538">
        <v>0</v>
      </c>
      <c r="AF15" s="538">
        <v>0</v>
      </c>
      <c r="AG15" s="538">
        <v>0</v>
      </c>
      <c r="AH15" s="538">
        <v>0</v>
      </c>
      <c r="AI15" s="538">
        <v>0</v>
      </c>
      <c r="AJ15" s="538">
        <v>0</v>
      </c>
      <c r="AK15" s="816">
        <v>1</v>
      </c>
      <c r="AL15" s="538">
        <v>0</v>
      </c>
      <c r="AM15" s="538">
        <v>0</v>
      </c>
      <c r="AN15" s="538">
        <v>0</v>
      </c>
      <c r="AO15" s="538">
        <v>0</v>
      </c>
      <c r="AP15" s="538">
        <v>0</v>
      </c>
      <c r="AQ15" s="538">
        <v>0</v>
      </c>
      <c r="AR15" s="538">
        <v>0</v>
      </c>
      <c r="AS15" s="538">
        <v>0</v>
      </c>
      <c r="AT15" s="538">
        <v>0</v>
      </c>
      <c r="AU15" s="538">
        <v>0</v>
      </c>
      <c r="AV15" s="538">
        <v>0</v>
      </c>
      <c r="AW15" s="538">
        <v>0</v>
      </c>
      <c r="AX15" s="538">
        <v>0</v>
      </c>
      <c r="AY15" s="538">
        <v>0</v>
      </c>
      <c r="AZ15" s="816">
        <v>1</v>
      </c>
      <c r="BA15" s="816">
        <v>1</v>
      </c>
      <c r="BB15" s="538">
        <v>0</v>
      </c>
      <c r="BC15" s="538">
        <v>0</v>
      </c>
      <c r="BD15" s="538">
        <v>0</v>
      </c>
      <c r="BE15" s="538">
        <v>0</v>
      </c>
      <c r="BF15" s="538">
        <v>0</v>
      </c>
      <c r="BG15" s="538">
        <v>0</v>
      </c>
      <c r="BH15">
        <f t="shared" si="1"/>
        <v>5</v>
      </c>
    </row>
    <row r="16" spans="1:60" x14ac:dyDescent="0.25">
      <c r="A16" s="217"/>
      <c r="B16" s="813">
        <f t="shared" si="0"/>
        <v>15</v>
      </c>
      <c r="C16" s="814" t="s">
        <v>788</v>
      </c>
      <c r="D16" s="389"/>
      <c r="G16" s="538"/>
      <c r="H16" s="538"/>
      <c r="I16" s="538"/>
      <c r="J16" s="538"/>
      <c r="K16" s="538"/>
      <c r="L16" s="538"/>
      <c r="M16" s="538"/>
      <c r="N16" s="538"/>
      <c r="O16" s="538"/>
      <c r="P16" s="538"/>
      <c r="Q16" s="538"/>
      <c r="R16" s="538"/>
      <c r="S16" s="538"/>
      <c r="T16" s="538"/>
      <c r="U16" s="538"/>
      <c r="V16" s="538"/>
      <c r="W16" s="538"/>
      <c r="X16" s="538"/>
      <c r="Y16" s="538"/>
      <c r="Z16" s="538"/>
      <c r="AA16" s="538"/>
      <c r="AB16" s="538"/>
      <c r="AC16" s="538"/>
      <c r="AD16" s="538"/>
      <c r="AE16" s="538"/>
      <c r="AF16" s="538"/>
      <c r="AG16" s="538"/>
      <c r="AH16" s="538"/>
      <c r="AI16" s="538"/>
      <c r="AJ16" s="538"/>
      <c r="AK16" s="538"/>
      <c r="AL16" s="538"/>
      <c r="AM16" s="538"/>
      <c r="AN16" s="538"/>
      <c r="AO16" s="538"/>
      <c r="AP16" s="538"/>
      <c r="AQ16" s="538"/>
      <c r="AR16" s="538"/>
      <c r="AS16" s="538"/>
      <c r="AT16" s="538"/>
      <c r="AU16" s="538"/>
      <c r="AV16" s="538"/>
      <c r="AW16" s="538"/>
      <c r="AX16" s="538"/>
      <c r="AY16" s="538"/>
      <c r="AZ16" s="538"/>
      <c r="BA16" s="538"/>
      <c r="BB16" s="538"/>
      <c r="BC16" s="538"/>
      <c r="BD16" s="538"/>
      <c r="BE16" s="538"/>
      <c r="BF16" s="538"/>
      <c r="BG16" s="538"/>
    </row>
    <row r="17" spans="1:60" x14ac:dyDescent="0.25">
      <c r="A17" s="217"/>
      <c r="B17" s="813">
        <f t="shared" si="0"/>
        <v>16</v>
      </c>
      <c r="C17" s="358"/>
      <c r="D17" s="358"/>
      <c r="G17" s="538"/>
      <c r="H17" s="538"/>
      <c r="I17" s="538"/>
      <c r="J17" s="538"/>
      <c r="K17" s="538"/>
      <c r="L17" s="538"/>
      <c r="M17" s="538"/>
      <c r="N17" s="538"/>
      <c r="O17" s="538"/>
      <c r="P17" s="538"/>
      <c r="Q17" s="538"/>
      <c r="R17" s="538"/>
      <c r="S17" s="538"/>
      <c r="T17" s="538"/>
      <c r="U17" s="538"/>
      <c r="V17" s="538"/>
      <c r="W17" s="538"/>
      <c r="X17" s="538"/>
      <c r="Y17" s="538"/>
      <c r="Z17" s="538"/>
      <c r="AA17" s="538"/>
      <c r="AB17" s="538"/>
      <c r="AC17" s="538"/>
      <c r="AD17" s="538"/>
      <c r="AE17" s="538"/>
      <c r="AF17" s="538"/>
      <c r="AG17" s="538"/>
      <c r="AH17" s="538"/>
      <c r="AI17" s="538"/>
      <c r="AJ17" s="538"/>
      <c r="AK17" s="538"/>
      <c r="AL17" s="538"/>
      <c r="AM17" s="538"/>
      <c r="AN17" s="538"/>
      <c r="AO17" s="538"/>
      <c r="AP17" s="538"/>
      <c r="AQ17" s="538"/>
      <c r="AR17" s="538"/>
      <c r="AS17" s="538"/>
      <c r="AT17" s="538"/>
      <c r="AU17" s="538"/>
      <c r="AV17" s="538"/>
      <c r="AW17" s="538"/>
      <c r="AX17" s="538"/>
      <c r="AY17" s="538"/>
      <c r="AZ17" s="538"/>
      <c r="BA17" s="538"/>
      <c r="BB17" s="538"/>
      <c r="BC17" s="538"/>
      <c r="BD17" s="538"/>
      <c r="BE17" s="538"/>
      <c r="BF17" s="538"/>
      <c r="BG17" s="538"/>
    </row>
    <row r="18" spans="1:60" ht="15.75" x14ac:dyDescent="0.25">
      <c r="A18" s="217"/>
      <c r="B18" s="813">
        <f t="shared" si="0"/>
        <v>17</v>
      </c>
      <c r="C18" s="390" t="s">
        <v>947</v>
      </c>
      <c r="D18" s="390"/>
      <c r="G18" s="538"/>
      <c r="H18" s="538"/>
      <c r="I18" s="538"/>
      <c r="J18" s="538"/>
      <c r="K18" s="538"/>
      <c r="L18" s="538"/>
      <c r="M18" s="538"/>
      <c r="N18" s="538"/>
      <c r="O18" s="538"/>
      <c r="P18" s="538"/>
      <c r="Q18" s="538"/>
      <c r="R18" s="538"/>
      <c r="S18" s="538"/>
      <c r="T18" s="538"/>
      <c r="U18" s="538"/>
      <c r="V18" s="538"/>
      <c r="W18" s="538"/>
      <c r="X18" s="538"/>
      <c r="Y18" s="538"/>
      <c r="Z18" s="538"/>
      <c r="AA18" s="538"/>
      <c r="AB18" s="538"/>
      <c r="AC18" s="538"/>
      <c r="AD18" s="538"/>
      <c r="AE18" s="538"/>
      <c r="AF18" s="538"/>
      <c r="AG18" s="538"/>
      <c r="AH18" s="538"/>
      <c r="AI18" s="538"/>
      <c r="AJ18" s="538"/>
      <c r="AK18" s="538"/>
      <c r="AL18" s="538"/>
      <c r="AM18" s="538"/>
      <c r="AN18" s="538"/>
      <c r="AO18" s="538"/>
      <c r="AP18" s="538"/>
      <c r="AQ18" s="538"/>
      <c r="AR18" s="538"/>
      <c r="AS18" s="538"/>
      <c r="AT18" s="538"/>
      <c r="AU18" s="538"/>
      <c r="AV18" s="538"/>
      <c r="AW18" s="538"/>
      <c r="AX18" s="538"/>
      <c r="AY18" s="538"/>
      <c r="AZ18" s="538"/>
      <c r="BA18" s="538"/>
      <c r="BB18" s="538"/>
      <c r="BC18" s="538"/>
      <c r="BD18" s="538"/>
      <c r="BE18" s="538"/>
      <c r="BF18" s="538"/>
      <c r="BG18" s="538"/>
    </row>
    <row r="19" spans="1:60" x14ac:dyDescent="0.25">
      <c r="A19" s="217"/>
      <c r="B19" s="813">
        <f t="shared" si="0"/>
        <v>18</v>
      </c>
      <c r="C19" s="99" t="s">
        <v>738</v>
      </c>
      <c r="D19" s="436">
        <f>HLOOKUP(ProjectData!B$13,G$2:BG$125,B19)</f>
        <v>1</v>
      </c>
      <c r="E19" s="816">
        <f>E9</f>
        <v>1</v>
      </c>
      <c r="F19" t="str">
        <f>F9</f>
        <v>CA, CO,UT,NV, ID, OR, TX, NM</v>
      </c>
      <c r="G19" s="538">
        <v>0</v>
      </c>
      <c r="H19" s="538">
        <v>0</v>
      </c>
      <c r="I19" s="538">
        <v>0</v>
      </c>
      <c r="J19" s="538">
        <v>0</v>
      </c>
      <c r="K19" s="816">
        <v>1</v>
      </c>
      <c r="L19" s="816">
        <v>1</v>
      </c>
      <c r="M19" s="538">
        <v>0</v>
      </c>
      <c r="N19" s="538">
        <v>0</v>
      </c>
      <c r="O19" s="538">
        <v>0</v>
      </c>
      <c r="P19" s="538">
        <v>0</v>
      </c>
      <c r="Q19" s="538">
        <v>0</v>
      </c>
      <c r="R19" s="538">
        <v>0</v>
      </c>
      <c r="S19" s="816">
        <v>1</v>
      </c>
      <c r="T19" s="538">
        <v>0</v>
      </c>
      <c r="U19" s="538">
        <v>0</v>
      </c>
      <c r="V19" s="538">
        <v>0</v>
      </c>
      <c r="W19" s="538">
        <v>0</v>
      </c>
      <c r="X19" s="538">
        <v>0</v>
      </c>
      <c r="Y19" s="538">
        <v>0</v>
      </c>
      <c r="Z19" s="538">
        <v>0</v>
      </c>
      <c r="AA19" s="538">
        <v>0</v>
      </c>
      <c r="AB19" s="538">
        <v>0</v>
      </c>
      <c r="AC19" s="538">
        <v>0</v>
      </c>
      <c r="AD19" s="538">
        <v>0</v>
      </c>
      <c r="AE19" s="538">
        <v>0</v>
      </c>
      <c r="AF19" s="538">
        <v>0</v>
      </c>
      <c r="AG19" s="538">
        <v>0</v>
      </c>
      <c r="AH19" s="538">
        <v>0</v>
      </c>
      <c r="AI19" s="538">
        <v>0</v>
      </c>
      <c r="AJ19" s="538">
        <v>0</v>
      </c>
      <c r="AK19" s="816">
        <v>1</v>
      </c>
      <c r="AL19" s="538">
        <v>0</v>
      </c>
      <c r="AM19" s="538">
        <v>0</v>
      </c>
      <c r="AN19" s="816">
        <v>1</v>
      </c>
      <c r="AO19" s="538">
        <v>0</v>
      </c>
      <c r="AP19" s="538">
        <v>0</v>
      </c>
      <c r="AQ19" s="538">
        <v>0</v>
      </c>
      <c r="AR19" s="538">
        <v>0</v>
      </c>
      <c r="AS19" s="538">
        <v>0</v>
      </c>
      <c r="AT19" s="816">
        <v>1</v>
      </c>
      <c r="AU19" s="538">
        <v>0</v>
      </c>
      <c r="AV19" s="538">
        <v>0</v>
      </c>
      <c r="AW19" s="538">
        <v>0</v>
      </c>
      <c r="AX19" s="538">
        <v>0</v>
      </c>
      <c r="AY19" s="538">
        <v>0</v>
      </c>
      <c r="AZ19" s="816">
        <v>1</v>
      </c>
      <c r="BA19" s="816">
        <v>1</v>
      </c>
      <c r="BB19" s="538">
        <v>0</v>
      </c>
      <c r="BC19" s="538">
        <v>0</v>
      </c>
      <c r="BD19" s="538">
        <v>0</v>
      </c>
      <c r="BE19" s="538">
        <v>0</v>
      </c>
      <c r="BF19" s="538">
        <v>0</v>
      </c>
      <c r="BG19" s="538">
        <v>0</v>
      </c>
      <c r="BH19">
        <f t="shared" ref="BH19:BH26" si="2">COUNTIF(G19:BG19,"&gt;0")</f>
        <v>8</v>
      </c>
    </row>
    <row r="20" spans="1:60" ht="15.75" x14ac:dyDescent="0.25">
      <c r="A20" s="223" t="s">
        <v>608</v>
      </c>
      <c r="B20" s="813">
        <f t="shared" si="0"/>
        <v>19</v>
      </c>
      <c r="C20" s="99" t="s">
        <v>777</v>
      </c>
      <c r="D20" s="436">
        <f>HLOOKUP(ProjectData!B$13,G$2:BG$125,B20)</f>
        <v>0</v>
      </c>
      <c r="E20" s="816">
        <f>E10</f>
        <v>1</v>
      </c>
      <c r="F20" t="s">
        <v>1117</v>
      </c>
      <c r="G20" s="538">
        <v>0</v>
      </c>
      <c r="H20" s="538">
        <v>0</v>
      </c>
      <c r="I20" s="538">
        <v>0</v>
      </c>
      <c r="J20" s="538">
        <v>0</v>
      </c>
      <c r="K20" s="816">
        <v>1</v>
      </c>
      <c r="L20" s="816">
        <v>1</v>
      </c>
      <c r="M20" s="538">
        <v>0</v>
      </c>
      <c r="N20" s="538">
        <v>0</v>
      </c>
      <c r="O20" s="538">
        <v>0</v>
      </c>
      <c r="P20" s="538">
        <v>0</v>
      </c>
      <c r="Q20" s="538">
        <v>0</v>
      </c>
      <c r="R20" s="538">
        <v>0</v>
      </c>
      <c r="S20" s="538">
        <v>0</v>
      </c>
      <c r="T20" s="538">
        <v>0</v>
      </c>
      <c r="U20" s="538">
        <v>0</v>
      </c>
      <c r="V20" s="538">
        <v>0</v>
      </c>
      <c r="W20" s="538">
        <v>0</v>
      </c>
      <c r="X20" s="538">
        <v>0</v>
      </c>
      <c r="Y20" s="538">
        <v>0</v>
      </c>
      <c r="Z20" s="538">
        <v>0</v>
      </c>
      <c r="AA20" s="538">
        <v>0</v>
      </c>
      <c r="AB20" s="538">
        <v>0</v>
      </c>
      <c r="AC20" s="538">
        <v>0</v>
      </c>
      <c r="AD20" s="538">
        <v>0</v>
      </c>
      <c r="AE20" s="538">
        <v>0</v>
      </c>
      <c r="AF20" s="538">
        <v>0</v>
      </c>
      <c r="AG20" s="538">
        <v>0</v>
      </c>
      <c r="AH20" s="538">
        <v>0</v>
      </c>
      <c r="AI20" s="538">
        <v>0</v>
      </c>
      <c r="AJ20" s="538">
        <v>0</v>
      </c>
      <c r="AK20" s="816">
        <v>1</v>
      </c>
      <c r="AL20" s="538">
        <v>0</v>
      </c>
      <c r="AM20" s="538">
        <v>0</v>
      </c>
      <c r="AN20" s="816">
        <v>1</v>
      </c>
      <c r="AO20" s="538">
        <v>0</v>
      </c>
      <c r="AP20" s="538">
        <v>0</v>
      </c>
      <c r="AQ20" s="538">
        <v>0</v>
      </c>
      <c r="AR20" s="538">
        <v>0</v>
      </c>
      <c r="AS20" s="538">
        <v>0</v>
      </c>
      <c r="AT20" s="538">
        <v>0</v>
      </c>
      <c r="AU20" s="538">
        <v>0</v>
      </c>
      <c r="AV20" s="538">
        <v>0</v>
      </c>
      <c r="AW20" s="538">
        <v>0</v>
      </c>
      <c r="AX20" s="538">
        <v>0</v>
      </c>
      <c r="AY20" s="538">
        <v>0</v>
      </c>
      <c r="AZ20" s="816">
        <v>1</v>
      </c>
      <c r="BA20" s="816">
        <v>1</v>
      </c>
      <c r="BB20" s="538">
        <v>0</v>
      </c>
      <c r="BC20" s="538">
        <v>0</v>
      </c>
      <c r="BD20" s="538">
        <v>0</v>
      </c>
      <c r="BE20" s="538">
        <v>0</v>
      </c>
      <c r="BF20" s="538">
        <v>0</v>
      </c>
      <c r="BG20" s="538">
        <v>0</v>
      </c>
      <c r="BH20">
        <f t="shared" si="2"/>
        <v>6</v>
      </c>
    </row>
    <row r="21" spans="1:60" x14ac:dyDescent="0.25">
      <c r="A21" s="217"/>
      <c r="B21" s="813">
        <f t="shared" si="0"/>
        <v>20</v>
      </c>
      <c r="C21" s="99" t="s">
        <v>778</v>
      </c>
      <c r="D21" s="436">
        <f>HLOOKUP(ProjectData!B$13,G$2:BG$125,B21)</f>
        <v>0</v>
      </c>
      <c r="E21" s="816">
        <f>E11</f>
        <v>1</v>
      </c>
      <c r="F21" t="str">
        <f t="shared" ref="F21:F26" si="3">F20</f>
        <v>CA, CO,UT,NV,  TX, NM</v>
      </c>
      <c r="G21" s="538">
        <v>0</v>
      </c>
      <c r="H21" s="538">
        <v>0</v>
      </c>
      <c r="I21" s="538">
        <v>0</v>
      </c>
      <c r="J21" s="538">
        <v>0</v>
      </c>
      <c r="K21" s="816">
        <v>1</v>
      </c>
      <c r="L21" s="816">
        <v>1</v>
      </c>
      <c r="M21" s="538">
        <v>0</v>
      </c>
      <c r="N21" s="538">
        <v>0</v>
      </c>
      <c r="O21" s="538">
        <v>0</v>
      </c>
      <c r="P21" s="538">
        <v>0</v>
      </c>
      <c r="Q21" s="538">
        <v>0</v>
      </c>
      <c r="R21" s="538">
        <v>0</v>
      </c>
      <c r="S21" s="538">
        <v>0</v>
      </c>
      <c r="T21" s="538">
        <v>0</v>
      </c>
      <c r="U21" s="538">
        <v>0</v>
      </c>
      <c r="V21" s="538">
        <v>0</v>
      </c>
      <c r="W21" s="538">
        <v>0</v>
      </c>
      <c r="X21" s="538">
        <v>0</v>
      </c>
      <c r="Y21" s="538">
        <v>0</v>
      </c>
      <c r="Z21" s="538">
        <v>0</v>
      </c>
      <c r="AA21" s="538">
        <v>0</v>
      </c>
      <c r="AB21" s="538">
        <v>0</v>
      </c>
      <c r="AC21" s="538">
        <v>0</v>
      </c>
      <c r="AD21" s="538">
        <v>0</v>
      </c>
      <c r="AE21" s="538">
        <v>0</v>
      </c>
      <c r="AF21" s="538">
        <v>0</v>
      </c>
      <c r="AG21" s="538">
        <v>0</v>
      </c>
      <c r="AH21" s="538">
        <v>0</v>
      </c>
      <c r="AI21" s="538">
        <v>0</v>
      </c>
      <c r="AJ21" s="538">
        <v>0</v>
      </c>
      <c r="AK21" s="816">
        <v>1</v>
      </c>
      <c r="AL21" s="538">
        <v>0</v>
      </c>
      <c r="AM21" s="538">
        <v>0</v>
      </c>
      <c r="AN21" s="816">
        <v>1</v>
      </c>
      <c r="AO21" s="538">
        <v>0</v>
      </c>
      <c r="AP21" s="538">
        <v>0</v>
      </c>
      <c r="AQ21" s="538">
        <v>0</v>
      </c>
      <c r="AR21" s="538">
        <v>0</v>
      </c>
      <c r="AS21" s="538">
        <v>0</v>
      </c>
      <c r="AT21" s="538">
        <v>0</v>
      </c>
      <c r="AU21" s="538">
        <v>0</v>
      </c>
      <c r="AV21" s="538">
        <v>0</v>
      </c>
      <c r="AW21" s="538">
        <v>0</v>
      </c>
      <c r="AX21" s="538">
        <v>0</v>
      </c>
      <c r="AY21" s="538">
        <v>0</v>
      </c>
      <c r="AZ21" s="816">
        <v>1</v>
      </c>
      <c r="BA21" s="816">
        <v>1</v>
      </c>
      <c r="BB21" s="538">
        <v>0</v>
      </c>
      <c r="BC21" s="538">
        <v>0</v>
      </c>
      <c r="BD21" s="538">
        <v>0</v>
      </c>
      <c r="BE21" s="538">
        <v>0</v>
      </c>
      <c r="BF21" s="538">
        <v>0</v>
      </c>
      <c r="BG21" s="538">
        <v>0</v>
      </c>
      <c r="BH21">
        <f t="shared" si="2"/>
        <v>6</v>
      </c>
    </row>
    <row r="22" spans="1:60" x14ac:dyDescent="0.25">
      <c r="A22" s="217"/>
      <c r="B22" s="813">
        <f t="shared" si="0"/>
        <v>21</v>
      </c>
      <c r="C22" s="99" t="s">
        <v>779</v>
      </c>
      <c r="D22" s="436">
        <f>HLOOKUP(ProjectData!B$13,G$2:BG$125,B22)</f>
        <v>0</v>
      </c>
      <c r="E22" s="816">
        <f>E12</f>
        <v>1</v>
      </c>
      <c r="F22" t="str">
        <f t="shared" si="3"/>
        <v>CA, CO,UT,NV,  TX, NM</v>
      </c>
      <c r="G22" s="538">
        <v>0</v>
      </c>
      <c r="H22" s="538">
        <v>0</v>
      </c>
      <c r="I22" s="538">
        <v>0</v>
      </c>
      <c r="J22" s="538">
        <v>0</v>
      </c>
      <c r="K22" s="816">
        <v>1</v>
      </c>
      <c r="L22" s="816">
        <v>1</v>
      </c>
      <c r="M22" s="538">
        <v>0</v>
      </c>
      <c r="N22" s="538">
        <v>0</v>
      </c>
      <c r="O22" s="538">
        <v>0</v>
      </c>
      <c r="P22" s="538">
        <v>0</v>
      </c>
      <c r="Q22" s="538">
        <v>0</v>
      </c>
      <c r="R22" s="538">
        <v>0</v>
      </c>
      <c r="S22" s="538">
        <v>0</v>
      </c>
      <c r="T22" s="538">
        <v>0</v>
      </c>
      <c r="U22" s="538">
        <v>0</v>
      </c>
      <c r="V22" s="538">
        <v>0</v>
      </c>
      <c r="W22" s="538">
        <v>0</v>
      </c>
      <c r="X22" s="538">
        <v>0</v>
      </c>
      <c r="Y22" s="538">
        <v>0</v>
      </c>
      <c r="Z22" s="538">
        <v>0</v>
      </c>
      <c r="AA22" s="538">
        <v>0</v>
      </c>
      <c r="AB22" s="538">
        <v>0</v>
      </c>
      <c r="AC22" s="538">
        <v>0</v>
      </c>
      <c r="AD22" s="538">
        <v>0</v>
      </c>
      <c r="AE22" s="538">
        <v>0</v>
      </c>
      <c r="AF22" s="538">
        <v>0</v>
      </c>
      <c r="AG22" s="538">
        <v>0</v>
      </c>
      <c r="AH22" s="538">
        <v>0</v>
      </c>
      <c r="AI22" s="538">
        <v>0</v>
      </c>
      <c r="AJ22" s="538">
        <v>0</v>
      </c>
      <c r="AK22" s="816">
        <v>1</v>
      </c>
      <c r="AL22" s="538">
        <v>0</v>
      </c>
      <c r="AM22" s="538">
        <v>0</v>
      </c>
      <c r="AN22" s="816">
        <v>1</v>
      </c>
      <c r="AO22" s="538">
        <v>0</v>
      </c>
      <c r="AP22" s="538">
        <v>0</v>
      </c>
      <c r="AQ22" s="538">
        <v>0</v>
      </c>
      <c r="AR22" s="538">
        <v>0</v>
      </c>
      <c r="AS22" s="538">
        <v>0</v>
      </c>
      <c r="AT22" s="538">
        <v>0</v>
      </c>
      <c r="AU22" s="538">
        <v>0</v>
      </c>
      <c r="AV22" s="538">
        <v>0</v>
      </c>
      <c r="AW22" s="538">
        <v>0</v>
      </c>
      <c r="AX22" s="538">
        <v>0</v>
      </c>
      <c r="AY22" s="538">
        <v>0</v>
      </c>
      <c r="AZ22" s="816">
        <v>1</v>
      </c>
      <c r="BA22" s="816">
        <v>1</v>
      </c>
      <c r="BB22" s="538">
        <v>0</v>
      </c>
      <c r="BC22" s="538">
        <v>0</v>
      </c>
      <c r="BD22" s="538">
        <v>0</v>
      </c>
      <c r="BE22" s="538">
        <v>0</v>
      </c>
      <c r="BF22" s="538">
        <v>0</v>
      </c>
      <c r="BG22" s="538">
        <v>0</v>
      </c>
      <c r="BH22">
        <f t="shared" si="2"/>
        <v>6</v>
      </c>
    </row>
    <row r="23" spans="1:60" x14ac:dyDescent="0.25">
      <c r="A23" s="217"/>
      <c r="B23" s="813">
        <f t="shared" si="0"/>
        <v>22</v>
      </c>
      <c r="C23" s="99" t="s">
        <v>780</v>
      </c>
      <c r="D23" s="436">
        <f>HLOOKUP(ProjectData!B$13,G$2:BG$125,B23)</f>
        <v>0</v>
      </c>
      <c r="E23" s="816">
        <f>E13</f>
        <v>1</v>
      </c>
      <c r="F23" t="str">
        <f t="shared" si="3"/>
        <v>CA, CO,UT,NV,  TX, NM</v>
      </c>
      <c r="G23" s="538">
        <v>0</v>
      </c>
      <c r="H23" s="538">
        <v>0</v>
      </c>
      <c r="I23" s="538">
        <v>0</v>
      </c>
      <c r="J23" s="538">
        <v>0</v>
      </c>
      <c r="K23" s="816">
        <v>1</v>
      </c>
      <c r="L23" s="816">
        <v>1</v>
      </c>
      <c r="M23" s="538">
        <v>0</v>
      </c>
      <c r="N23" s="538">
        <v>0</v>
      </c>
      <c r="O23" s="538">
        <v>0</v>
      </c>
      <c r="P23" s="538">
        <v>0</v>
      </c>
      <c r="Q23" s="538">
        <v>0</v>
      </c>
      <c r="R23" s="538">
        <v>0</v>
      </c>
      <c r="S23" s="538">
        <v>0</v>
      </c>
      <c r="T23" s="538">
        <v>0</v>
      </c>
      <c r="U23" s="538">
        <v>0</v>
      </c>
      <c r="V23" s="538">
        <v>0</v>
      </c>
      <c r="W23" s="538">
        <v>0</v>
      </c>
      <c r="X23" s="538">
        <v>0</v>
      </c>
      <c r="Y23" s="538">
        <v>0</v>
      </c>
      <c r="Z23" s="538">
        <v>0</v>
      </c>
      <c r="AA23" s="538">
        <v>0</v>
      </c>
      <c r="AB23" s="538">
        <v>0</v>
      </c>
      <c r="AC23" s="538">
        <v>0</v>
      </c>
      <c r="AD23" s="538">
        <v>0</v>
      </c>
      <c r="AE23" s="538">
        <v>0</v>
      </c>
      <c r="AF23" s="538">
        <v>0</v>
      </c>
      <c r="AG23" s="538">
        <v>0</v>
      </c>
      <c r="AH23" s="538">
        <v>0</v>
      </c>
      <c r="AI23" s="538">
        <v>0</v>
      </c>
      <c r="AJ23" s="538">
        <v>0</v>
      </c>
      <c r="AK23" s="816">
        <v>1</v>
      </c>
      <c r="AL23" s="538">
        <v>0</v>
      </c>
      <c r="AM23" s="538">
        <v>0</v>
      </c>
      <c r="AN23" s="816">
        <v>1</v>
      </c>
      <c r="AO23" s="538">
        <v>0</v>
      </c>
      <c r="AP23" s="538">
        <v>0</v>
      </c>
      <c r="AQ23" s="538">
        <v>0</v>
      </c>
      <c r="AR23" s="538">
        <v>0</v>
      </c>
      <c r="AS23" s="538">
        <v>0</v>
      </c>
      <c r="AT23" s="538">
        <v>0</v>
      </c>
      <c r="AU23" s="538">
        <v>0</v>
      </c>
      <c r="AV23" s="538">
        <v>0</v>
      </c>
      <c r="AW23" s="538">
        <v>0</v>
      </c>
      <c r="AX23" s="538">
        <v>0</v>
      </c>
      <c r="AY23" s="538">
        <v>0</v>
      </c>
      <c r="AZ23" s="816">
        <v>1</v>
      </c>
      <c r="BA23" s="816">
        <v>1</v>
      </c>
      <c r="BB23" s="538">
        <v>0</v>
      </c>
      <c r="BC23" s="538">
        <v>0</v>
      </c>
      <c r="BD23" s="538">
        <v>0</v>
      </c>
      <c r="BE23" s="538">
        <v>0</v>
      </c>
      <c r="BF23" s="538">
        <v>0</v>
      </c>
      <c r="BG23" s="538">
        <v>0</v>
      </c>
      <c r="BH23">
        <f t="shared" si="2"/>
        <v>6</v>
      </c>
    </row>
    <row r="24" spans="1:60" x14ac:dyDescent="0.25">
      <c r="A24" s="217"/>
      <c r="B24" s="813">
        <f t="shared" si="0"/>
        <v>23</v>
      </c>
      <c r="C24" s="99" t="s">
        <v>781</v>
      </c>
      <c r="D24" s="436">
        <f>HLOOKUP(ProjectData!B$13,G$2:BG$125,B24)</f>
        <v>0</v>
      </c>
      <c r="E24" s="816">
        <v>1</v>
      </c>
      <c r="F24" t="str">
        <f t="shared" si="3"/>
        <v>CA, CO,UT,NV,  TX, NM</v>
      </c>
      <c r="G24" s="538">
        <v>0</v>
      </c>
      <c r="H24" s="538">
        <v>0</v>
      </c>
      <c r="I24" s="538">
        <v>0</v>
      </c>
      <c r="J24" s="538">
        <v>0</v>
      </c>
      <c r="K24" s="816">
        <v>1</v>
      </c>
      <c r="L24" s="816">
        <v>1</v>
      </c>
      <c r="M24" s="538">
        <v>0</v>
      </c>
      <c r="N24" s="538">
        <v>0</v>
      </c>
      <c r="O24" s="538">
        <v>0</v>
      </c>
      <c r="P24" s="538">
        <v>0</v>
      </c>
      <c r="Q24" s="538">
        <v>0</v>
      </c>
      <c r="R24" s="538">
        <v>0</v>
      </c>
      <c r="S24" s="538">
        <v>0</v>
      </c>
      <c r="T24" s="538">
        <v>0</v>
      </c>
      <c r="U24" s="538">
        <v>0</v>
      </c>
      <c r="V24" s="538">
        <v>0</v>
      </c>
      <c r="W24" s="538">
        <v>0</v>
      </c>
      <c r="X24" s="538">
        <v>0</v>
      </c>
      <c r="Y24" s="538">
        <v>0</v>
      </c>
      <c r="Z24" s="538">
        <v>0</v>
      </c>
      <c r="AA24" s="538">
        <v>0</v>
      </c>
      <c r="AB24" s="538">
        <v>0</v>
      </c>
      <c r="AC24" s="538">
        <v>0</v>
      </c>
      <c r="AD24" s="538">
        <v>0</v>
      </c>
      <c r="AE24" s="538">
        <v>0</v>
      </c>
      <c r="AF24" s="538">
        <v>0</v>
      </c>
      <c r="AG24" s="538">
        <v>0</v>
      </c>
      <c r="AH24" s="538">
        <v>0</v>
      </c>
      <c r="AI24" s="538">
        <v>0</v>
      </c>
      <c r="AJ24" s="538">
        <v>0</v>
      </c>
      <c r="AK24" s="816">
        <v>1</v>
      </c>
      <c r="AL24" s="538">
        <v>0</v>
      </c>
      <c r="AM24" s="538">
        <v>0</v>
      </c>
      <c r="AN24" s="816">
        <v>1</v>
      </c>
      <c r="AO24" s="538">
        <v>0</v>
      </c>
      <c r="AP24" s="538">
        <v>0</v>
      </c>
      <c r="AQ24" s="538">
        <v>0</v>
      </c>
      <c r="AR24" s="538">
        <v>0</v>
      </c>
      <c r="AS24" s="538">
        <v>0</v>
      </c>
      <c r="AT24" s="538">
        <v>0</v>
      </c>
      <c r="AU24" s="538">
        <v>0</v>
      </c>
      <c r="AV24" s="538">
        <v>0</v>
      </c>
      <c r="AW24" s="538">
        <v>0</v>
      </c>
      <c r="AX24" s="538">
        <v>0</v>
      </c>
      <c r="AY24" s="538">
        <v>0</v>
      </c>
      <c r="AZ24" s="816">
        <v>1</v>
      </c>
      <c r="BA24" s="816">
        <v>1</v>
      </c>
      <c r="BB24" s="538">
        <v>0</v>
      </c>
      <c r="BC24" s="538">
        <v>0</v>
      </c>
      <c r="BD24" s="538">
        <v>0</v>
      </c>
      <c r="BE24" s="538">
        <v>0</v>
      </c>
      <c r="BF24" s="538">
        <v>0</v>
      </c>
      <c r="BG24" s="538">
        <v>0</v>
      </c>
      <c r="BH24">
        <f t="shared" si="2"/>
        <v>6</v>
      </c>
    </row>
    <row r="25" spans="1:60" x14ac:dyDescent="0.25">
      <c r="A25" s="217"/>
      <c r="B25" s="813">
        <f t="shared" si="0"/>
        <v>24</v>
      </c>
      <c r="C25" s="99" t="s">
        <v>782</v>
      </c>
      <c r="D25" s="436">
        <f>HLOOKUP(ProjectData!B$13,G$2:BG$125,B25)</f>
        <v>0</v>
      </c>
      <c r="E25" s="816">
        <v>1</v>
      </c>
      <c r="F25" t="str">
        <f t="shared" si="3"/>
        <v>CA, CO,UT,NV,  TX, NM</v>
      </c>
      <c r="G25" s="538">
        <v>0</v>
      </c>
      <c r="H25" s="538">
        <v>0</v>
      </c>
      <c r="I25" s="538">
        <v>0</v>
      </c>
      <c r="J25" s="538">
        <v>0</v>
      </c>
      <c r="K25" s="816">
        <v>1</v>
      </c>
      <c r="L25" s="816">
        <v>1</v>
      </c>
      <c r="M25" s="538">
        <v>0</v>
      </c>
      <c r="N25" s="538">
        <v>0</v>
      </c>
      <c r="O25" s="538">
        <v>0</v>
      </c>
      <c r="P25" s="538">
        <v>0</v>
      </c>
      <c r="Q25" s="538">
        <v>0</v>
      </c>
      <c r="R25" s="538">
        <v>0</v>
      </c>
      <c r="S25" s="538">
        <v>0</v>
      </c>
      <c r="T25" s="538">
        <v>0</v>
      </c>
      <c r="U25" s="538">
        <v>0</v>
      </c>
      <c r="V25" s="538">
        <v>0</v>
      </c>
      <c r="W25" s="538">
        <v>0</v>
      </c>
      <c r="X25" s="538">
        <v>0</v>
      </c>
      <c r="Y25" s="538">
        <v>0</v>
      </c>
      <c r="Z25" s="538">
        <v>0</v>
      </c>
      <c r="AA25" s="538">
        <v>0</v>
      </c>
      <c r="AB25" s="538">
        <v>0</v>
      </c>
      <c r="AC25" s="538">
        <v>0</v>
      </c>
      <c r="AD25" s="538">
        <v>0</v>
      </c>
      <c r="AE25" s="538">
        <v>0</v>
      </c>
      <c r="AF25" s="538">
        <v>0</v>
      </c>
      <c r="AG25" s="538">
        <v>0</v>
      </c>
      <c r="AH25" s="538">
        <v>0</v>
      </c>
      <c r="AI25" s="538">
        <v>0</v>
      </c>
      <c r="AJ25" s="538">
        <v>0</v>
      </c>
      <c r="AK25" s="816">
        <v>1</v>
      </c>
      <c r="AL25" s="538">
        <v>0</v>
      </c>
      <c r="AM25" s="538">
        <v>0</v>
      </c>
      <c r="AN25" s="816">
        <v>1</v>
      </c>
      <c r="AO25" s="538">
        <v>0</v>
      </c>
      <c r="AP25" s="538">
        <v>0</v>
      </c>
      <c r="AQ25" s="538">
        <v>0</v>
      </c>
      <c r="AR25" s="538">
        <v>0</v>
      </c>
      <c r="AS25" s="538">
        <v>0</v>
      </c>
      <c r="AT25" s="538">
        <v>0</v>
      </c>
      <c r="AU25" s="538">
        <v>0</v>
      </c>
      <c r="AV25" s="538">
        <v>0</v>
      </c>
      <c r="AW25" s="538">
        <v>0</v>
      </c>
      <c r="AX25" s="538">
        <v>0</v>
      </c>
      <c r="AY25" s="538">
        <v>0</v>
      </c>
      <c r="AZ25" s="816">
        <v>1</v>
      </c>
      <c r="BA25" s="816">
        <v>1</v>
      </c>
      <c r="BB25" s="538">
        <v>0</v>
      </c>
      <c r="BC25" s="538">
        <v>0</v>
      </c>
      <c r="BD25" s="538">
        <v>0</v>
      </c>
      <c r="BE25" s="538">
        <v>0</v>
      </c>
      <c r="BF25" s="538">
        <v>0</v>
      </c>
      <c r="BG25" s="538">
        <v>0</v>
      </c>
      <c r="BH25">
        <f t="shared" si="2"/>
        <v>6</v>
      </c>
    </row>
    <row r="26" spans="1:60" x14ac:dyDescent="0.25">
      <c r="A26" s="217"/>
      <c r="B26" s="813">
        <f t="shared" si="0"/>
        <v>25</v>
      </c>
      <c r="C26" s="99" t="s">
        <v>922</v>
      </c>
      <c r="D26" s="436">
        <f>HLOOKUP(ProjectData!B$13,G$2:BG$125,B26)</f>
        <v>0</v>
      </c>
      <c r="E26" s="816">
        <v>1</v>
      </c>
      <c r="F26" t="str">
        <f t="shared" si="3"/>
        <v>CA, CO,UT,NV,  TX, NM</v>
      </c>
      <c r="G26" s="538">
        <v>0</v>
      </c>
      <c r="H26" s="538">
        <v>0</v>
      </c>
      <c r="I26" s="538">
        <v>0</v>
      </c>
      <c r="J26" s="538">
        <v>0</v>
      </c>
      <c r="K26" s="816">
        <v>1</v>
      </c>
      <c r="L26" s="816">
        <v>1</v>
      </c>
      <c r="M26" s="538">
        <v>0</v>
      </c>
      <c r="N26" s="538">
        <v>0</v>
      </c>
      <c r="O26" s="538">
        <v>0</v>
      </c>
      <c r="P26" s="538">
        <v>0</v>
      </c>
      <c r="Q26" s="538">
        <v>0</v>
      </c>
      <c r="R26" s="538">
        <v>0</v>
      </c>
      <c r="S26" s="538">
        <v>0</v>
      </c>
      <c r="T26" s="538">
        <v>0</v>
      </c>
      <c r="U26" s="538">
        <v>0</v>
      </c>
      <c r="V26" s="538">
        <v>0</v>
      </c>
      <c r="W26" s="538">
        <v>0</v>
      </c>
      <c r="X26" s="538">
        <v>0</v>
      </c>
      <c r="Y26" s="538">
        <v>0</v>
      </c>
      <c r="Z26" s="538">
        <v>0</v>
      </c>
      <c r="AA26" s="538">
        <v>0</v>
      </c>
      <c r="AB26" s="538">
        <v>0</v>
      </c>
      <c r="AC26" s="538">
        <v>0</v>
      </c>
      <c r="AD26" s="538">
        <v>0</v>
      </c>
      <c r="AE26" s="538">
        <v>0</v>
      </c>
      <c r="AF26" s="538">
        <v>0</v>
      </c>
      <c r="AG26" s="538">
        <v>0</v>
      </c>
      <c r="AH26" s="538">
        <v>0</v>
      </c>
      <c r="AI26" s="538">
        <v>0</v>
      </c>
      <c r="AJ26" s="538">
        <v>0</v>
      </c>
      <c r="AK26" s="816">
        <v>1</v>
      </c>
      <c r="AL26" s="538">
        <v>0</v>
      </c>
      <c r="AM26" s="538">
        <v>0</v>
      </c>
      <c r="AN26" s="816">
        <v>1</v>
      </c>
      <c r="AO26" s="538">
        <v>0</v>
      </c>
      <c r="AP26" s="538">
        <v>0</v>
      </c>
      <c r="AQ26" s="538">
        <v>0</v>
      </c>
      <c r="AR26" s="538">
        <v>0</v>
      </c>
      <c r="AS26" s="538">
        <v>0</v>
      </c>
      <c r="AT26" s="538">
        <v>0</v>
      </c>
      <c r="AU26" s="538">
        <v>0</v>
      </c>
      <c r="AV26" s="538">
        <v>0</v>
      </c>
      <c r="AW26" s="538">
        <v>0</v>
      </c>
      <c r="AX26" s="538">
        <v>0</v>
      </c>
      <c r="AY26" s="538">
        <v>0</v>
      </c>
      <c r="AZ26" s="816">
        <v>1</v>
      </c>
      <c r="BA26" s="816">
        <v>1</v>
      </c>
      <c r="BB26" s="538">
        <v>0</v>
      </c>
      <c r="BC26" s="538">
        <v>0</v>
      </c>
      <c r="BD26" s="538">
        <v>0</v>
      </c>
      <c r="BE26" s="538">
        <v>0</v>
      </c>
      <c r="BF26" s="538">
        <v>0</v>
      </c>
      <c r="BG26" s="538">
        <v>0</v>
      </c>
      <c r="BH26">
        <f t="shared" si="2"/>
        <v>6</v>
      </c>
    </row>
    <row r="27" spans="1:60" x14ac:dyDescent="0.25">
      <c r="A27" s="217"/>
      <c r="B27" s="813">
        <f t="shared" si="0"/>
        <v>26</v>
      </c>
      <c r="C27" s="99" t="s">
        <v>98</v>
      </c>
      <c r="D27" s="99"/>
      <c r="G27" s="538">
        <v>0</v>
      </c>
      <c r="H27" s="538">
        <v>0</v>
      </c>
      <c r="I27" s="538">
        <v>0</v>
      </c>
      <c r="J27" s="538">
        <v>0</v>
      </c>
      <c r="K27" s="538">
        <v>0</v>
      </c>
      <c r="L27" s="538">
        <v>0</v>
      </c>
      <c r="M27" s="538">
        <v>0</v>
      </c>
      <c r="N27" s="538">
        <v>0</v>
      </c>
      <c r="O27" s="538">
        <v>0</v>
      </c>
      <c r="P27" s="538">
        <v>0</v>
      </c>
      <c r="Q27" s="538">
        <v>0</v>
      </c>
      <c r="R27" s="538">
        <v>0</v>
      </c>
      <c r="S27" s="538">
        <v>0</v>
      </c>
      <c r="T27" s="538">
        <v>0</v>
      </c>
      <c r="U27" s="538">
        <v>0</v>
      </c>
      <c r="V27" s="538">
        <v>0</v>
      </c>
      <c r="W27" s="538">
        <v>0</v>
      </c>
      <c r="X27" s="538">
        <v>0</v>
      </c>
      <c r="Y27" s="538">
        <v>0</v>
      </c>
      <c r="Z27" s="538">
        <v>0</v>
      </c>
      <c r="AA27" s="538">
        <v>0</v>
      </c>
      <c r="AB27" s="538">
        <v>0</v>
      </c>
      <c r="AC27" s="538">
        <v>0</v>
      </c>
      <c r="AD27" s="538">
        <v>0</v>
      </c>
      <c r="AE27" s="538">
        <v>0</v>
      </c>
      <c r="AF27" s="538">
        <v>0</v>
      </c>
      <c r="AG27" s="538">
        <v>0</v>
      </c>
      <c r="AH27" s="538">
        <v>0</v>
      </c>
      <c r="AI27" s="538">
        <v>0</v>
      </c>
      <c r="AJ27" s="538">
        <v>0</v>
      </c>
      <c r="AK27" s="538">
        <v>0</v>
      </c>
      <c r="AL27" s="538">
        <v>0</v>
      </c>
      <c r="AM27" s="538">
        <v>0</v>
      </c>
      <c r="AN27" s="538">
        <v>0</v>
      </c>
      <c r="AO27" s="538">
        <v>0</v>
      </c>
      <c r="AP27" s="538">
        <v>0</v>
      </c>
      <c r="AQ27" s="538">
        <v>0</v>
      </c>
      <c r="AR27" s="538">
        <v>0</v>
      </c>
      <c r="AS27" s="538">
        <v>0</v>
      </c>
      <c r="AT27" s="538">
        <v>0</v>
      </c>
      <c r="AU27" s="538">
        <v>0</v>
      </c>
      <c r="AV27" s="538">
        <v>0</v>
      </c>
      <c r="AW27" s="538">
        <v>0</v>
      </c>
      <c r="AX27" s="538">
        <v>0</v>
      </c>
      <c r="AY27" s="538">
        <v>0</v>
      </c>
      <c r="AZ27" s="538">
        <v>0</v>
      </c>
      <c r="BA27" s="538">
        <v>0</v>
      </c>
      <c r="BB27" s="538">
        <v>0</v>
      </c>
      <c r="BC27" s="538">
        <v>0</v>
      </c>
      <c r="BD27" s="538">
        <v>0</v>
      </c>
      <c r="BE27" s="538">
        <v>0</v>
      </c>
      <c r="BF27" s="538">
        <v>0</v>
      </c>
      <c r="BG27" s="538">
        <v>0</v>
      </c>
    </row>
    <row r="28" spans="1:60" x14ac:dyDescent="0.25">
      <c r="A28" s="217"/>
      <c r="B28" s="813">
        <f t="shared" si="0"/>
        <v>27</v>
      </c>
      <c r="C28" s="99" t="s">
        <v>334</v>
      </c>
      <c r="D28" s="436">
        <f>HLOOKUP(ProjectData!B$13,G$2:BG$125,B28)</f>
        <v>1</v>
      </c>
      <c r="E28" s="817">
        <v>1</v>
      </c>
      <c r="G28" s="817">
        <v>1</v>
      </c>
      <c r="H28" s="817">
        <v>1</v>
      </c>
      <c r="I28" s="817">
        <v>1</v>
      </c>
      <c r="J28" s="817">
        <v>1</v>
      </c>
      <c r="K28" s="817">
        <v>1</v>
      </c>
      <c r="L28" s="817">
        <v>1</v>
      </c>
      <c r="M28" s="817">
        <v>1</v>
      </c>
      <c r="N28" s="817">
        <v>1</v>
      </c>
      <c r="O28" s="817">
        <v>1</v>
      </c>
      <c r="P28" s="817">
        <v>1</v>
      </c>
      <c r="Q28" s="817">
        <v>1</v>
      </c>
      <c r="R28" s="817">
        <v>1</v>
      </c>
      <c r="S28" s="817">
        <v>1</v>
      </c>
      <c r="T28" s="817">
        <v>1</v>
      </c>
      <c r="U28" s="817">
        <v>1</v>
      </c>
      <c r="V28" s="817">
        <v>1</v>
      </c>
      <c r="W28" s="817">
        <v>1</v>
      </c>
      <c r="X28" s="817">
        <v>1</v>
      </c>
      <c r="Y28" s="817">
        <v>1</v>
      </c>
      <c r="Z28" s="817">
        <v>1</v>
      </c>
      <c r="AA28" s="817">
        <v>1</v>
      </c>
      <c r="AB28" s="817">
        <v>1</v>
      </c>
      <c r="AC28" s="817">
        <v>1</v>
      </c>
      <c r="AD28" s="817">
        <v>1</v>
      </c>
      <c r="AE28" s="817">
        <v>1</v>
      </c>
      <c r="AF28" s="817">
        <v>1</v>
      </c>
      <c r="AG28" s="817">
        <v>1</v>
      </c>
      <c r="AH28" s="817">
        <v>1</v>
      </c>
      <c r="AI28" s="817">
        <v>1</v>
      </c>
      <c r="AJ28" s="817">
        <v>1</v>
      </c>
      <c r="AK28" s="817">
        <v>1</v>
      </c>
      <c r="AL28" s="817">
        <v>1</v>
      </c>
      <c r="AM28" s="817">
        <v>1</v>
      </c>
      <c r="AN28" s="817">
        <v>1</v>
      </c>
      <c r="AO28" s="817">
        <v>1</v>
      </c>
      <c r="AP28" s="817">
        <v>1</v>
      </c>
      <c r="AQ28" s="817">
        <v>1</v>
      </c>
      <c r="AR28" s="817">
        <v>1</v>
      </c>
      <c r="AS28" s="817">
        <v>1</v>
      </c>
      <c r="AT28" s="817">
        <v>1</v>
      </c>
      <c r="AU28" s="817">
        <v>1</v>
      </c>
      <c r="AV28" s="817">
        <v>1</v>
      </c>
      <c r="AW28" s="817">
        <v>1</v>
      </c>
      <c r="AX28" s="817">
        <v>1</v>
      </c>
      <c r="AY28" s="817">
        <v>1</v>
      </c>
      <c r="AZ28" s="817">
        <v>1</v>
      </c>
      <c r="BA28" s="817">
        <v>1</v>
      </c>
      <c r="BB28" s="817">
        <v>1</v>
      </c>
      <c r="BC28" s="817">
        <v>1</v>
      </c>
      <c r="BD28" s="817">
        <v>1</v>
      </c>
      <c r="BE28" s="817">
        <v>1</v>
      </c>
      <c r="BF28" s="817">
        <v>1</v>
      </c>
      <c r="BG28" s="817">
        <v>1</v>
      </c>
      <c r="BH28">
        <f>COUNTIF(G28:BG28,"&gt;0")</f>
        <v>53</v>
      </c>
    </row>
    <row r="29" spans="1:60" x14ac:dyDescent="0.25">
      <c r="A29" s="217"/>
      <c r="B29" s="813">
        <f t="shared" si="0"/>
        <v>28</v>
      </c>
      <c r="C29" s="99" t="s">
        <v>387</v>
      </c>
      <c r="D29" s="436">
        <f>HLOOKUP(ProjectData!B$13,G$2:BG$125,B29)</f>
        <v>1</v>
      </c>
      <c r="E29" s="817">
        <v>1</v>
      </c>
      <c r="G29" s="817">
        <v>1</v>
      </c>
      <c r="H29" s="817">
        <v>1</v>
      </c>
      <c r="I29" s="817">
        <v>1</v>
      </c>
      <c r="J29" s="817">
        <v>1</v>
      </c>
      <c r="K29" s="817">
        <v>1</v>
      </c>
      <c r="L29" s="817">
        <v>1</v>
      </c>
      <c r="M29" s="817">
        <v>1</v>
      </c>
      <c r="N29" s="817">
        <v>1</v>
      </c>
      <c r="O29" s="817">
        <v>1</v>
      </c>
      <c r="P29" s="817">
        <v>1</v>
      </c>
      <c r="Q29" s="817">
        <v>1</v>
      </c>
      <c r="R29" s="817">
        <v>1</v>
      </c>
      <c r="S29" s="817">
        <v>1</v>
      </c>
      <c r="T29" s="817">
        <v>1</v>
      </c>
      <c r="U29" s="817">
        <v>1</v>
      </c>
      <c r="V29" s="817">
        <v>1</v>
      </c>
      <c r="W29" s="817">
        <v>1</v>
      </c>
      <c r="X29" s="817">
        <v>1</v>
      </c>
      <c r="Y29" s="817">
        <v>1</v>
      </c>
      <c r="Z29" s="817">
        <v>1</v>
      </c>
      <c r="AA29" s="817">
        <v>1</v>
      </c>
      <c r="AB29" s="817">
        <v>1</v>
      </c>
      <c r="AC29" s="817">
        <v>1</v>
      </c>
      <c r="AD29" s="817">
        <v>1</v>
      </c>
      <c r="AE29" s="817">
        <v>1</v>
      </c>
      <c r="AF29" s="817">
        <v>1</v>
      </c>
      <c r="AG29" s="817">
        <v>1</v>
      </c>
      <c r="AH29" s="817">
        <v>1</v>
      </c>
      <c r="AI29" s="817">
        <v>1</v>
      </c>
      <c r="AJ29" s="817">
        <v>1</v>
      </c>
      <c r="AK29" s="817">
        <v>1</v>
      </c>
      <c r="AL29" s="817">
        <v>1</v>
      </c>
      <c r="AM29" s="817">
        <v>1</v>
      </c>
      <c r="AN29" s="817">
        <v>1</v>
      </c>
      <c r="AO29" s="817">
        <v>1</v>
      </c>
      <c r="AP29" s="817">
        <v>1</v>
      </c>
      <c r="AQ29" s="817">
        <v>1</v>
      </c>
      <c r="AR29" s="817">
        <v>1</v>
      </c>
      <c r="AS29" s="817">
        <v>1</v>
      </c>
      <c r="AT29" s="817">
        <v>1</v>
      </c>
      <c r="AU29" s="817">
        <v>1</v>
      </c>
      <c r="AV29" s="817">
        <v>1</v>
      </c>
      <c r="AW29" s="817">
        <v>1</v>
      </c>
      <c r="AX29" s="817">
        <v>1</v>
      </c>
      <c r="AY29" s="817">
        <v>1</v>
      </c>
      <c r="AZ29" s="817">
        <v>1</v>
      </c>
      <c r="BA29" s="817">
        <v>1</v>
      </c>
      <c r="BB29" s="817">
        <v>1</v>
      </c>
      <c r="BC29" s="817">
        <v>1</v>
      </c>
      <c r="BD29" s="817">
        <v>1</v>
      </c>
      <c r="BE29" s="817">
        <v>1</v>
      </c>
      <c r="BF29" s="817">
        <v>1</v>
      </c>
      <c r="BG29" s="817">
        <v>1</v>
      </c>
      <c r="BH29">
        <f>COUNTIF(G29:BG29,"&gt;0")</f>
        <v>53</v>
      </c>
    </row>
    <row r="30" spans="1:60" x14ac:dyDescent="0.25">
      <c r="A30" s="217"/>
      <c r="B30" s="813">
        <f t="shared" si="0"/>
        <v>29</v>
      </c>
      <c r="C30" s="99" t="s">
        <v>335</v>
      </c>
      <c r="D30" s="436">
        <f>HLOOKUP(ProjectData!B$13,G$2:BG$125,B30)</f>
        <v>0</v>
      </c>
      <c r="E30" s="813" t="s">
        <v>1114</v>
      </c>
      <c r="G30" s="538">
        <v>0</v>
      </c>
      <c r="H30" s="538">
        <v>0</v>
      </c>
      <c r="I30" s="538">
        <v>0</v>
      </c>
      <c r="J30" s="538">
        <v>0</v>
      </c>
      <c r="K30" s="538">
        <v>0</v>
      </c>
      <c r="L30" s="538">
        <v>0</v>
      </c>
      <c r="M30" s="538">
        <v>0</v>
      </c>
      <c r="N30" s="538">
        <v>0</v>
      </c>
      <c r="O30" s="538">
        <v>0</v>
      </c>
      <c r="P30" s="538">
        <v>0</v>
      </c>
      <c r="Q30" s="538">
        <v>0</v>
      </c>
      <c r="R30" s="538">
        <v>0</v>
      </c>
      <c r="S30" s="538">
        <v>0</v>
      </c>
      <c r="T30" s="538">
        <v>0</v>
      </c>
      <c r="U30" s="538">
        <v>0</v>
      </c>
      <c r="V30" s="538">
        <v>0</v>
      </c>
      <c r="W30" s="538">
        <v>0</v>
      </c>
      <c r="X30" s="538">
        <v>0</v>
      </c>
      <c r="Y30" s="538">
        <v>0</v>
      </c>
      <c r="Z30" s="538">
        <v>0</v>
      </c>
      <c r="AA30" s="538">
        <v>0</v>
      </c>
      <c r="AB30" s="538">
        <v>0</v>
      </c>
      <c r="AC30" s="538">
        <v>0</v>
      </c>
      <c r="AD30" s="538">
        <v>0</v>
      </c>
      <c r="AE30" s="538">
        <v>0</v>
      </c>
      <c r="AF30" s="538">
        <v>0</v>
      </c>
      <c r="AG30" s="538">
        <v>0</v>
      </c>
      <c r="AH30" s="538">
        <v>0</v>
      </c>
      <c r="AI30" s="538">
        <v>0</v>
      </c>
      <c r="AJ30" s="538">
        <v>0</v>
      </c>
      <c r="AK30" s="538">
        <v>0</v>
      </c>
      <c r="AL30" s="538">
        <v>0</v>
      </c>
      <c r="AM30" s="538">
        <v>0</v>
      </c>
      <c r="AN30" s="538">
        <v>0</v>
      </c>
      <c r="AO30" s="538">
        <v>0</v>
      </c>
      <c r="AP30" s="538">
        <v>0</v>
      </c>
      <c r="AQ30" s="538">
        <v>0</v>
      </c>
      <c r="AR30" s="538">
        <v>0</v>
      </c>
      <c r="AS30" s="538">
        <v>0</v>
      </c>
      <c r="AT30" s="538">
        <v>0</v>
      </c>
      <c r="AU30" s="538">
        <v>0</v>
      </c>
      <c r="AV30" s="538">
        <v>0</v>
      </c>
      <c r="AW30" s="538">
        <v>0</v>
      </c>
      <c r="AX30" s="538">
        <v>0</v>
      </c>
      <c r="AY30" s="538">
        <v>0</v>
      </c>
      <c r="AZ30" s="538">
        <v>0</v>
      </c>
      <c r="BA30" s="538">
        <v>0</v>
      </c>
      <c r="BB30" s="538">
        <v>0</v>
      </c>
      <c r="BC30" s="538">
        <v>0</v>
      </c>
      <c r="BD30" s="538">
        <v>0</v>
      </c>
      <c r="BE30" s="538">
        <v>0</v>
      </c>
      <c r="BF30" s="538">
        <v>0</v>
      </c>
      <c r="BG30" s="538">
        <v>0</v>
      </c>
    </row>
    <row r="31" spans="1:60" x14ac:dyDescent="0.25">
      <c r="A31" s="217"/>
      <c r="B31" s="813">
        <f t="shared" si="0"/>
        <v>30</v>
      </c>
      <c r="C31" s="99" t="s">
        <v>338</v>
      </c>
      <c r="D31" s="436">
        <f>HLOOKUP(ProjectData!B$13,G$2:BG$125,B31)</f>
        <v>0</v>
      </c>
      <c r="E31" s="813" t="s">
        <v>1114</v>
      </c>
      <c r="G31" s="538">
        <v>0</v>
      </c>
      <c r="H31" s="538">
        <v>0</v>
      </c>
      <c r="I31" s="538">
        <v>0</v>
      </c>
      <c r="J31" s="538">
        <v>0</v>
      </c>
      <c r="K31" s="538">
        <v>0</v>
      </c>
      <c r="L31" s="538">
        <v>0</v>
      </c>
      <c r="M31" s="538">
        <v>0</v>
      </c>
      <c r="N31" s="538">
        <v>0</v>
      </c>
      <c r="O31" s="538">
        <v>0</v>
      </c>
      <c r="P31" s="538">
        <v>0</v>
      </c>
      <c r="Q31" s="538">
        <v>0</v>
      </c>
      <c r="R31" s="538">
        <v>0</v>
      </c>
      <c r="S31" s="538">
        <v>0</v>
      </c>
      <c r="T31" s="538">
        <v>0</v>
      </c>
      <c r="U31" s="538">
        <v>0</v>
      </c>
      <c r="V31" s="538">
        <v>0</v>
      </c>
      <c r="W31" s="538">
        <v>0</v>
      </c>
      <c r="X31" s="538">
        <v>0</v>
      </c>
      <c r="Y31" s="538">
        <v>0</v>
      </c>
      <c r="Z31" s="538">
        <v>0</v>
      </c>
      <c r="AA31" s="538">
        <v>0</v>
      </c>
      <c r="AB31" s="538">
        <v>0</v>
      </c>
      <c r="AC31" s="538">
        <v>0</v>
      </c>
      <c r="AD31" s="538">
        <v>0</v>
      </c>
      <c r="AE31" s="538">
        <v>0</v>
      </c>
      <c r="AF31" s="538">
        <v>0</v>
      </c>
      <c r="AG31" s="538">
        <v>0</v>
      </c>
      <c r="AH31" s="538">
        <v>0</v>
      </c>
      <c r="AI31" s="538">
        <v>0</v>
      </c>
      <c r="AJ31" s="538">
        <v>0</v>
      </c>
      <c r="AK31" s="538">
        <v>0</v>
      </c>
      <c r="AL31" s="538">
        <v>0</v>
      </c>
      <c r="AM31" s="538">
        <v>0</v>
      </c>
      <c r="AN31" s="538">
        <v>0</v>
      </c>
      <c r="AO31" s="538">
        <v>0</v>
      </c>
      <c r="AP31" s="538">
        <v>0</v>
      </c>
      <c r="AQ31" s="538">
        <v>0</v>
      </c>
      <c r="AR31" s="538">
        <v>0</v>
      </c>
      <c r="AS31" s="538">
        <v>0</v>
      </c>
      <c r="AT31" s="538">
        <v>0</v>
      </c>
      <c r="AU31" s="538">
        <v>0</v>
      </c>
      <c r="AV31" s="538">
        <v>0</v>
      </c>
      <c r="AW31" s="538">
        <v>0</v>
      </c>
      <c r="AX31" s="538">
        <v>0</v>
      </c>
      <c r="AY31" s="538">
        <v>0</v>
      </c>
      <c r="AZ31" s="538">
        <v>0</v>
      </c>
      <c r="BA31" s="538">
        <v>0</v>
      </c>
      <c r="BB31" s="538">
        <v>0</v>
      </c>
      <c r="BC31" s="538">
        <v>0</v>
      </c>
      <c r="BD31" s="538">
        <v>0</v>
      </c>
      <c r="BE31" s="538">
        <v>0</v>
      </c>
      <c r="BF31" s="538">
        <v>0</v>
      </c>
      <c r="BG31" s="538">
        <v>0</v>
      </c>
    </row>
    <row r="32" spans="1:60" x14ac:dyDescent="0.25">
      <c r="A32" s="217"/>
      <c r="B32" s="813">
        <f t="shared" si="0"/>
        <v>31</v>
      </c>
      <c r="C32" s="99" t="s">
        <v>336</v>
      </c>
      <c r="D32" s="436">
        <f>HLOOKUP(ProjectData!B$13,G$2:BG$125,B32)</f>
        <v>1</v>
      </c>
      <c r="E32" s="817">
        <v>1</v>
      </c>
      <c r="G32" s="817">
        <v>1</v>
      </c>
      <c r="H32" s="817">
        <v>1</v>
      </c>
      <c r="I32" s="817">
        <v>1</v>
      </c>
      <c r="J32" s="817">
        <v>1</v>
      </c>
      <c r="K32" s="817">
        <v>1</v>
      </c>
      <c r="L32" s="817">
        <v>1</v>
      </c>
      <c r="M32" s="817">
        <v>1</v>
      </c>
      <c r="N32" s="817">
        <v>1</v>
      </c>
      <c r="O32" s="817">
        <v>1</v>
      </c>
      <c r="P32" s="817">
        <v>1</v>
      </c>
      <c r="Q32" s="817">
        <v>1</v>
      </c>
      <c r="R32" s="817">
        <v>1</v>
      </c>
      <c r="S32" s="817">
        <v>1</v>
      </c>
      <c r="T32" s="817">
        <v>1</v>
      </c>
      <c r="U32" s="817">
        <v>1</v>
      </c>
      <c r="V32" s="817">
        <v>1</v>
      </c>
      <c r="W32" s="817">
        <v>1</v>
      </c>
      <c r="X32" s="817">
        <v>1</v>
      </c>
      <c r="Y32" s="817">
        <v>1</v>
      </c>
      <c r="Z32" s="817">
        <v>1</v>
      </c>
      <c r="AA32" s="817">
        <v>1</v>
      </c>
      <c r="AB32" s="817">
        <v>1</v>
      </c>
      <c r="AC32" s="817">
        <v>1</v>
      </c>
      <c r="AD32" s="817">
        <v>1</v>
      </c>
      <c r="AE32" s="817">
        <v>1</v>
      </c>
      <c r="AF32" s="817">
        <v>1</v>
      </c>
      <c r="AG32" s="817">
        <v>1</v>
      </c>
      <c r="AH32" s="817">
        <v>1</v>
      </c>
      <c r="AI32" s="817">
        <v>1</v>
      </c>
      <c r="AJ32" s="817">
        <v>1</v>
      </c>
      <c r="AK32" s="817">
        <v>1</v>
      </c>
      <c r="AL32" s="817">
        <v>1</v>
      </c>
      <c r="AM32" s="817">
        <v>1</v>
      </c>
      <c r="AN32" s="817">
        <v>1</v>
      </c>
      <c r="AO32" s="817">
        <v>1</v>
      </c>
      <c r="AP32" s="817">
        <v>1</v>
      </c>
      <c r="AQ32" s="817">
        <v>1</v>
      </c>
      <c r="AR32" s="817">
        <v>1</v>
      </c>
      <c r="AS32" s="817">
        <v>1</v>
      </c>
      <c r="AT32" s="817">
        <v>1</v>
      </c>
      <c r="AU32" s="817">
        <v>1</v>
      </c>
      <c r="AV32" s="817">
        <v>1</v>
      </c>
      <c r="AW32" s="817">
        <v>1</v>
      </c>
      <c r="AX32" s="817">
        <v>1</v>
      </c>
      <c r="AY32" s="817">
        <v>1</v>
      </c>
      <c r="AZ32" s="817">
        <v>1</v>
      </c>
      <c r="BA32" s="817">
        <v>1</v>
      </c>
      <c r="BB32" s="817">
        <v>1</v>
      </c>
      <c r="BC32" s="817">
        <v>1</v>
      </c>
      <c r="BD32" s="817">
        <v>1</v>
      </c>
      <c r="BE32" s="817">
        <v>1</v>
      </c>
      <c r="BF32" s="817">
        <v>1</v>
      </c>
      <c r="BG32" s="817">
        <v>1</v>
      </c>
      <c r="BH32">
        <f>COUNTIF(G32:BG32,"&gt;0")</f>
        <v>53</v>
      </c>
    </row>
    <row r="33" spans="1:60" x14ac:dyDescent="0.25">
      <c r="A33" s="217"/>
      <c r="B33" s="813">
        <f t="shared" si="0"/>
        <v>32</v>
      </c>
      <c r="C33" s="99" t="s">
        <v>339</v>
      </c>
      <c r="D33" s="436">
        <f>HLOOKUP(ProjectData!B$13,G$2:BG$125,B33)</f>
        <v>1</v>
      </c>
      <c r="E33" s="817">
        <v>1</v>
      </c>
      <c r="G33" s="817">
        <v>1</v>
      </c>
      <c r="H33" s="817">
        <v>1</v>
      </c>
      <c r="I33" s="817">
        <v>1</v>
      </c>
      <c r="J33" s="817">
        <v>1</v>
      </c>
      <c r="K33" s="817">
        <v>1</v>
      </c>
      <c r="L33" s="817">
        <v>1</v>
      </c>
      <c r="M33" s="817">
        <v>1</v>
      </c>
      <c r="N33" s="817">
        <v>1</v>
      </c>
      <c r="O33" s="817">
        <v>1</v>
      </c>
      <c r="P33" s="817">
        <v>1</v>
      </c>
      <c r="Q33" s="817">
        <v>1</v>
      </c>
      <c r="R33" s="817">
        <v>1</v>
      </c>
      <c r="S33" s="817">
        <v>1</v>
      </c>
      <c r="T33" s="817">
        <v>1</v>
      </c>
      <c r="U33" s="817">
        <v>1</v>
      </c>
      <c r="V33" s="817">
        <v>1</v>
      </c>
      <c r="W33" s="817">
        <v>1</v>
      </c>
      <c r="X33" s="817">
        <v>1</v>
      </c>
      <c r="Y33" s="817">
        <v>1</v>
      </c>
      <c r="Z33" s="817">
        <v>1</v>
      </c>
      <c r="AA33" s="817">
        <v>1</v>
      </c>
      <c r="AB33" s="817">
        <v>1</v>
      </c>
      <c r="AC33" s="817">
        <v>1</v>
      </c>
      <c r="AD33" s="817">
        <v>1</v>
      </c>
      <c r="AE33" s="817">
        <v>1</v>
      </c>
      <c r="AF33" s="817">
        <v>1</v>
      </c>
      <c r="AG33" s="817">
        <v>1</v>
      </c>
      <c r="AH33" s="817">
        <v>1</v>
      </c>
      <c r="AI33" s="817">
        <v>1</v>
      </c>
      <c r="AJ33" s="817">
        <v>1</v>
      </c>
      <c r="AK33" s="817">
        <v>1</v>
      </c>
      <c r="AL33" s="817">
        <v>1</v>
      </c>
      <c r="AM33" s="817">
        <v>1</v>
      </c>
      <c r="AN33" s="817">
        <v>1</v>
      </c>
      <c r="AO33" s="817">
        <v>1</v>
      </c>
      <c r="AP33" s="817">
        <v>1</v>
      </c>
      <c r="AQ33" s="817">
        <v>1</v>
      </c>
      <c r="AR33" s="817">
        <v>1</v>
      </c>
      <c r="AS33" s="817">
        <v>1</v>
      </c>
      <c r="AT33" s="817">
        <v>1</v>
      </c>
      <c r="AU33" s="817">
        <v>1</v>
      </c>
      <c r="AV33" s="817">
        <v>1</v>
      </c>
      <c r="AW33" s="817">
        <v>1</v>
      </c>
      <c r="AX33" s="817">
        <v>1</v>
      </c>
      <c r="AY33" s="817">
        <v>1</v>
      </c>
      <c r="AZ33" s="817">
        <v>1</v>
      </c>
      <c r="BA33" s="817">
        <v>1</v>
      </c>
      <c r="BB33" s="817">
        <v>1</v>
      </c>
      <c r="BC33" s="817">
        <v>1</v>
      </c>
      <c r="BD33" s="817">
        <v>1</v>
      </c>
      <c r="BE33" s="817">
        <v>1</v>
      </c>
      <c r="BF33" s="817">
        <v>1</v>
      </c>
      <c r="BG33" s="817">
        <v>1</v>
      </c>
      <c r="BH33">
        <f>COUNTIF(G33:BG33,"&gt;0")</f>
        <v>53</v>
      </c>
    </row>
    <row r="34" spans="1:60" x14ac:dyDescent="0.25">
      <c r="A34" s="217"/>
      <c r="B34" s="813">
        <f t="shared" si="0"/>
        <v>33</v>
      </c>
      <c r="C34" s="99" t="s">
        <v>29</v>
      </c>
      <c r="D34" s="436">
        <f>HLOOKUP(ProjectData!B$13,G$2:BG$125,B34)</f>
        <v>1</v>
      </c>
      <c r="E34" s="817">
        <v>1</v>
      </c>
      <c r="G34" s="817">
        <v>1</v>
      </c>
      <c r="H34" s="817">
        <v>1</v>
      </c>
      <c r="I34" s="817">
        <v>1</v>
      </c>
      <c r="J34" s="817">
        <v>1</v>
      </c>
      <c r="K34" s="817">
        <v>1</v>
      </c>
      <c r="L34" s="817">
        <v>1</v>
      </c>
      <c r="M34" s="817">
        <v>1</v>
      </c>
      <c r="N34" s="817">
        <v>1</v>
      </c>
      <c r="O34" s="817">
        <v>1</v>
      </c>
      <c r="P34" s="817">
        <v>1</v>
      </c>
      <c r="Q34" s="817">
        <v>1</v>
      </c>
      <c r="R34" s="817">
        <v>1</v>
      </c>
      <c r="S34" s="817">
        <v>1</v>
      </c>
      <c r="T34" s="817">
        <v>1</v>
      </c>
      <c r="U34" s="817">
        <v>1</v>
      </c>
      <c r="V34" s="817">
        <v>1</v>
      </c>
      <c r="W34" s="817">
        <v>1</v>
      </c>
      <c r="X34" s="817">
        <v>1</v>
      </c>
      <c r="Y34" s="817">
        <v>1</v>
      </c>
      <c r="Z34" s="817">
        <v>1</v>
      </c>
      <c r="AA34" s="817">
        <v>1</v>
      </c>
      <c r="AB34" s="817">
        <v>1</v>
      </c>
      <c r="AC34" s="817">
        <v>1</v>
      </c>
      <c r="AD34" s="817">
        <v>1</v>
      </c>
      <c r="AE34" s="817">
        <v>1</v>
      </c>
      <c r="AF34" s="817">
        <v>1</v>
      </c>
      <c r="AG34" s="817">
        <v>1</v>
      </c>
      <c r="AH34" s="817">
        <v>1</v>
      </c>
      <c r="AI34" s="817">
        <v>1</v>
      </c>
      <c r="AJ34" s="817">
        <v>1</v>
      </c>
      <c r="AK34" s="817">
        <v>1</v>
      </c>
      <c r="AL34" s="817">
        <v>1</v>
      </c>
      <c r="AM34" s="817">
        <v>1</v>
      </c>
      <c r="AN34" s="817">
        <v>1</v>
      </c>
      <c r="AO34" s="817">
        <v>1</v>
      </c>
      <c r="AP34" s="817">
        <v>1</v>
      </c>
      <c r="AQ34" s="817">
        <v>1</v>
      </c>
      <c r="AR34" s="817">
        <v>1</v>
      </c>
      <c r="AS34" s="817">
        <v>1</v>
      </c>
      <c r="AT34" s="817">
        <v>1</v>
      </c>
      <c r="AU34" s="817">
        <v>1</v>
      </c>
      <c r="AV34" s="817">
        <v>1</v>
      </c>
      <c r="AW34" s="817">
        <v>1</v>
      </c>
      <c r="AX34" s="817">
        <v>1</v>
      </c>
      <c r="AY34" s="817">
        <v>1</v>
      </c>
      <c r="AZ34" s="817">
        <v>1</v>
      </c>
      <c r="BA34" s="817">
        <v>1</v>
      </c>
      <c r="BB34" s="817">
        <v>1</v>
      </c>
      <c r="BC34" s="817">
        <v>1</v>
      </c>
      <c r="BD34" s="817">
        <v>1</v>
      </c>
      <c r="BE34" s="817">
        <v>1</v>
      </c>
      <c r="BF34" s="817">
        <v>1</v>
      </c>
      <c r="BG34" s="817">
        <v>1</v>
      </c>
      <c r="BH34">
        <f>COUNTIF(G34:BG34,"&gt;0")</f>
        <v>53</v>
      </c>
    </row>
    <row r="35" spans="1:60" x14ac:dyDescent="0.25">
      <c r="A35" s="217"/>
      <c r="B35" s="813">
        <f t="shared" si="0"/>
        <v>34</v>
      </c>
      <c r="C35" s="99" t="s">
        <v>340</v>
      </c>
      <c r="D35" s="436">
        <f>HLOOKUP(ProjectData!B$13,G$2:BG$125,B35)</f>
        <v>1</v>
      </c>
      <c r="E35" s="817">
        <v>1</v>
      </c>
      <c r="G35" s="817">
        <v>1</v>
      </c>
      <c r="H35" s="817">
        <v>1</v>
      </c>
      <c r="I35" s="817">
        <v>1</v>
      </c>
      <c r="J35" s="817">
        <v>1</v>
      </c>
      <c r="K35" s="817">
        <v>1</v>
      </c>
      <c r="L35" s="817">
        <v>1</v>
      </c>
      <c r="M35" s="817">
        <v>1</v>
      </c>
      <c r="N35" s="817">
        <v>1</v>
      </c>
      <c r="O35" s="817">
        <v>1</v>
      </c>
      <c r="P35" s="817">
        <v>1</v>
      </c>
      <c r="Q35" s="817">
        <v>1</v>
      </c>
      <c r="R35" s="817">
        <v>1</v>
      </c>
      <c r="S35" s="817">
        <v>1</v>
      </c>
      <c r="T35" s="817">
        <v>1</v>
      </c>
      <c r="U35" s="817">
        <v>1</v>
      </c>
      <c r="V35" s="817">
        <v>1</v>
      </c>
      <c r="W35" s="817">
        <v>1</v>
      </c>
      <c r="X35" s="817">
        <v>1</v>
      </c>
      <c r="Y35" s="817">
        <v>1</v>
      </c>
      <c r="Z35" s="817">
        <v>1</v>
      </c>
      <c r="AA35" s="817">
        <v>1</v>
      </c>
      <c r="AB35" s="817">
        <v>1</v>
      </c>
      <c r="AC35" s="817">
        <v>1</v>
      </c>
      <c r="AD35" s="817">
        <v>1</v>
      </c>
      <c r="AE35" s="817">
        <v>1</v>
      </c>
      <c r="AF35" s="817">
        <v>1</v>
      </c>
      <c r="AG35" s="817">
        <v>1</v>
      </c>
      <c r="AH35" s="817">
        <v>1</v>
      </c>
      <c r="AI35" s="817">
        <v>1</v>
      </c>
      <c r="AJ35" s="817">
        <v>1</v>
      </c>
      <c r="AK35" s="817">
        <v>1</v>
      </c>
      <c r="AL35" s="817">
        <v>1</v>
      </c>
      <c r="AM35" s="817">
        <v>1</v>
      </c>
      <c r="AN35" s="817">
        <v>1</v>
      </c>
      <c r="AO35" s="817">
        <v>1</v>
      </c>
      <c r="AP35" s="817">
        <v>1</v>
      </c>
      <c r="AQ35" s="817">
        <v>1</v>
      </c>
      <c r="AR35" s="817">
        <v>1</v>
      </c>
      <c r="AS35" s="817">
        <v>1</v>
      </c>
      <c r="AT35" s="817">
        <v>1</v>
      </c>
      <c r="AU35" s="817">
        <v>1</v>
      </c>
      <c r="AV35" s="817">
        <v>1</v>
      </c>
      <c r="AW35" s="817">
        <v>1</v>
      </c>
      <c r="AX35" s="817">
        <v>1</v>
      </c>
      <c r="AY35" s="817">
        <v>1</v>
      </c>
      <c r="AZ35" s="817">
        <v>1</v>
      </c>
      <c r="BA35" s="817">
        <v>1</v>
      </c>
      <c r="BB35" s="817">
        <v>1</v>
      </c>
      <c r="BC35" s="817">
        <v>1</v>
      </c>
      <c r="BD35" s="817">
        <v>1</v>
      </c>
      <c r="BE35" s="817">
        <v>1</v>
      </c>
      <c r="BF35" s="817">
        <v>1</v>
      </c>
      <c r="BG35" s="817">
        <v>1</v>
      </c>
      <c r="BH35">
        <f>COUNTIF(G35:BG35,"&gt;0")</f>
        <v>53</v>
      </c>
    </row>
    <row r="36" spans="1:60" ht="15.75" thickBot="1" x14ac:dyDescent="0.3">
      <c r="A36" s="217"/>
      <c r="B36" s="813">
        <f t="shared" si="0"/>
        <v>35</v>
      </c>
      <c r="C36" s="99" t="s">
        <v>473</v>
      </c>
      <c r="D36" s="423"/>
      <c r="G36" s="538"/>
      <c r="H36" s="538"/>
      <c r="I36" s="538"/>
      <c r="J36" s="538"/>
      <c r="K36" s="538"/>
      <c r="L36" s="538"/>
      <c r="M36" s="538"/>
      <c r="N36" s="538"/>
      <c r="O36" s="538"/>
      <c r="P36" s="538"/>
      <c r="Q36" s="538"/>
      <c r="R36" s="538"/>
      <c r="S36" s="538"/>
      <c r="T36" s="538"/>
      <c r="U36" s="538"/>
      <c r="V36" s="538"/>
      <c r="W36" s="538"/>
      <c r="X36" s="538"/>
      <c r="Y36" s="538"/>
      <c r="Z36" s="538"/>
      <c r="AA36" s="538"/>
      <c r="AB36" s="538"/>
      <c r="AC36" s="538"/>
      <c r="AD36" s="538"/>
      <c r="AE36" s="538"/>
      <c r="AF36" s="538"/>
      <c r="AG36" s="538"/>
      <c r="AH36" s="538"/>
      <c r="AI36" s="538"/>
      <c r="AJ36" s="538"/>
      <c r="AK36" s="538"/>
      <c r="AL36" s="538"/>
      <c r="AM36" s="538"/>
      <c r="AN36" s="538"/>
      <c r="AO36" s="538"/>
      <c r="AP36" s="538"/>
      <c r="AQ36" s="538"/>
      <c r="AR36" s="538"/>
      <c r="AS36" s="538"/>
      <c r="AT36" s="538"/>
      <c r="AU36" s="538"/>
      <c r="AV36" s="538"/>
      <c r="AW36" s="538"/>
      <c r="AX36" s="538"/>
      <c r="AY36" s="538"/>
      <c r="AZ36" s="538"/>
      <c r="BA36" s="538"/>
      <c r="BB36" s="538"/>
      <c r="BC36" s="538"/>
      <c r="BD36" s="538"/>
      <c r="BE36" s="538"/>
      <c r="BF36" s="538"/>
      <c r="BG36" s="538"/>
    </row>
    <row r="37" spans="1:60" x14ac:dyDescent="0.25">
      <c r="A37" s="217"/>
      <c r="B37" s="813">
        <f t="shared" si="0"/>
        <v>36</v>
      </c>
      <c r="C37" s="469" t="s">
        <v>333</v>
      </c>
      <c r="D37" s="389"/>
      <c r="G37" s="538"/>
      <c r="H37" s="538"/>
      <c r="I37" s="538"/>
      <c r="J37" s="538"/>
      <c r="K37" s="538"/>
      <c r="L37" s="538"/>
      <c r="M37" s="538"/>
      <c r="N37" s="538"/>
      <c r="O37" s="538"/>
      <c r="P37" s="538"/>
      <c r="Q37" s="538"/>
      <c r="R37" s="538"/>
      <c r="S37" s="538"/>
      <c r="T37" s="538"/>
      <c r="U37" s="538"/>
      <c r="V37" s="538"/>
      <c r="W37" s="538"/>
      <c r="X37" s="538"/>
      <c r="Y37" s="538"/>
      <c r="Z37" s="538"/>
      <c r="AA37" s="538"/>
      <c r="AB37" s="538"/>
      <c r="AC37" s="538"/>
      <c r="AD37" s="538"/>
      <c r="AE37" s="538"/>
      <c r="AF37" s="538"/>
      <c r="AG37" s="538"/>
      <c r="AH37" s="538"/>
      <c r="AI37" s="538"/>
      <c r="AJ37" s="538"/>
      <c r="AK37" s="538"/>
      <c r="AL37" s="538"/>
      <c r="AM37" s="538"/>
      <c r="AN37" s="538"/>
      <c r="AO37" s="538"/>
      <c r="AP37" s="538"/>
      <c r="AQ37" s="538"/>
      <c r="AR37" s="538"/>
      <c r="AS37" s="538"/>
      <c r="AT37" s="538"/>
      <c r="AU37" s="538"/>
      <c r="AV37" s="538"/>
      <c r="AW37" s="538"/>
      <c r="AX37" s="538"/>
      <c r="AY37" s="538"/>
      <c r="AZ37" s="538"/>
      <c r="BA37" s="538"/>
      <c r="BB37" s="538"/>
      <c r="BC37" s="538"/>
      <c r="BD37" s="538"/>
      <c r="BE37" s="538"/>
      <c r="BF37" s="538"/>
      <c r="BG37" s="538"/>
    </row>
    <row r="38" spans="1:60" x14ac:dyDescent="0.25">
      <c r="A38" s="217"/>
      <c r="B38" s="813">
        <f t="shared" si="0"/>
        <v>37</v>
      </c>
      <c r="C38" s="358"/>
      <c r="D38" s="358"/>
      <c r="G38" s="538"/>
      <c r="H38" s="538"/>
      <c r="I38" s="538"/>
      <c r="J38" s="538"/>
      <c r="K38" s="538"/>
      <c r="L38" s="538"/>
      <c r="M38" s="538"/>
      <c r="N38" s="538"/>
      <c r="O38" s="538"/>
      <c r="P38" s="538"/>
      <c r="Q38" s="538"/>
      <c r="R38" s="538"/>
      <c r="S38" s="538"/>
      <c r="T38" s="538"/>
      <c r="U38" s="538"/>
      <c r="V38" s="538"/>
      <c r="W38" s="538"/>
      <c r="X38" s="538"/>
      <c r="Y38" s="538"/>
      <c r="Z38" s="538"/>
      <c r="AA38" s="538"/>
      <c r="AB38" s="538"/>
      <c r="AC38" s="538"/>
      <c r="AD38" s="538"/>
      <c r="AE38" s="538"/>
      <c r="AF38" s="538"/>
      <c r="AG38" s="538"/>
      <c r="AH38" s="538"/>
      <c r="AI38" s="538"/>
      <c r="AJ38" s="538"/>
      <c r="AK38" s="538"/>
      <c r="AL38" s="538"/>
      <c r="AM38" s="538"/>
      <c r="AN38" s="538"/>
      <c r="AO38" s="538"/>
      <c r="AP38" s="538"/>
      <c r="AQ38" s="538"/>
      <c r="AR38" s="538"/>
      <c r="AS38" s="538"/>
      <c r="AT38" s="538"/>
      <c r="AU38" s="538"/>
      <c r="AV38" s="538"/>
      <c r="AW38" s="538"/>
      <c r="AX38" s="538"/>
      <c r="AY38" s="538"/>
      <c r="AZ38" s="538"/>
      <c r="BA38" s="538"/>
      <c r="BB38" s="538"/>
      <c r="BC38" s="538"/>
      <c r="BD38" s="538"/>
      <c r="BE38" s="538"/>
      <c r="BF38" s="538"/>
      <c r="BG38" s="538"/>
    </row>
    <row r="39" spans="1:60" ht="15.75" x14ac:dyDescent="0.25">
      <c r="A39" s="217"/>
      <c r="B39" s="813">
        <f t="shared" si="0"/>
        <v>38</v>
      </c>
      <c r="C39" s="401" t="s">
        <v>946</v>
      </c>
      <c r="D39" s="401"/>
      <c r="G39" s="538"/>
      <c r="H39" s="538"/>
      <c r="I39" s="538"/>
      <c r="J39" s="538"/>
      <c r="K39" s="538"/>
      <c r="L39" s="538"/>
      <c r="M39" s="538"/>
      <c r="N39" s="538"/>
      <c r="O39" s="538"/>
      <c r="P39" s="538"/>
      <c r="Q39" s="538"/>
      <c r="R39" s="538"/>
      <c r="S39" s="538"/>
      <c r="T39" s="538"/>
      <c r="U39" s="538"/>
      <c r="V39" s="538"/>
      <c r="W39" s="538"/>
      <c r="X39" s="538"/>
      <c r="Y39" s="538"/>
      <c r="Z39" s="538"/>
      <c r="AA39" s="538"/>
      <c r="AB39" s="538"/>
      <c r="AC39" s="538"/>
      <c r="AD39" s="538"/>
      <c r="AE39" s="538"/>
      <c r="AF39" s="538"/>
      <c r="AG39" s="538"/>
      <c r="AH39" s="538"/>
      <c r="AI39" s="538"/>
      <c r="AJ39" s="538"/>
      <c r="AK39" s="538"/>
      <c r="AL39" s="538"/>
      <c r="AM39" s="538"/>
      <c r="AN39" s="538"/>
      <c r="AO39" s="538"/>
      <c r="AP39" s="538"/>
      <c r="AQ39" s="538"/>
      <c r="AR39" s="538"/>
      <c r="AS39" s="538"/>
      <c r="AT39" s="538"/>
      <c r="AU39" s="538"/>
      <c r="AV39" s="538"/>
      <c r="AW39" s="538"/>
      <c r="AX39" s="538"/>
      <c r="AY39" s="538"/>
      <c r="AZ39" s="538"/>
      <c r="BA39" s="538"/>
      <c r="BB39" s="538"/>
      <c r="BC39" s="538"/>
      <c r="BD39" s="538"/>
      <c r="BE39" s="538"/>
      <c r="BF39" s="538"/>
      <c r="BG39" s="538"/>
    </row>
    <row r="40" spans="1:60" x14ac:dyDescent="0.25">
      <c r="A40" s="217"/>
      <c r="B40" s="813">
        <f t="shared" si="0"/>
        <v>39</v>
      </c>
      <c r="C40" s="391" t="s">
        <v>119</v>
      </c>
      <c r="D40" s="436">
        <f>HLOOKUP(ProjectData!B$13,G$2:BG$125,B40)</f>
        <v>1</v>
      </c>
      <c r="E40" s="816">
        <f>E19</f>
        <v>1</v>
      </c>
      <c r="F40" t="str">
        <f>F19</f>
        <v>CA, CO,UT,NV, ID, OR, TX, NM</v>
      </c>
      <c r="G40" s="538">
        <v>0</v>
      </c>
      <c r="H40" s="538">
        <v>0</v>
      </c>
      <c r="I40" s="538">
        <v>0</v>
      </c>
      <c r="J40" s="538">
        <v>0</v>
      </c>
      <c r="K40" s="816">
        <v>1</v>
      </c>
      <c r="L40" s="816">
        <v>1</v>
      </c>
      <c r="M40" s="538">
        <v>0</v>
      </c>
      <c r="N40" s="538">
        <v>0</v>
      </c>
      <c r="O40" s="538">
        <v>0</v>
      </c>
      <c r="P40" s="538">
        <v>0</v>
      </c>
      <c r="Q40" s="538">
        <v>0</v>
      </c>
      <c r="R40" s="538">
        <v>0</v>
      </c>
      <c r="S40" s="816">
        <f>S19</f>
        <v>1</v>
      </c>
      <c r="T40" s="538">
        <v>0</v>
      </c>
      <c r="U40" s="538">
        <v>0</v>
      </c>
      <c r="V40" s="538">
        <v>0</v>
      </c>
      <c r="W40" s="538">
        <v>0</v>
      </c>
      <c r="X40" s="538">
        <v>0</v>
      </c>
      <c r="Y40" s="538">
        <v>0</v>
      </c>
      <c r="Z40" s="538">
        <v>0</v>
      </c>
      <c r="AA40" s="538">
        <v>0</v>
      </c>
      <c r="AB40" s="538">
        <v>0</v>
      </c>
      <c r="AC40" s="538">
        <v>0</v>
      </c>
      <c r="AD40" s="538">
        <v>0</v>
      </c>
      <c r="AE40" s="538">
        <v>0</v>
      </c>
      <c r="AF40" s="538">
        <v>0</v>
      </c>
      <c r="AG40" s="538">
        <v>0</v>
      </c>
      <c r="AH40" s="538">
        <v>0</v>
      </c>
      <c r="AI40" s="538">
        <v>0</v>
      </c>
      <c r="AJ40" s="538">
        <v>0</v>
      </c>
      <c r="AK40" s="816">
        <v>1</v>
      </c>
      <c r="AL40" s="538">
        <v>0</v>
      </c>
      <c r="AM40" s="538">
        <v>0</v>
      </c>
      <c r="AN40" s="816">
        <v>1</v>
      </c>
      <c r="AO40" s="538">
        <v>0</v>
      </c>
      <c r="AP40" s="538">
        <v>0</v>
      </c>
      <c r="AQ40" s="538">
        <v>0</v>
      </c>
      <c r="AR40" s="538">
        <v>0</v>
      </c>
      <c r="AS40" s="538">
        <v>0</v>
      </c>
      <c r="AT40" s="816">
        <f>AT19</f>
        <v>1</v>
      </c>
      <c r="AU40" s="538">
        <v>0</v>
      </c>
      <c r="AV40" s="538">
        <v>0</v>
      </c>
      <c r="AW40" s="538">
        <v>0</v>
      </c>
      <c r="AX40" s="538">
        <v>0</v>
      </c>
      <c r="AY40" s="538">
        <v>0</v>
      </c>
      <c r="AZ40" s="816">
        <v>1</v>
      </c>
      <c r="BA40" s="816">
        <v>1</v>
      </c>
      <c r="BB40" s="538">
        <v>0</v>
      </c>
      <c r="BC40" s="538">
        <v>0</v>
      </c>
      <c r="BD40" s="538">
        <v>0</v>
      </c>
      <c r="BE40" s="538">
        <v>0</v>
      </c>
      <c r="BF40" s="538">
        <v>0</v>
      </c>
      <c r="BG40" s="538">
        <v>0</v>
      </c>
      <c r="BH40">
        <f t="shared" ref="BH40:BH57" si="4">COUNTIF(G40:BG40,"&gt;0")</f>
        <v>8</v>
      </c>
    </row>
    <row r="41" spans="1:60" x14ac:dyDescent="0.25">
      <c r="A41" s="217"/>
      <c r="B41" s="813">
        <f t="shared" si="0"/>
        <v>40</v>
      </c>
      <c r="C41" s="391" t="s">
        <v>326</v>
      </c>
      <c r="D41" s="436">
        <f>HLOOKUP(ProjectData!B$13,G$2:BG$125,B41)</f>
        <v>0</v>
      </c>
      <c r="E41" s="816">
        <f t="shared" ref="E41:F47" si="5">E20</f>
        <v>1</v>
      </c>
      <c r="F41" t="str">
        <f t="shared" si="5"/>
        <v>CA, CO,UT,NV,  TX, NM</v>
      </c>
      <c r="G41" s="538">
        <v>0</v>
      </c>
      <c r="H41" s="538">
        <v>0</v>
      </c>
      <c r="I41" s="538">
        <v>0</v>
      </c>
      <c r="J41" s="538">
        <v>0</v>
      </c>
      <c r="K41" s="816">
        <v>1</v>
      </c>
      <c r="L41" s="816">
        <v>1</v>
      </c>
      <c r="M41" s="538">
        <v>0</v>
      </c>
      <c r="N41" s="538">
        <v>0</v>
      </c>
      <c r="O41" s="538">
        <v>0</v>
      </c>
      <c r="P41" s="538">
        <v>0</v>
      </c>
      <c r="Q41" s="538">
        <v>0</v>
      </c>
      <c r="R41" s="538">
        <v>0</v>
      </c>
      <c r="S41" s="538">
        <v>0</v>
      </c>
      <c r="T41" s="538">
        <v>0</v>
      </c>
      <c r="U41" s="538">
        <v>0</v>
      </c>
      <c r="V41" s="538">
        <v>0</v>
      </c>
      <c r="W41" s="538">
        <v>0</v>
      </c>
      <c r="X41" s="538">
        <v>0</v>
      </c>
      <c r="Y41" s="538">
        <v>0</v>
      </c>
      <c r="Z41" s="538">
        <v>0</v>
      </c>
      <c r="AA41" s="538">
        <v>0</v>
      </c>
      <c r="AB41" s="538">
        <v>0</v>
      </c>
      <c r="AC41" s="538">
        <v>0</v>
      </c>
      <c r="AD41" s="538">
        <v>0</v>
      </c>
      <c r="AE41" s="538">
        <v>0</v>
      </c>
      <c r="AF41" s="538">
        <v>0</v>
      </c>
      <c r="AG41" s="538">
        <v>0</v>
      </c>
      <c r="AH41" s="538">
        <v>0</v>
      </c>
      <c r="AI41" s="538">
        <v>0</v>
      </c>
      <c r="AJ41" s="538">
        <v>0</v>
      </c>
      <c r="AK41" s="816">
        <v>1</v>
      </c>
      <c r="AL41" s="538">
        <v>0</v>
      </c>
      <c r="AM41" s="538">
        <v>0</v>
      </c>
      <c r="AN41" s="816">
        <v>1</v>
      </c>
      <c r="AO41" s="538">
        <v>0</v>
      </c>
      <c r="AP41" s="538">
        <v>0</v>
      </c>
      <c r="AQ41" s="538">
        <v>0</v>
      </c>
      <c r="AR41" s="538">
        <v>0</v>
      </c>
      <c r="AS41" s="538">
        <v>0</v>
      </c>
      <c r="AT41" s="538">
        <v>0</v>
      </c>
      <c r="AU41" s="538">
        <v>0</v>
      </c>
      <c r="AV41" s="538">
        <v>0</v>
      </c>
      <c r="AW41" s="538">
        <v>0</v>
      </c>
      <c r="AX41" s="538">
        <v>0</v>
      </c>
      <c r="AY41" s="538">
        <v>0</v>
      </c>
      <c r="AZ41" s="816">
        <v>1</v>
      </c>
      <c r="BA41" s="816">
        <v>1</v>
      </c>
      <c r="BB41" s="538">
        <v>0</v>
      </c>
      <c r="BC41" s="538">
        <v>0</v>
      </c>
      <c r="BD41" s="538">
        <v>0</v>
      </c>
      <c r="BE41" s="538">
        <v>0</v>
      </c>
      <c r="BF41" s="538">
        <v>0</v>
      </c>
      <c r="BG41" s="538">
        <v>0</v>
      </c>
      <c r="BH41">
        <f t="shared" si="4"/>
        <v>6</v>
      </c>
    </row>
    <row r="42" spans="1:60" x14ac:dyDescent="0.25">
      <c r="A42" s="217"/>
      <c r="B42" s="813">
        <f t="shared" si="0"/>
        <v>41</v>
      </c>
      <c r="C42" s="99" t="s">
        <v>936</v>
      </c>
      <c r="D42" s="436">
        <f>HLOOKUP(ProjectData!B$13,G$2:BG$125,B42)</f>
        <v>0</v>
      </c>
      <c r="E42" s="816">
        <f t="shared" si="5"/>
        <v>1</v>
      </c>
      <c r="F42" t="str">
        <f t="shared" si="5"/>
        <v>CA, CO,UT,NV,  TX, NM</v>
      </c>
      <c r="G42" s="538">
        <v>0</v>
      </c>
      <c r="H42" s="538">
        <v>0</v>
      </c>
      <c r="I42" s="538">
        <v>0</v>
      </c>
      <c r="J42" s="538">
        <v>0</v>
      </c>
      <c r="K42" s="816">
        <v>1</v>
      </c>
      <c r="L42" s="816">
        <v>1</v>
      </c>
      <c r="M42" s="538">
        <v>0</v>
      </c>
      <c r="N42" s="538">
        <v>0</v>
      </c>
      <c r="O42" s="538">
        <v>0</v>
      </c>
      <c r="P42" s="538">
        <v>0</v>
      </c>
      <c r="Q42" s="538">
        <v>0</v>
      </c>
      <c r="R42" s="538">
        <v>0</v>
      </c>
      <c r="S42" s="538">
        <v>0</v>
      </c>
      <c r="T42" s="538">
        <v>0</v>
      </c>
      <c r="U42" s="538">
        <v>0</v>
      </c>
      <c r="V42" s="538">
        <v>0</v>
      </c>
      <c r="W42" s="538">
        <v>0</v>
      </c>
      <c r="X42" s="538">
        <v>0</v>
      </c>
      <c r="Y42" s="538">
        <v>0</v>
      </c>
      <c r="Z42" s="538">
        <v>0</v>
      </c>
      <c r="AA42" s="538">
        <v>0</v>
      </c>
      <c r="AB42" s="538">
        <v>0</v>
      </c>
      <c r="AC42" s="538">
        <v>0</v>
      </c>
      <c r="AD42" s="538">
        <v>0</v>
      </c>
      <c r="AE42" s="538">
        <v>0</v>
      </c>
      <c r="AF42" s="538">
        <v>0</v>
      </c>
      <c r="AG42" s="538">
        <v>0</v>
      </c>
      <c r="AH42" s="538">
        <v>0</v>
      </c>
      <c r="AI42" s="538">
        <v>0</v>
      </c>
      <c r="AJ42" s="538">
        <v>0</v>
      </c>
      <c r="AK42" s="816">
        <v>1</v>
      </c>
      <c r="AL42" s="538">
        <v>0</v>
      </c>
      <c r="AM42" s="538">
        <v>0</v>
      </c>
      <c r="AN42" s="816">
        <v>1</v>
      </c>
      <c r="AO42" s="538">
        <v>0</v>
      </c>
      <c r="AP42" s="538">
        <v>0</v>
      </c>
      <c r="AQ42" s="538">
        <v>0</v>
      </c>
      <c r="AR42" s="538">
        <v>0</v>
      </c>
      <c r="AS42" s="538">
        <v>0</v>
      </c>
      <c r="AT42" s="538">
        <v>0</v>
      </c>
      <c r="AU42" s="538">
        <v>0</v>
      </c>
      <c r="AV42" s="538">
        <v>0</v>
      </c>
      <c r="AW42" s="538">
        <v>0</v>
      </c>
      <c r="AX42" s="538">
        <v>0</v>
      </c>
      <c r="AY42" s="538">
        <v>0</v>
      </c>
      <c r="AZ42" s="816">
        <v>1</v>
      </c>
      <c r="BA42" s="816">
        <v>1</v>
      </c>
      <c r="BB42" s="538">
        <v>0</v>
      </c>
      <c r="BC42" s="538">
        <v>0</v>
      </c>
      <c r="BD42" s="538">
        <v>0</v>
      </c>
      <c r="BE42" s="538">
        <v>0</v>
      </c>
      <c r="BF42" s="538">
        <v>0</v>
      </c>
      <c r="BG42" s="538">
        <v>0</v>
      </c>
      <c r="BH42">
        <f t="shared" si="4"/>
        <v>6</v>
      </c>
    </row>
    <row r="43" spans="1:60" x14ac:dyDescent="0.25">
      <c r="A43" s="217"/>
      <c r="B43" s="813">
        <f t="shared" si="0"/>
        <v>42</v>
      </c>
      <c r="C43" s="99" t="s">
        <v>755</v>
      </c>
      <c r="D43" s="436">
        <f>HLOOKUP(ProjectData!B$13,G$2:BG$125,B43)</f>
        <v>0</v>
      </c>
      <c r="E43" s="816">
        <f t="shared" si="5"/>
        <v>1</v>
      </c>
      <c r="F43" t="str">
        <f t="shared" si="5"/>
        <v>CA, CO,UT,NV,  TX, NM</v>
      </c>
      <c r="G43" s="538">
        <v>0</v>
      </c>
      <c r="H43" s="538">
        <v>0</v>
      </c>
      <c r="I43" s="538">
        <v>0</v>
      </c>
      <c r="J43" s="538">
        <v>0</v>
      </c>
      <c r="K43" s="816">
        <v>1</v>
      </c>
      <c r="L43" s="816">
        <v>1</v>
      </c>
      <c r="M43" s="538">
        <v>0</v>
      </c>
      <c r="N43" s="538">
        <v>0</v>
      </c>
      <c r="O43" s="538">
        <v>0</v>
      </c>
      <c r="P43" s="538">
        <v>0</v>
      </c>
      <c r="Q43" s="538">
        <v>0</v>
      </c>
      <c r="R43" s="538">
        <v>0</v>
      </c>
      <c r="S43" s="538">
        <v>0</v>
      </c>
      <c r="T43" s="538">
        <v>0</v>
      </c>
      <c r="U43" s="538">
        <v>0</v>
      </c>
      <c r="V43" s="538">
        <v>0</v>
      </c>
      <c r="W43" s="538">
        <v>0</v>
      </c>
      <c r="X43" s="538">
        <v>0</v>
      </c>
      <c r="Y43" s="538">
        <v>0</v>
      </c>
      <c r="Z43" s="538">
        <v>0</v>
      </c>
      <c r="AA43" s="538">
        <v>0</v>
      </c>
      <c r="AB43" s="538">
        <v>0</v>
      </c>
      <c r="AC43" s="538">
        <v>0</v>
      </c>
      <c r="AD43" s="538">
        <v>0</v>
      </c>
      <c r="AE43" s="538">
        <v>0</v>
      </c>
      <c r="AF43" s="538">
        <v>0</v>
      </c>
      <c r="AG43" s="538">
        <v>0</v>
      </c>
      <c r="AH43" s="538">
        <v>0</v>
      </c>
      <c r="AI43" s="538">
        <v>0</v>
      </c>
      <c r="AJ43" s="538">
        <v>0</v>
      </c>
      <c r="AK43" s="816">
        <v>1</v>
      </c>
      <c r="AL43" s="538">
        <v>0</v>
      </c>
      <c r="AM43" s="538">
        <v>0</v>
      </c>
      <c r="AN43" s="816">
        <v>1</v>
      </c>
      <c r="AO43" s="538">
        <v>0</v>
      </c>
      <c r="AP43" s="538">
        <v>0</v>
      </c>
      <c r="AQ43" s="538">
        <v>0</v>
      </c>
      <c r="AR43" s="538">
        <v>0</v>
      </c>
      <c r="AS43" s="538">
        <v>0</v>
      </c>
      <c r="AT43" s="538">
        <v>0</v>
      </c>
      <c r="AU43" s="538">
        <v>0</v>
      </c>
      <c r="AV43" s="538">
        <v>0</v>
      </c>
      <c r="AW43" s="538">
        <v>0</v>
      </c>
      <c r="AX43" s="538">
        <v>0</v>
      </c>
      <c r="AY43" s="538">
        <v>0</v>
      </c>
      <c r="AZ43" s="816">
        <v>1</v>
      </c>
      <c r="BA43" s="816">
        <v>1</v>
      </c>
      <c r="BB43" s="538">
        <v>0</v>
      </c>
      <c r="BC43" s="538">
        <v>0</v>
      </c>
      <c r="BD43" s="538">
        <v>0</v>
      </c>
      <c r="BE43" s="538">
        <v>0</v>
      </c>
      <c r="BF43" s="538">
        <v>0</v>
      </c>
      <c r="BG43" s="538">
        <v>0</v>
      </c>
      <c r="BH43">
        <f t="shared" si="4"/>
        <v>6</v>
      </c>
    </row>
    <row r="44" spans="1:60" x14ac:dyDescent="0.25">
      <c r="A44" s="217"/>
      <c r="B44" s="813">
        <f t="shared" si="0"/>
        <v>43</v>
      </c>
      <c r="C44" s="99" t="s">
        <v>754</v>
      </c>
      <c r="D44" s="436">
        <f>HLOOKUP(ProjectData!B$13,G$2:BG$125,B44)</f>
        <v>0</v>
      </c>
      <c r="E44" s="816">
        <f t="shared" si="5"/>
        <v>1</v>
      </c>
      <c r="F44" t="str">
        <f t="shared" si="5"/>
        <v>CA, CO,UT,NV,  TX, NM</v>
      </c>
      <c r="G44" s="538">
        <v>0</v>
      </c>
      <c r="H44" s="538">
        <v>0</v>
      </c>
      <c r="I44" s="538">
        <v>0</v>
      </c>
      <c r="J44" s="538">
        <v>0</v>
      </c>
      <c r="K44" s="816">
        <v>1</v>
      </c>
      <c r="L44" s="816">
        <v>1</v>
      </c>
      <c r="M44" s="538">
        <v>0</v>
      </c>
      <c r="N44" s="538">
        <v>0</v>
      </c>
      <c r="O44" s="538">
        <v>0</v>
      </c>
      <c r="P44" s="538">
        <v>0</v>
      </c>
      <c r="Q44" s="538">
        <v>0</v>
      </c>
      <c r="R44" s="538">
        <v>0</v>
      </c>
      <c r="S44" s="538">
        <v>0</v>
      </c>
      <c r="T44" s="538">
        <v>0</v>
      </c>
      <c r="U44" s="538">
        <v>0</v>
      </c>
      <c r="V44" s="538">
        <v>0</v>
      </c>
      <c r="W44" s="538">
        <v>0</v>
      </c>
      <c r="X44" s="538">
        <v>0</v>
      </c>
      <c r="Y44" s="538">
        <v>0</v>
      </c>
      <c r="Z44" s="538">
        <v>0</v>
      </c>
      <c r="AA44" s="538">
        <v>0</v>
      </c>
      <c r="AB44" s="538">
        <v>0</v>
      </c>
      <c r="AC44" s="538">
        <v>0</v>
      </c>
      <c r="AD44" s="538">
        <v>0</v>
      </c>
      <c r="AE44" s="538">
        <v>0</v>
      </c>
      <c r="AF44" s="538">
        <v>0</v>
      </c>
      <c r="AG44" s="538">
        <v>0</v>
      </c>
      <c r="AH44" s="538">
        <v>0</v>
      </c>
      <c r="AI44" s="538">
        <v>0</v>
      </c>
      <c r="AJ44" s="538">
        <v>0</v>
      </c>
      <c r="AK44" s="816">
        <v>1</v>
      </c>
      <c r="AL44" s="538">
        <v>0</v>
      </c>
      <c r="AM44" s="538">
        <v>0</v>
      </c>
      <c r="AN44" s="816">
        <v>1</v>
      </c>
      <c r="AO44" s="538">
        <v>0</v>
      </c>
      <c r="AP44" s="538">
        <v>0</v>
      </c>
      <c r="AQ44" s="538">
        <v>0</v>
      </c>
      <c r="AR44" s="538">
        <v>0</v>
      </c>
      <c r="AS44" s="538">
        <v>0</v>
      </c>
      <c r="AT44" s="538">
        <v>0</v>
      </c>
      <c r="AU44" s="538">
        <v>0</v>
      </c>
      <c r="AV44" s="538">
        <v>0</v>
      </c>
      <c r="AW44" s="538">
        <v>0</v>
      </c>
      <c r="AX44" s="538">
        <v>0</v>
      </c>
      <c r="AY44" s="538">
        <v>0</v>
      </c>
      <c r="AZ44" s="816">
        <v>1</v>
      </c>
      <c r="BA44" s="816">
        <v>1</v>
      </c>
      <c r="BB44" s="538">
        <v>0</v>
      </c>
      <c r="BC44" s="538">
        <v>0</v>
      </c>
      <c r="BD44" s="538">
        <v>0</v>
      </c>
      <c r="BE44" s="538">
        <v>0</v>
      </c>
      <c r="BF44" s="538">
        <v>0</v>
      </c>
      <c r="BG44" s="538">
        <v>0</v>
      </c>
      <c r="BH44">
        <f t="shared" si="4"/>
        <v>6</v>
      </c>
    </row>
    <row r="45" spans="1:60" x14ac:dyDescent="0.25">
      <c r="A45" s="217"/>
      <c r="B45" s="813">
        <f t="shared" si="0"/>
        <v>44</v>
      </c>
      <c r="C45" s="99" t="s">
        <v>111</v>
      </c>
      <c r="D45" s="436">
        <f>HLOOKUP(ProjectData!B$13,G$2:BG$125,B45)</f>
        <v>0</v>
      </c>
      <c r="E45" s="816">
        <f t="shared" si="5"/>
        <v>1</v>
      </c>
      <c r="F45" t="str">
        <f t="shared" si="5"/>
        <v>CA, CO,UT,NV,  TX, NM</v>
      </c>
      <c r="G45" s="538">
        <v>0</v>
      </c>
      <c r="H45" s="538">
        <v>0</v>
      </c>
      <c r="I45" s="538">
        <v>0</v>
      </c>
      <c r="J45" s="538">
        <v>0</v>
      </c>
      <c r="K45" s="816">
        <v>1</v>
      </c>
      <c r="L45" s="816">
        <v>1</v>
      </c>
      <c r="M45" s="538">
        <v>0</v>
      </c>
      <c r="N45" s="538">
        <v>0</v>
      </c>
      <c r="O45" s="538">
        <v>0</v>
      </c>
      <c r="P45" s="538">
        <v>0</v>
      </c>
      <c r="Q45" s="538">
        <v>0</v>
      </c>
      <c r="R45" s="538">
        <v>0</v>
      </c>
      <c r="S45" s="538">
        <v>0</v>
      </c>
      <c r="T45" s="538">
        <v>0</v>
      </c>
      <c r="U45" s="538">
        <v>0</v>
      </c>
      <c r="V45" s="538">
        <v>0</v>
      </c>
      <c r="W45" s="538">
        <v>0</v>
      </c>
      <c r="X45" s="538">
        <v>0</v>
      </c>
      <c r="Y45" s="538">
        <v>0</v>
      </c>
      <c r="Z45" s="538">
        <v>0</v>
      </c>
      <c r="AA45" s="538">
        <v>0</v>
      </c>
      <c r="AB45" s="538">
        <v>0</v>
      </c>
      <c r="AC45" s="538">
        <v>0</v>
      </c>
      <c r="AD45" s="538">
        <v>0</v>
      </c>
      <c r="AE45" s="538">
        <v>0</v>
      </c>
      <c r="AF45" s="538">
        <v>0</v>
      </c>
      <c r="AG45" s="538">
        <v>0</v>
      </c>
      <c r="AH45" s="538">
        <v>0</v>
      </c>
      <c r="AI45" s="538">
        <v>0</v>
      </c>
      <c r="AJ45" s="538">
        <v>0</v>
      </c>
      <c r="AK45" s="816">
        <v>1</v>
      </c>
      <c r="AL45" s="538">
        <v>0</v>
      </c>
      <c r="AM45" s="538">
        <v>0</v>
      </c>
      <c r="AN45" s="816">
        <v>1</v>
      </c>
      <c r="AO45" s="538">
        <v>0</v>
      </c>
      <c r="AP45" s="538">
        <v>0</v>
      </c>
      <c r="AQ45" s="538">
        <v>0</v>
      </c>
      <c r="AR45" s="538">
        <v>0</v>
      </c>
      <c r="AS45" s="538">
        <v>0</v>
      </c>
      <c r="AT45" s="538">
        <v>0</v>
      </c>
      <c r="AU45" s="538">
        <v>0</v>
      </c>
      <c r="AV45" s="538">
        <v>0</v>
      </c>
      <c r="AW45" s="538">
        <v>0</v>
      </c>
      <c r="AX45" s="538">
        <v>0</v>
      </c>
      <c r="AY45" s="538">
        <v>0</v>
      </c>
      <c r="AZ45" s="816">
        <v>1</v>
      </c>
      <c r="BA45" s="816">
        <v>1</v>
      </c>
      <c r="BB45" s="538">
        <v>0</v>
      </c>
      <c r="BC45" s="538">
        <v>0</v>
      </c>
      <c r="BD45" s="538">
        <v>0</v>
      </c>
      <c r="BE45" s="538">
        <v>0</v>
      </c>
      <c r="BF45" s="538">
        <v>0</v>
      </c>
      <c r="BG45" s="538">
        <v>0</v>
      </c>
      <c r="BH45">
        <f t="shared" si="4"/>
        <v>6</v>
      </c>
    </row>
    <row r="46" spans="1:60" x14ac:dyDescent="0.25">
      <c r="A46" s="217"/>
      <c r="B46" s="813">
        <f t="shared" si="0"/>
        <v>45</v>
      </c>
      <c r="C46" s="99" t="s">
        <v>332</v>
      </c>
      <c r="D46" s="436">
        <f>HLOOKUP(ProjectData!B$13,G$2:BG$125,B46)</f>
        <v>0</v>
      </c>
      <c r="E46" s="816">
        <f t="shared" si="5"/>
        <v>1</v>
      </c>
      <c r="F46" t="str">
        <f t="shared" si="5"/>
        <v>CA, CO,UT,NV,  TX, NM</v>
      </c>
      <c r="G46" s="538">
        <v>0</v>
      </c>
      <c r="H46" s="538">
        <v>0</v>
      </c>
      <c r="I46" s="538">
        <v>0</v>
      </c>
      <c r="J46" s="538">
        <v>0</v>
      </c>
      <c r="K46" s="816">
        <v>1</v>
      </c>
      <c r="L46" s="816">
        <v>1</v>
      </c>
      <c r="M46" s="538">
        <v>0</v>
      </c>
      <c r="N46" s="538">
        <v>0</v>
      </c>
      <c r="O46" s="538">
        <v>0</v>
      </c>
      <c r="P46" s="538">
        <v>0</v>
      </c>
      <c r="Q46" s="538">
        <v>0</v>
      </c>
      <c r="R46" s="538">
        <v>0</v>
      </c>
      <c r="S46" s="538">
        <v>0</v>
      </c>
      <c r="T46" s="538">
        <v>0</v>
      </c>
      <c r="U46" s="538">
        <v>0</v>
      </c>
      <c r="V46" s="538">
        <v>0</v>
      </c>
      <c r="W46" s="538">
        <v>0</v>
      </c>
      <c r="X46" s="538">
        <v>0</v>
      </c>
      <c r="Y46" s="538">
        <v>0</v>
      </c>
      <c r="Z46" s="538">
        <v>0</v>
      </c>
      <c r="AA46" s="538">
        <v>0</v>
      </c>
      <c r="AB46" s="538">
        <v>0</v>
      </c>
      <c r="AC46" s="538">
        <v>0</v>
      </c>
      <c r="AD46" s="538">
        <v>0</v>
      </c>
      <c r="AE46" s="538">
        <v>0</v>
      </c>
      <c r="AF46" s="538">
        <v>0</v>
      </c>
      <c r="AG46" s="538">
        <v>0</v>
      </c>
      <c r="AH46" s="538">
        <v>0</v>
      </c>
      <c r="AI46" s="538">
        <v>0</v>
      </c>
      <c r="AJ46" s="538">
        <v>0</v>
      </c>
      <c r="AK46" s="816">
        <v>1</v>
      </c>
      <c r="AL46" s="538">
        <v>0</v>
      </c>
      <c r="AM46" s="538">
        <v>0</v>
      </c>
      <c r="AN46" s="816">
        <v>1</v>
      </c>
      <c r="AO46" s="538">
        <v>0</v>
      </c>
      <c r="AP46" s="538">
        <v>0</v>
      </c>
      <c r="AQ46" s="538">
        <v>0</v>
      </c>
      <c r="AR46" s="538">
        <v>0</v>
      </c>
      <c r="AS46" s="538">
        <v>0</v>
      </c>
      <c r="AT46" s="538">
        <v>0</v>
      </c>
      <c r="AU46" s="538">
        <v>0</v>
      </c>
      <c r="AV46" s="538">
        <v>0</v>
      </c>
      <c r="AW46" s="538">
        <v>0</v>
      </c>
      <c r="AX46" s="538">
        <v>0</v>
      </c>
      <c r="AY46" s="538">
        <v>0</v>
      </c>
      <c r="AZ46" s="816">
        <v>1</v>
      </c>
      <c r="BA46" s="816">
        <v>1</v>
      </c>
      <c r="BB46" s="538">
        <v>0</v>
      </c>
      <c r="BC46" s="538">
        <v>0</v>
      </c>
      <c r="BD46" s="538">
        <v>0</v>
      </c>
      <c r="BE46" s="538">
        <v>0</v>
      </c>
      <c r="BF46" s="538">
        <v>0</v>
      </c>
      <c r="BG46" s="538">
        <v>0</v>
      </c>
      <c r="BH46">
        <f t="shared" si="4"/>
        <v>6</v>
      </c>
    </row>
    <row r="47" spans="1:60" x14ac:dyDescent="0.25">
      <c r="A47" s="217"/>
      <c r="B47" s="813">
        <f t="shared" si="0"/>
        <v>46</v>
      </c>
      <c r="C47" s="99" t="s">
        <v>922</v>
      </c>
      <c r="D47" s="436">
        <f>HLOOKUP(ProjectData!B$13,G$2:BG$125,B47)</f>
        <v>0</v>
      </c>
      <c r="E47" s="816">
        <f t="shared" si="5"/>
        <v>1</v>
      </c>
      <c r="F47" t="str">
        <f>F46</f>
        <v>CA, CO,UT,NV,  TX, NM</v>
      </c>
      <c r="G47" s="538">
        <v>0</v>
      </c>
      <c r="H47" s="538">
        <v>0</v>
      </c>
      <c r="I47" s="538">
        <v>0</v>
      </c>
      <c r="J47" s="538">
        <v>0</v>
      </c>
      <c r="K47" s="816">
        <v>1</v>
      </c>
      <c r="L47" s="816">
        <v>1</v>
      </c>
      <c r="M47" s="538">
        <v>0</v>
      </c>
      <c r="N47" s="538">
        <v>0</v>
      </c>
      <c r="O47" s="538">
        <v>0</v>
      </c>
      <c r="P47" s="538">
        <v>0</v>
      </c>
      <c r="Q47" s="538">
        <v>0</v>
      </c>
      <c r="R47" s="538">
        <v>0</v>
      </c>
      <c r="S47" s="538">
        <v>0</v>
      </c>
      <c r="T47" s="538">
        <v>0</v>
      </c>
      <c r="U47" s="538">
        <v>0</v>
      </c>
      <c r="V47" s="538">
        <v>0</v>
      </c>
      <c r="W47" s="538">
        <v>0</v>
      </c>
      <c r="X47" s="538">
        <v>0</v>
      </c>
      <c r="Y47" s="538">
        <v>0</v>
      </c>
      <c r="Z47" s="538">
        <v>0</v>
      </c>
      <c r="AA47" s="538">
        <v>0</v>
      </c>
      <c r="AB47" s="538">
        <v>0</v>
      </c>
      <c r="AC47" s="538">
        <v>0</v>
      </c>
      <c r="AD47" s="538">
        <v>0</v>
      </c>
      <c r="AE47" s="538">
        <v>0</v>
      </c>
      <c r="AF47" s="538">
        <v>0</v>
      </c>
      <c r="AG47" s="538">
        <v>0</v>
      </c>
      <c r="AH47" s="538">
        <v>0</v>
      </c>
      <c r="AI47" s="538">
        <v>0</v>
      </c>
      <c r="AJ47" s="538">
        <v>0</v>
      </c>
      <c r="AK47" s="816">
        <v>1</v>
      </c>
      <c r="AL47" s="538">
        <v>0</v>
      </c>
      <c r="AM47" s="538">
        <v>0</v>
      </c>
      <c r="AN47" s="816">
        <v>1</v>
      </c>
      <c r="AO47" s="538">
        <v>0</v>
      </c>
      <c r="AP47" s="538">
        <v>0</v>
      </c>
      <c r="AQ47" s="538">
        <v>0</v>
      </c>
      <c r="AR47" s="538">
        <v>0</v>
      </c>
      <c r="AS47" s="538">
        <v>0</v>
      </c>
      <c r="AT47" s="538">
        <v>0</v>
      </c>
      <c r="AU47" s="538">
        <v>0</v>
      </c>
      <c r="AV47" s="538">
        <v>0</v>
      </c>
      <c r="AW47" s="538">
        <v>0</v>
      </c>
      <c r="AX47" s="538">
        <v>0</v>
      </c>
      <c r="AY47" s="538">
        <v>0</v>
      </c>
      <c r="AZ47" s="816">
        <v>1</v>
      </c>
      <c r="BA47" s="816">
        <v>1</v>
      </c>
      <c r="BB47" s="538">
        <v>0</v>
      </c>
      <c r="BC47" s="538">
        <v>0</v>
      </c>
      <c r="BD47" s="538">
        <v>0</v>
      </c>
      <c r="BE47" s="538">
        <v>0</v>
      </c>
      <c r="BF47" s="538">
        <v>0</v>
      </c>
      <c r="BG47" s="538">
        <v>0</v>
      </c>
      <c r="BH47">
        <f t="shared" si="4"/>
        <v>6</v>
      </c>
    </row>
    <row r="48" spans="1:60" x14ac:dyDescent="0.25">
      <c r="A48" s="217"/>
      <c r="B48" s="813">
        <f t="shared" si="0"/>
        <v>47</v>
      </c>
      <c r="C48" s="99" t="s">
        <v>98</v>
      </c>
      <c r="D48" s="99"/>
      <c r="G48" s="538">
        <v>0</v>
      </c>
      <c r="H48" s="538">
        <v>0</v>
      </c>
      <c r="I48" s="538">
        <v>0</v>
      </c>
      <c r="J48" s="538">
        <v>0</v>
      </c>
      <c r="K48" s="538">
        <v>0</v>
      </c>
      <c r="L48" s="538">
        <v>0</v>
      </c>
      <c r="M48" s="538">
        <v>0</v>
      </c>
      <c r="N48" s="538">
        <v>0</v>
      </c>
      <c r="O48" s="538">
        <v>0</v>
      </c>
      <c r="P48" s="538">
        <v>0</v>
      </c>
      <c r="Q48" s="538">
        <v>0</v>
      </c>
      <c r="R48" s="538">
        <v>0</v>
      </c>
      <c r="S48" s="538">
        <v>0</v>
      </c>
      <c r="T48" s="538">
        <v>0</v>
      </c>
      <c r="U48" s="538">
        <v>0</v>
      </c>
      <c r="V48" s="538">
        <v>0</v>
      </c>
      <c r="W48" s="538">
        <v>0</v>
      </c>
      <c r="X48" s="538">
        <v>0</v>
      </c>
      <c r="Y48" s="538">
        <v>0</v>
      </c>
      <c r="Z48" s="538">
        <v>0</v>
      </c>
      <c r="AA48" s="538">
        <v>0</v>
      </c>
      <c r="AB48" s="538">
        <v>0</v>
      </c>
      <c r="AC48" s="538">
        <v>0</v>
      </c>
      <c r="AD48" s="538">
        <v>0</v>
      </c>
      <c r="AE48" s="538">
        <v>0</v>
      </c>
      <c r="AF48" s="538">
        <v>0</v>
      </c>
      <c r="AG48" s="538">
        <v>0</v>
      </c>
      <c r="AH48" s="538">
        <v>0</v>
      </c>
      <c r="AI48" s="538">
        <v>0</v>
      </c>
      <c r="AJ48" s="538">
        <v>0</v>
      </c>
      <c r="AK48" s="538">
        <v>0</v>
      </c>
      <c r="AL48" s="538">
        <v>0</v>
      </c>
      <c r="AM48" s="538">
        <v>0</v>
      </c>
      <c r="AN48" s="538">
        <v>0</v>
      </c>
      <c r="AO48" s="538">
        <v>0</v>
      </c>
      <c r="AP48" s="538">
        <v>0</v>
      </c>
      <c r="AQ48" s="538">
        <v>0</v>
      </c>
      <c r="AR48" s="538">
        <v>0</v>
      </c>
      <c r="AS48" s="538">
        <v>0</v>
      </c>
      <c r="AT48" s="538">
        <v>0</v>
      </c>
      <c r="AU48" s="538">
        <v>0</v>
      </c>
      <c r="AV48" s="538">
        <v>0</v>
      </c>
      <c r="AW48" s="538">
        <v>0</v>
      </c>
      <c r="AX48" s="538">
        <v>0</v>
      </c>
      <c r="AY48" s="538">
        <v>0</v>
      </c>
      <c r="AZ48" s="538">
        <v>0</v>
      </c>
      <c r="BA48" s="538">
        <v>0</v>
      </c>
      <c r="BB48" s="538">
        <v>0</v>
      </c>
      <c r="BC48" s="538">
        <v>0</v>
      </c>
      <c r="BD48" s="538">
        <v>0</v>
      </c>
      <c r="BE48" s="538">
        <v>0</v>
      </c>
      <c r="BF48" s="538">
        <v>0</v>
      </c>
      <c r="BG48" s="538">
        <v>0</v>
      </c>
      <c r="BH48">
        <f t="shared" si="4"/>
        <v>0</v>
      </c>
    </row>
    <row r="49" spans="1:60" x14ac:dyDescent="0.25">
      <c r="A49" s="217"/>
      <c r="B49" s="813">
        <f t="shared" si="0"/>
        <v>48</v>
      </c>
      <c r="C49" s="99" t="s">
        <v>334</v>
      </c>
      <c r="D49" s="436">
        <f>HLOOKUP(ProjectData!B$13,G$2:BG$125,B49)</f>
        <v>1</v>
      </c>
      <c r="E49" s="817">
        <f>E28</f>
        <v>1</v>
      </c>
      <c r="G49" s="817">
        <v>1</v>
      </c>
      <c r="H49" s="817">
        <v>1</v>
      </c>
      <c r="I49" s="817">
        <v>1</v>
      </c>
      <c r="J49" s="817">
        <v>1</v>
      </c>
      <c r="K49" s="817">
        <v>1</v>
      </c>
      <c r="L49" s="817">
        <v>1</v>
      </c>
      <c r="M49" s="817">
        <v>1</v>
      </c>
      <c r="N49" s="817">
        <v>1</v>
      </c>
      <c r="O49" s="817">
        <v>1</v>
      </c>
      <c r="P49" s="817">
        <v>1</v>
      </c>
      <c r="Q49" s="817">
        <v>1</v>
      </c>
      <c r="R49" s="817">
        <v>1</v>
      </c>
      <c r="S49" s="817">
        <v>1</v>
      </c>
      <c r="T49" s="817">
        <v>1</v>
      </c>
      <c r="U49" s="817">
        <v>1</v>
      </c>
      <c r="V49" s="817">
        <v>1</v>
      </c>
      <c r="W49" s="817">
        <v>1</v>
      </c>
      <c r="X49" s="817">
        <v>1</v>
      </c>
      <c r="Y49" s="817">
        <v>1</v>
      </c>
      <c r="Z49" s="817">
        <v>1</v>
      </c>
      <c r="AA49" s="817">
        <v>1</v>
      </c>
      <c r="AB49" s="817">
        <v>1</v>
      </c>
      <c r="AC49" s="817">
        <v>1</v>
      </c>
      <c r="AD49" s="817">
        <v>1</v>
      </c>
      <c r="AE49" s="817">
        <v>1</v>
      </c>
      <c r="AF49" s="817">
        <v>1</v>
      </c>
      <c r="AG49" s="817">
        <v>1</v>
      </c>
      <c r="AH49" s="817">
        <v>1</v>
      </c>
      <c r="AI49" s="817">
        <v>1</v>
      </c>
      <c r="AJ49" s="817">
        <v>1</v>
      </c>
      <c r="AK49" s="817">
        <v>1</v>
      </c>
      <c r="AL49" s="817">
        <v>1</v>
      </c>
      <c r="AM49" s="817">
        <v>1</v>
      </c>
      <c r="AN49" s="817">
        <v>1</v>
      </c>
      <c r="AO49" s="817">
        <v>1</v>
      </c>
      <c r="AP49" s="817">
        <v>1</v>
      </c>
      <c r="AQ49" s="817">
        <v>1</v>
      </c>
      <c r="AR49" s="817">
        <v>1</v>
      </c>
      <c r="AS49" s="817">
        <v>1</v>
      </c>
      <c r="AT49" s="817">
        <v>1</v>
      </c>
      <c r="AU49" s="817">
        <v>1</v>
      </c>
      <c r="AV49" s="817">
        <v>1</v>
      </c>
      <c r="AW49" s="817">
        <v>1</v>
      </c>
      <c r="AX49" s="817">
        <v>1</v>
      </c>
      <c r="AY49" s="817">
        <v>1</v>
      </c>
      <c r="AZ49" s="817">
        <v>1</v>
      </c>
      <c r="BA49" s="817">
        <v>1</v>
      </c>
      <c r="BB49" s="817">
        <v>1</v>
      </c>
      <c r="BC49" s="817">
        <v>1</v>
      </c>
      <c r="BD49" s="817">
        <v>1</v>
      </c>
      <c r="BE49" s="817">
        <v>1</v>
      </c>
      <c r="BF49" s="817">
        <v>1</v>
      </c>
      <c r="BG49" s="817">
        <v>1</v>
      </c>
      <c r="BH49">
        <f t="shared" si="4"/>
        <v>53</v>
      </c>
    </row>
    <row r="50" spans="1:60" x14ac:dyDescent="0.25">
      <c r="A50" s="217"/>
      <c r="B50" s="813">
        <f t="shared" si="0"/>
        <v>49</v>
      </c>
      <c r="C50" s="99" t="s">
        <v>389</v>
      </c>
      <c r="D50" s="436">
        <f>HLOOKUP(ProjectData!B$13,G$2:BG$125,B50)</f>
        <v>1</v>
      </c>
      <c r="E50" s="817">
        <f>E29</f>
        <v>1</v>
      </c>
      <c r="G50" s="817">
        <v>1</v>
      </c>
      <c r="H50" s="817">
        <v>1</v>
      </c>
      <c r="I50" s="817">
        <v>1</v>
      </c>
      <c r="J50" s="817">
        <v>1</v>
      </c>
      <c r="K50" s="817">
        <v>1</v>
      </c>
      <c r="L50" s="817">
        <v>1</v>
      </c>
      <c r="M50" s="817">
        <v>1</v>
      </c>
      <c r="N50" s="817">
        <v>1</v>
      </c>
      <c r="O50" s="817">
        <v>1</v>
      </c>
      <c r="P50" s="817">
        <v>1</v>
      </c>
      <c r="Q50" s="817">
        <v>1</v>
      </c>
      <c r="R50" s="817">
        <v>1</v>
      </c>
      <c r="S50" s="817">
        <v>1</v>
      </c>
      <c r="T50" s="817">
        <v>1</v>
      </c>
      <c r="U50" s="817">
        <v>1</v>
      </c>
      <c r="V50" s="817">
        <v>1</v>
      </c>
      <c r="W50" s="817">
        <v>1</v>
      </c>
      <c r="X50" s="817">
        <v>1</v>
      </c>
      <c r="Y50" s="817">
        <v>1</v>
      </c>
      <c r="Z50" s="817">
        <v>1</v>
      </c>
      <c r="AA50" s="817">
        <v>1</v>
      </c>
      <c r="AB50" s="817">
        <v>1</v>
      </c>
      <c r="AC50" s="817">
        <v>1</v>
      </c>
      <c r="AD50" s="817">
        <v>1</v>
      </c>
      <c r="AE50" s="817">
        <v>1</v>
      </c>
      <c r="AF50" s="817">
        <v>1</v>
      </c>
      <c r="AG50" s="817">
        <v>1</v>
      </c>
      <c r="AH50" s="817">
        <v>1</v>
      </c>
      <c r="AI50" s="817">
        <v>1</v>
      </c>
      <c r="AJ50" s="817">
        <v>1</v>
      </c>
      <c r="AK50" s="817">
        <v>1</v>
      </c>
      <c r="AL50" s="817">
        <v>1</v>
      </c>
      <c r="AM50" s="817">
        <v>1</v>
      </c>
      <c r="AN50" s="817">
        <v>1</v>
      </c>
      <c r="AO50" s="817">
        <v>1</v>
      </c>
      <c r="AP50" s="817">
        <v>1</v>
      </c>
      <c r="AQ50" s="817">
        <v>1</v>
      </c>
      <c r="AR50" s="817">
        <v>1</v>
      </c>
      <c r="AS50" s="817">
        <v>1</v>
      </c>
      <c r="AT50" s="817">
        <v>1</v>
      </c>
      <c r="AU50" s="817">
        <v>1</v>
      </c>
      <c r="AV50" s="817">
        <v>1</v>
      </c>
      <c r="AW50" s="817">
        <v>1</v>
      </c>
      <c r="AX50" s="817">
        <v>1</v>
      </c>
      <c r="AY50" s="817">
        <v>1</v>
      </c>
      <c r="AZ50" s="817">
        <v>1</v>
      </c>
      <c r="BA50" s="817">
        <v>1</v>
      </c>
      <c r="BB50" s="817">
        <v>1</v>
      </c>
      <c r="BC50" s="817">
        <v>1</v>
      </c>
      <c r="BD50" s="817">
        <v>1</v>
      </c>
      <c r="BE50" s="817">
        <v>1</v>
      </c>
      <c r="BF50" s="817">
        <v>1</v>
      </c>
      <c r="BG50" s="817">
        <v>1</v>
      </c>
      <c r="BH50">
        <f t="shared" si="4"/>
        <v>53</v>
      </c>
    </row>
    <row r="51" spans="1:60" x14ac:dyDescent="0.25">
      <c r="A51" s="217"/>
      <c r="B51" s="813">
        <f t="shared" si="0"/>
        <v>50</v>
      </c>
      <c r="C51" s="99" t="s">
        <v>335</v>
      </c>
      <c r="D51" s="436">
        <f>HLOOKUP(ProjectData!B$13,G$2:BG$125,B51)</f>
        <v>0</v>
      </c>
      <c r="E51" s="499" t="str">
        <f t="shared" ref="E51:E56" si="6">E30</f>
        <v>?</v>
      </c>
      <c r="G51" s="538">
        <v>0</v>
      </c>
      <c r="H51" s="538">
        <v>0</v>
      </c>
      <c r="I51" s="538">
        <v>0</v>
      </c>
      <c r="J51" s="538">
        <v>0</v>
      </c>
      <c r="K51" s="538">
        <v>0</v>
      </c>
      <c r="L51" s="538">
        <v>0</v>
      </c>
      <c r="M51" s="538">
        <v>0</v>
      </c>
      <c r="N51" s="538">
        <v>0</v>
      </c>
      <c r="O51" s="538">
        <v>0</v>
      </c>
      <c r="P51" s="538">
        <v>0</v>
      </c>
      <c r="Q51" s="538">
        <v>0</v>
      </c>
      <c r="R51" s="538">
        <v>0</v>
      </c>
      <c r="S51" s="538">
        <v>0</v>
      </c>
      <c r="T51" s="538">
        <v>0</v>
      </c>
      <c r="U51" s="538">
        <v>0</v>
      </c>
      <c r="V51" s="538">
        <v>0</v>
      </c>
      <c r="W51" s="538">
        <v>0</v>
      </c>
      <c r="X51" s="538">
        <v>0</v>
      </c>
      <c r="Y51" s="538">
        <v>0</v>
      </c>
      <c r="Z51" s="538">
        <v>0</v>
      </c>
      <c r="AA51" s="538">
        <v>0</v>
      </c>
      <c r="AB51" s="538">
        <v>0</v>
      </c>
      <c r="AC51" s="538">
        <v>0</v>
      </c>
      <c r="AD51" s="538">
        <v>0</v>
      </c>
      <c r="AE51" s="538">
        <v>0</v>
      </c>
      <c r="AF51" s="538">
        <v>0</v>
      </c>
      <c r="AG51" s="538">
        <v>0</v>
      </c>
      <c r="AH51" s="538">
        <v>0</v>
      </c>
      <c r="AI51" s="538">
        <v>0</v>
      </c>
      <c r="AJ51" s="538">
        <v>0</v>
      </c>
      <c r="AK51" s="538">
        <v>0</v>
      </c>
      <c r="AL51" s="538">
        <v>0</v>
      </c>
      <c r="AM51" s="538">
        <v>0</v>
      </c>
      <c r="AN51" s="538">
        <v>0</v>
      </c>
      <c r="AO51" s="538">
        <v>0</v>
      </c>
      <c r="AP51" s="538">
        <v>0</v>
      </c>
      <c r="AQ51" s="538">
        <v>0</v>
      </c>
      <c r="AR51" s="538">
        <v>0</v>
      </c>
      <c r="AS51" s="538">
        <v>0</v>
      </c>
      <c r="AT51" s="538">
        <v>0</v>
      </c>
      <c r="AU51" s="538">
        <v>0</v>
      </c>
      <c r="AV51" s="538">
        <v>0</v>
      </c>
      <c r="AW51" s="538">
        <v>0</v>
      </c>
      <c r="AX51" s="538">
        <v>0</v>
      </c>
      <c r="AY51" s="538">
        <v>0</v>
      </c>
      <c r="AZ51" s="538">
        <v>0</v>
      </c>
      <c r="BA51" s="538">
        <v>0</v>
      </c>
      <c r="BB51" s="538">
        <v>0</v>
      </c>
      <c r="BC51" s="538">
        <v>0</v>
      </c>
      <c r="BD51" s="538">
        <v>0</v>
      </c>
      <c r="BE51" s="538">
        <v>0</v>
      </c>
      <c r="BF51" s="538">
        <v>0</v>
      </c>
      <c r="BG51" s="538">
        <v>0</v>
      </c>
      <c r="BH51">
        <f t="shared" si="4"/>
        <v>0</v>
      </c>
    </row>
    <row r="52" spans="1:60" x14ac:dyDescent="0.25">
      <c r="A52" s="217"/>
      <c r="B52" s="813">
        <f t="shared" si="0"/>
        <v>51</v>
      </c>
      <c r="C52" s="99" t="s">
        <v>338</v>
      </c>
      <c r="D52" s="436">
        <f>HLOOKUP(ProjectData!B$13,G$2:BG$125,B52)</f>
        <v>0</v>
      </c>
      <c r="E52" s="499" t="str">
        <f t="shared" si="6"/>
        <v>?</v>
      </c>
      <c r="G52" s="538">
        <v>0</v>
      </c>
      <c r="H52" s="538">
        <v>0</v>
      </c>
      <c r="I52" s="538">
        <v>0</v>
      </c>
      <c r="J52" s="538">
        <v>0</v>
      </c>
      <c r="K52" s="538">
        <v>0</v>
      </c>
      <c r="L52" s="538">
        <v>0</v>
      </c>
      <c r="M52" s="538">
        <v>0</v>
      </c>
      <c r="N52" s="538">
        <v>0</v>
      </c>
      <c r="O52" s="538">
        <v>0</v>
      </c>
      <c r="P52" s="538">
        <v>0</v>
      </c>
      <c r="Q52" s="538">
        <v>0</v>
      </c>
      <c r="R52" s="538">
        <v>0</v>
      </c>
      <c r="S52" s="538">
        <v>0</v>
      </c>
      <c r="T52" s="538">
        <v>0</v>
      </c>
      <c r="U52" s="538">
        <v>0</v>
      </c>
      <c r="V52" s="538">
        <v>0</v>
      </c>
      <c r="W52" s="538">
        <v>0</v>
      </c>
      <c r="X52" s="538">
        <v>0</v>
      </c>
      <c r="Y52" s="538">
        <v>0</v>
      </c>
      <c r="Z52" s="538">
        <v>0</v>
      </c>
      <c r="AA52" s="538">
        <v>0</v>
      </c>
      <c r="AB52" s="538">
        <v>0</v>
      </c>
      <c r="AC52" s="538">
        <v>0</v>
      </c>
      <c r="AD52" s="538">
        <v>0</v>
      </c>
      <c r="AE52" s="538">
        <v>0</v>
      </c>
      <c r="AF52" s="538">
        <v>0</v>
      </c>
      <c r="AG52" s="538">
        <v>0</v>
      </c>
      <c r="AH52" s="538">
        <v>0</v>
      </c>
      <c r="AI52" s="538">
        <v>0</v>
      </c>
      <c r="AJ52" s="538">
        <v>0</v>
      </c>
      <c r="AK52" s="538">
        <v>0</v>
      </c>
      <c r="AL52" s="538">
        <v>0</v>
      </c>
      <c r="AM52" s="538">
        <v>0</v>
      </c>
      <c r="AN52" s="538">
        <v>0</v>
      </c>
      <c r="AO52" s="538">
        <v>0</v>
      </c>
      <c r="AP52" s="538">
        <v>0</v>
      </c>
      <c r="AQ52" s="538">
        <v>0</v>
      </c>
      <c r="AR52" s="538">
        <v>0</v>
      </c>
      <c r="AS52" s="538">
        <v>0</v>
      </c>
      <c r="AT52" s="538">
        <v>0</v>
      </c>
      <c r="AU52" s="538">
        <v>0</v>
      </c>
      <c r="AV52" s="538">
        <v>0</v>
      </c>
      <c r="AW52" s="538">
        <v>0</v>
      </c>
      <c r="AX52" s="538">
        <v>0</v>
      </c>
      <c r="AY52" s="538">
        <v>0</v>
      </c>
      <c r="AZ52" s="538">
        <v>0</v>
      </c>
      <c r="BA52" s="538">
        <v>0</v>
      </c>
      <c r="BB52" s="538">
        <v>0</v>
      </c>
      <c r="BC52" s="538">
        <v>0</v>
      </c>
      <c r="BD52" s="538">
        <v>0</v>
      </c>
      <c r="BE52" s="538">
        <v>0</v>
      </c>
      <c r="BF52" s="538">
        <v>0</v>
      </c>
      <c r="BG52" s="538">
        <v>0</v>
      </c>
      <c r="BH52">
        <f t="shared" si="4"/>
        <v>0</v>
      </c>
    </row>
    <row r="53" spans="1:60" x14ac:dyDescent="0.25">
      <c r="A53" s="217"/>
      <c r="B53" s="813">
        <f t="shared" si="0"/>
        <v>52</v>
      </c>
      <c r="C53" s="99" t="s">
        <v>336</v>
      </c>
      <c r="D53" s="436">
        <f>HLOOKUP(ProjectData!B$13,G$2:BG$125,B53)</f>
        <v>1</v>
      </c>
      <c r="E53" s="817">
        <f t="shared" si="6"/>
        <v>1</v>
      </c>
      <c r="G53" s="817">
        <v>1</v>
      </c>
      <c r="H53" s="817">
        <v>1</v>
      </c>
      <c r="I53" s="817">
        <v>1</v>
      </c>
      <c r="J53" s="817">
        <v>1</v>
      </c>
      <c r="K53" s="817">
        <v>1</v>
      </c>
      <c r="L53" s="817">
        <v>1</v>
      </c>
      <c r="M53" s="817">
        <v>1</v>
      </c>
      <c r="N53" s="817">
        <v>1</v>
      </c>
      <c r="O53" s="817">
        <v>1</v>
      </c>
      <c r="P53" s="817">
        <v>1</v>
      </c>
      <c r="Q53" s="817">
        <v>1</v>
      </c>
      <c r="R53" s="817">
        <v>1</v>
      </c>
      <c r="S53" s="817">
        <v>1</v>
      </c>
      <c r="T53" s="817">
        <v>1</v>
      </c>
      <c r="U53" s="817">
        <v>1</v>
      </c>
      <c r="V53" s="817">
        <v>1</v>
      </c>
      <c r="W53" s="817">
        <v>1</v>
      </c>
      <c r="X53" s="817">
        <v>1</v>
      </c>
      <c r="Y53" s="817">
        <v>1</v>
      </c>
      <c r="Z53" s="817">
        <v>1</v>
      </c>
      <c r="AA53" s="817">
        <v>1</v>
      </c>
      <c r="AB53" s="817">
        <v>1</v>
      </c>
      <c r="AC53" s="817">
        <v>1</v>
      </c>
      <c r="AD53" s="817">
        <v>1</v>
      </c>
      <c r="AE53" s="817">
        <v>1</v>
      </c>
      <c r="AF53" s="817">
        <v>1</v>
      </c>
      <c r="AG53" s="817">
        <v>1</v>
      </c>
      <c r="AH53" s="817">
        <v>1</v>
      </c>
      <c r="AI53" s="817">
        <v>1</v>
      </c>
      <c r="AJ53" s="817">
        <v>1</v>
      </c>
      <c r="AK53" s="817">
        <v>1</v>
      </c>
      <c r="AL53" s="817">
        <v>1</v>
      </c>
      <c r="AM53" s="817">
        <v>1</v>
      </c>
      <c r="AN53" s="817">
        <v>1</v>
      </c>
      <c r="AO53" s="817">
        <v>1</v>
      </c>
      <c r="AP53" s="817">
        <v>1</v>
      </c>
      <c r="AQ53" s="817">
        <v>1</v>
      </c>
      <c r="AR53" s="817">
        <v>1</v>
      </c>
      <c r="AS53" s="817">
        <v>1</v>
      </c>
      <c r="AT53" s="817">
        <v>1</v>
      </c>
      <c r="AU53" s="817">
        <v>1</v>
      </c>
      <c r="AV53" s="817">
        <v>1</v>
      </c>
      <c r="AW53" s="817">
        <v>1</v>
      </c>
      <c r="AX53" s="817">
        <v>1</v>
      </c>
      <c r="AY53" s="817">
        <v>1</v>
      </c>
      <c r="AZ53" s="817">
        <v>1</v>
      </c>
      <c r="BA53" s="817">
        <v>1</v>
      </c>
      <c r="BB53" s="817">
        <v>1</v>
      </c>
      <c r="BC53" s="817">
        <v>1</v>
      </c>
      <c r="BD53" s="817">
        <v>1</v>
      </c>
      <c r="BE53" s="817">
        <v>1</v>
      </c>
      <c r="BF53" s="817">
        <v>1</v>
      </c>
      <c r="BG53" s="817">
        <v>1</v>
      </c>
      <c r="BH53">
        <f t="shared" si="4"/>
        <v>53</v>
      </c>
    </row>
    <row r="54" spans="1:60" x14ac:dyDescent="0.25">
      <c r="B54" s="813">
        <f t="shared" si="0"/>
        <v>53</v>
      </c>
      <c r="C54" s="99" t="s">
        <v>339</v>
      </c>
      <c r="D54" s="436">
        <f>HLOOKUP(ProjectData!B$13,G$2:BG$125,B54)</f>
        <v>1</v>
      </c>
      <c r="E54" s="817">
        <f t="shared" si="6"/>
        <v>1</v>
      </c>
      <c r="G54" s="817">
        <v>1</v>
      </c>
      <c r="H54" s="817">
        <v>1</v>
      </c>
      <c r="I54" s="817">
        <v>1</v>
      </c>
      <c r="J54" s="817">
        <v>1</v>
      </c>
      <c r="K54" s="817">
        <v>1</v>
      </c>
      <c r="L54" s="817">
        <v>1</v>
      </c>
      <c r="M54" s="817">
        <v>1</v>
      </c>
      <c r="N54" s="817">
        <v>1</v>
      </c>
      <c r="O54" s="817">
        <v>1</v>
      </c>
      <c r="P54" s="817">
        <v>1</v>
      </c>
      <c r="Q54" s="817">
        <v>1</v>
      </c>
      <c r="R54" s="817">
        <v>1</v>
      </c>
      <c r="S54" s="817">
        <v>1</v>
      </c>
      <c r="T54" s="817">
        <v>1</v>
      </c>
      <c r="U54" s="817">
        <v>1</v>
      </c>
      <c r="V54" s="817">
        <v>1</v>
      </c>
      <c r="W54" s="817">
        <v>1</v>
      </c>
      <c r="X54" s="817">
        <v>1</v>
      </c>
      <c r="Y54" s="817">
        <v>1</v>
      </c>
      <c r="Z54" s="817">
        <v>1</v>
      </c>
      <c r="AA54" s="817">
        <v>1</v>
      </c>
      <c r="AB54" s="817">
        <v>1</v>
      </c>
      <c r="AC54" s="817">
        <v>1</v>
      </c>
      <c r="AD54" s="817">
        <v>1</v>
      </c>
      <c r="AE54" s="817">
        <v>1</v>
      </c>
      <c r="AF54" s="817">
        <v>1</v>
      </c>
      <c r="AG54" s="817">
        <v>1</v>
      </c>
      <c r="AH54" s="817">
        <v>1</v>
      </c>
      <c r="AI54" s="817">
        <v>1</v>
      </c>
      <c r="AJ54" s="817">
        <v>1</v>
      </c>
      <c r="AK54" s="817">
        <v>1</v>
      </c>
      <c r="AL54" s="817">
        <v>1</v>
      </c>
      <c r="AM54" s="817">
        <v>1</v>
      </c>
      <c r="AN54" s="817">
        <v>1</v>
      </c>
      <c r="AO54" s="817">
        <v>1</v>
      </c>
      <c r="AP54" s="817">
        <v>1</v>
      </c>
      <c r="AQ54" s="817">
        <v>1</v>
      </c>
      <c r="AR54" s="817">
        <v>1</v>
      </c>
      <c r="AS54" s="817">
        <v>1</v>
      </c>
      <c r="AT54" s="817">
        <v>1</v>
      </c>
      <c r="AU54" s="817">
        <v>1</v>
      </c>
      <c r="AV54" s="817">
        <v>1</v>
      </c>
      <c r="AW54" s="817">
        <v>1</v>
      </c>
      <c r="AX54" s="817">
        <v>1</v>
      </c>
      <c r="AY54" s="817">
        <v>1</v>
      </c>
      <c r="AZ54" s="817">
        <v>1</v>
      </c>
      <c r="BA54" s="817">
        <v>1</v>
      </c>
      <c r="BB54" s="817">
        <v>1</v>
      </c>
      <c r="BC54" s="817">
        <v>1</v>
      </c>
      <c r="BD54" s="817">
        <v>1</v>
      </c>
      <c r="BE54" s="817">
        <v>1</v>
      </c>
      <c r="BF54" s="817">
        <v>1</v>
      </c>
      <c r="BG54" s="817">
        <v>1</v>
      </c>
      <c r="BH54">
        <f t="shared" si="4"/>
        <v>53</v>
      </c>
    </row>
    <row r="55" spans="1:60" x14ac:dyDescent="0.25">
      <c r="B55" s="813">
        <f t="shared" si="0"/>
        <v>54</v>
      </c>
      <c r="C55" s="99" t="s">
        <v>29</v>
      </c>
      <c r="D55" s="436">
        <f>HLOOKUP(ProjectData!B$13,G$2:BG$125,B55)</f>
        <v>1</v>
      </c>
      <c r="E55" s="817">
        <f t="shared" si="6"/>
        <v>1</v>
      </c>
      <c r="G55" s="817">
        <v>1</v>
      </c>
      <c r="H55" s="817">
        <v>1</v>
      </c>
      <c r="I55" s="817">
        <v>1</v>
      </c>
      <c r="J55" s="817">
        <v>1</v>
      </c>
      <c r="K55" s="817">
        <v>1</v>
      </c>
      <c r="L55" s="817">
        <v>1</v>
      </c>
      <c r="M55" s="817">
        <v>1</v>
      </c>
      <c r="N55" s="817">
        <v>1</v>
      </c>
      <c r="O55" s="817">
        <v>1</v>
      </c>
      <c r="P55" s="817">
        <v>1</v>
      </c>
      <c r="Q55" s="817">
        <v>1</v>
      </c>
      <c r="R55" s="817">
        <v>1</v>
      </c>
      <c r="S55" s="817">
        <v>1</v>
      </c>
      <c r="T55" s="817">
        <v>1</v>
      </c>
      <c r="U55" s="817">
        <v>1</v>
      </c>
      <c r="V55" s="817">
        <v>1</v>
      </c>
      <c r="W55" s="817">
        <v>1</v>
      </c>
      <c r="X55" s="817">
        <v>1</v>
      </c>
      <c r="Y55" s="817">
        <v>1</v>
      </c>
      <c r="Z55" s="817">
        <v>1</v>
      </c>
      <c r="AA55" s="817">
        <v>1</v>
      </c>
      <c r="AB55" s="817">
        <v>1</v>
      </c>
      <c r="AC55" s="817">
        <v>1</v>
      </c>
      <c r="AD55" s="817">
        <v>1</v>
      </c>
      <c r="AE55" s="817">
        <v>1</v>
      </c>
      <c r="AF55" s="817">
        <v>1</v>
      </c>
      <c r="AG55" s="817">
        <v>1</v>
      </c>
      <c r="AH55" s="817">
        <v>1</v>
      </c>
      <c r="AI55" s="817">
        <v>1</v>
      </c>
      <c r="AJ55" s="817">
        <v>1</v>
      </c>
      <c r="AK55" s="817">
        <v>1</v>
      </c>
      <c r="AL55" s="817">
        <v>1</v>
      </c>
      <c r="AM55" s="817">
        <v>1</v>
      </c>
      <c r="AN55" s="817">
        <v>1</v>
      </c>
      <c r="AO55" s="817">
        <v>1</v>
      </c>
      <c r="AP55" s="817">
        <v>1</v>
      </c>
      <c r="AQ55" s="817">
        <v>1</v>
      </c>
      <c r="AR55" s="817">
        <v>1</v>
      </c>
      <c r="AS55" s="817">
        <v>1</v>
      </c>
      <c r="AT55" s="817">
        <v>1</v>
      </c>
      <c r="AU55" s="817">
        <v>1</v>
      </c>
      <c r="AV55" s="817">
        <v>1</v>
      </c>
      <c r="AW55" s="817">
        <v>1</v>
      </c>
      <c r="AX55" s="817">
        <v>1</v>
      </c>
      <c r="AY55" s="817">
        <v>1</v>
      </c>
      <c r="AZ55" s="817">
        <v>1</v>
      </c>
      <c r="BA55" s="817">
        <v>1</v>
      </c>
      <c r="BB55" s="817">
        <v>1</v>
      </c>
      <c r="BC55" s="817">
        <v>1</v>
      </c>
      <c r="BD55" s="817">
        <v>1</v>
      </c>
      <c r="BE55" s="817">
        <v>1</v>
      </c>
      <c r="BF55" s="817">
        <v>1</v>
      </c>
      <c r="BG55" s="817">
        <v>1</v>
      </c>
      <c r="BH55">
        <f t="shared" si="4"/>
        <v>53</v>
      </c>
    </row>
    <row r="56" spans="1:60" x14ac:dyDescent="0.25">
      <c r="B56" s="813">
        <f t="shared" si="0"/>
        <v>55</v>
      </c>
      <c r="C56" s="99" t="s">
        <v>340</v>
      </c>
      <c r="D56" s="436">
        <f>HLOOKUP(ProjectData!B$13,G$2:BG$125,B56)</f>
        <v>1</v>
      </c>
      <c r="E56" s="817">
        <f t="shared" si="6"/>
        <v>1</v>
      </c>
      <c r="G56" s="817">
        <v>1</v>
      </c>
      <c r="H56" s="817">
        <v>1</v>
      </c>
      <c r="I56" s="817">
        <v>1</v>
      </c>
      <c r="J56" s="817">
        <v>1</v>
      </c>
      <c r="K56" s="817">
        <v>1</v>
      </c>
      <c r="L56" s="817">
        <v>1</v>
      </c>
      <c r="M56" s="817">
        <v>1</v>
      </c>
      <c r="N56" s="817">
        <v>1</v>
      </c>
      <c r="O56" s="817">
        <v>1</v>
      </c>
      <c r="P56" s="817">
        <v>1</v>
      </c>
      <c r="Q56" s="817">
        <v>1</v>
      </c>
      <c r="R56" s="817">
        <v>1</v>
      </c>
      <c r="S56" s="817">
        <v>1</v>
      </c>
      <c r="T56" s="817">
        <v>1</v>
      </c>
      <c r="U56" s="817">
        <v>1</v>
      </c>
      <c r="V56" s="817">
        <v>1</v>
      </c>
      <c r="W56" s="817">
        <v>1</v>
      </c>
      <c r="X56" s="817">
        <v>1</v>
      </c>
      <c r="Y56" s="817">
        <v>1</v>
      </c>
      <c r="Z56" s="817">
        <v>1</v>
      </c>
      <c r="AA56" s="817">
        <v>1</v>
      </c>
      <c r="AB56" s="817">
        <v>1</v>
      </c>
      <c r="AC56" s="817">
        <v>1</v>
      </c>
      <c r="AD56" s="817">
        <v>1</v>
      </c>
      <c r="AE56" s="817">
        <v>1</v>
      </c>
      <c r="AF56" s="817">
        <v>1</v>
      </c>
      <c r="AG56" s="817">
        <v>1</v>
      </c>
      <c r="AH56" s="817">
        <v>1</v>
      </c>
      <c r="AI56" s="817">
        <v>1</v>
      </c>
      <c r="AJ56" s="817">
        <v>1</v>
      </c>
      <c r="AK56" s="817">
        <v>1</v>
      </c>
      <c r="AL56" s="817">
        <v>1</v>
      </c>
      <c r="AM56" s="817">
        <v>1</v>
      </c>
      <c r="AN56" s="817">
        <v>1</v>
      </c>
      <c r="AO56" s="817">
        <v>1</v>
      </c>
      <c r="AP56" s="817">
        <v>1</v>
      </c>
      <c r="AQ56" s="817">
        <v>1</v>
      </c>
      <c r="AR56" s="817">
        <v>1</v>
      </c>
      <c r="AS56" s="817">
        <v>1</v>
      </c>
      <c r="AT56" s="817">
        <v>1</v>
      </c>
      <c r="AU56" s="817">
        <v>1</v>
      </c>
      <c r="AV56" s="817">
        <v>1</v>
      </c>
      <c r="AW56" s="817">
        <v>1</v>
      </c>
      <c r="AX56" s="817">
        <v>1</v>
      </c>
      <c r="AY56" s="817">
        <v>1</v>
      </c>
      <c r="AZ56" s="817">
        <v>1</v>
      </c>
      <c r="BA56" s="817">
        <v>1</v>
      </c>
      <c r="BB56" s="817">
        <v>1</v>
      </c>
      <c r="BC56" s="817">
        <v>1</v>
      </c>
      <c r="BD56" s="817">
        <v>1</v>
      </c>
      <c r="BE56" s="817">
        <v>1</v>
      </c>
      <c r="BF56" s="817">
        <v>1</v>
      </c>
      <c r="BG56" s="817">
        <v>1</v>
      </c>
      <c r="BH56">
        <f t="shared" si="4"/>
        <v>53</v>
      </c>
    </row>
    <row r="57" spans="1:60" ht="15.75" thickBot="1" x14ac:dyDescent="0.3">
      <c r="B57" s="813">
        <f t="shared" si="0"/>
        <v>56</v>
      </c>
      <c r="C57" s="99" t="s">
        <v>473</v>
      </c>
      <c r="D57" s="436">
        <f>HLOOKUP(ProjectData!B$13,G$2:BG$125,B57)</f>
        <v>0</v>
      </c>
      <c r="E57" s="813" t="s">
        <v>1114</v>
      </c>
      <c r="G57" s="538">
        <v>0</v>
      </c>
      <c r="H57" s="538">
        <v>0</v>
      </c>
      <c r="I57" s="538">
        <v>0</v>
      </c>
      <c r="J57" s="538">
        <v>0</v>
      </c>
      <c r="K57" s="538">
        <v>0</v>
      </c>
      <c r="L57" s="538">
        <v>0</v>
      </c>
      <c r="M57" s="538">
        <v>0</v>
      </c>
      <c r="N57" s="538">
        <v>0</v>
      </c>
      <c r="O57" s="538">
        <v>0</v>
      </c>
      <c r="P57" s="538">
        <v>0</v>
      </c>
      <c r="Q57" s="538">
        <v>0</v>
      </c>
      <c r="R57" s="538">
        <v>0</v>
      </c>
      <c r="S57" s="538">
        <v>0</v>
      </c>
      <c r="T57" s="538">
        <v>0</v>
      </c>
      <c r="U57" s="538">
        <v>0</v>
      </c>
      <c r="V57" s="538">
        <v>0</v>
      </c>
      <c r="W57" s="538">
        <v>0</v>
      </c>
      <c r="X57" s="538">
        <v>0</v>
      </c>
      <c r="Y57" s="538">
        <v>0</v>
      </c>
      <c r="Z57" s="538">
        <v>0</v>
      </c>
      <c r="AA57" s="538">
        <v>0</v>
      </c>
      <c r="AB57" s="538">
        <v>0</v>
      </c>
      <c r="AC57" s="538">
        <v>0</v>
      </c>
      <c r="AD57" s="538">
        <v>0</v>
      </c>
      <c r="AE57" s="538">
        <v>0</v>
      </c>
      <c r="AF57" s="538">
        <v>0</v>
      </c>
      <c r="AG57" s="538">
        <v>0</v>
      </c>
      <c r="AH57" s="538">
        <v>0</v>
      </c>
      <c r="AI57" s="538">
        <v>0</v>
      </c>
      <c r="AJ57" s="538">
        <v>0</v>
      </c>
      <c r="AK57" s="538">
        <v>0</v>
      </c>
      <c r="AL57" s="538">
        <v>0</v>
      </c>
      <c r="AM57" s="538">
        <v>0</v>
      </c>
      <c r="AN57" s="538">
        <v>0</v>
      </c>
      <c r="AO57" s="538">
        <v>0</v>
      </c>
      <c r="AP57" s="538">
        <v>0</v>
      </c>
      <c r="AQ57" s="538">
        <v>0</v>
      </c>
      <c r="AR57" s="538">
        <v>0</v>
      </c>
      <c r="AS57" s="538">
        <v>0</v>
      </c>
      <c r="AT57" s="538">
        <v>0</v>
      </c>
      <c r="AU57" s="538">
        <v>0</v>
      </c>
      <c r="AV57" s="538">
        <v>0</v>
      </c>
      <c r="AW57" s="538">
        <v>0</v>
      </c>
      <c r="AX57" s="538">
        <v>0</v>
      </c>
      <c r="AY57" s="538">
        <v>0</v>
      </c>
      <c r="AZ57" s="538">
        <v>0</v>
      </c>
      <c r="BA57" s="538">
        <v>0</v>
      </c>
      <c r="BB57" s="538">
        <v>0</v>
      </c>
      <c r="BC57" s="538">
        <v>0</v>
      </c>
      <c r="BD57" s="538">
        <v>0</v>
      </c>
      <c r="BE57" s="538">
        <v>0</v>
      </c>
      <c r="BF57" s="538">
        <v>0</v>
      </c>
      <c r="BG57" s="538">
        <v>0</v>
      </c>
      <c r="BH57">
        <f t="shared" si="4"/>
        <v>0</v>
      </c>
    </row>
    <row r="58" spans="1:60" x14ac:dyDescent="0.25">
      <c r="B58" s="813">
        <f t="shared" si="0"/>
        <v>57</v>
      </c>
      <c r="C58" s="469" t="s">
        <v>333</v>
      </c>
      <c r="D58" s="389"/>
      <c r="G58" s="538"/>
      <c r="H58" s="538"/>
      <c r="I58" s="538"/>
      <c r="J58" s="538"/>
      <c r="K58" s="538"/>
      <c r="L58" s="538"/>
      <c r="M58" s="538"/>
      <c r="N58" s="538"/>
      <c r="O58" s="538"/>
      <c r="P58" s="538"/>
      <c r="Q58" s="538"/>
      <c r="R58" s="538"/>
      <c r="S58" s="538"/>
      <c r="T58" s="538"/>
      <c r="U58" s="538"/>
      <c r="V58" s="538"/>
      <c r="W58" s="538"/>
      <c r="X58" s="538"/>
      <c r="Y58" s="538"/>
      <c r="Z58" s="538"/>
      <c r="AA58" s="538"/>
      <c r="AB58" s="538"/>
      <c r="AC58" s="538"/>
      <c r="AD58" s="538"/>
      <c r="AE58" s="538"/>
      <c r="AF58" s="538"/>
      <c r="AG58" s="538"/>
      <c r="AH58" s="538"/>
      <c r="AI58" s="538"/>
      <c r="AJ58" s="538"/>
      <c r="AK58" s="538"/>
      <c r="AL58" s="538"/>
      <c r="AM58" s="538"/>
      <c r="AN58" s="538"/>
      <c r="AO58" s="538"/>
      <c r="AP58" s="538"/>
      <c r="AQ58" s="538"/>
      <c r="AR58" s="538"/>
      <c r="AS58" s="538"/>
      <c r="AT58" s="538"/>
      <c r="AU58" s="538"/>
      <c r="AV58" s="538"/>
      <c r="AW58" s="538"/>
      <c r="AX58" s="538"/>
      <c r="AY58" s="538"/>
      <c r="AZ58" s="538"/>
      <c r="BA58" s="538"/>
      <c r="BB58" s="538"/>
      <c r="BC58" s="538"/>
      <c r="BD58" s="538"/>
      <c r="BE58" s="538"/>
      <c r="BF58" s="538"/>
      <c r="BG58" s="538"/>
    </row>
    <row r="59" spans="1:60" x14ac:dyDescent="0.25">
      <c r="B59" s="813">
        <f t="shared" si="0"/>
        <v>58</v>
      </c>
      <c r="C59" s="99"/>
      <c r="D59" s="99"/>
      <c r="G59" s="538"/>
      <c r="H59" s="538"/>
      <c r="I59" s="538"/>
      <c r="J59" s="538"/>
      <c r="K59" s="538"/>
      <c r="L59" s="538"/>
      <c r="M59" s="538"/>
      <c r="N59" s="538"/>
      <c r="O59" s="538"/>
      <c r="P59" s="538"/>
      <c r="Q59" s="538"/>
      <c r="R59" s="538"/>
      <c r="S59" s="538"/>
      <c r="T59" s="538"/>
      <c r="U59" s="538"/>
      <c r="V59" s="538"/>
      <c r="W59" s="538"/>
      <c r="X59" s="538"/>
      <c r="Y59" s="538"/>
      <c r="Z59" s="538"/>
      <c r="AA59" s="538"/>
      <c r="AB59" s="538"/>
      <c r="AC59" s="538"/>
      <c r="AD59" s="538"/>
      <c r="AE59" s="538"/>
      <c r="AF59" s="538"/>
      <c r="AG59" s="538"/>
      <c r="AH59" s="538"/>
      <c r="AI59" s="538"/>
      <c r="AJ59" s="538"/>
      <c r="AK59" s="538"/>
      <c r="AL59" s="538"/>
      <c r="AM59" s="538"/>
      <c r="AN59" s="538"/>
      <c r="AO59" s="538"/>
      <c r="AP59" s="538"/>
      <c r="AQ59" s="538"/>
      <c r="AR59" s="538"/>
      <c r="AS59" s="538"/>
      <c r="AT59" s="538"/>
      <c r="AU59" s="538"/>
      <c r="AV59" s="538"/>
      <c r="AW59" s="538"/>
      <c r="AX59" s="538"/>
      <c r="AY59" s="538"/>
      <c r="AZ59" s="538"/>
      <c r="BA59" s="538"/>
      <c r="BB59" s="538"/>
      <c r="BC59" s="538"/>
      <c r="BD59" s="538"/>
      <c r="BE59" s="538"/>
      <c r="BF59" s="538"/>
      <c r="BG59" s="538"/>
    </row>
    <row r="60" spans="1:60" ht="15.75" x14ac:dyDescent="0.25">
      <c r="B60" s="813">
        <f t="shared" si="0"/>
        <v>59</v>
      </c>
      <c r="C60" s="401" t="s">
        <v>945</v>
      </c>
      <c r="D60" s="401"/>
      <c r="G60" s="538"/>
      <c r="H60" s="538"/>
      <c r="I60" s="538"/>
      <c r="J60" s="538"/>
      <c r="K60" s="538"/>
      <c r="L60" s="538"/>
      <c r="M60" s="538"/>
      <c r="N60" s="538"/>
      <c r="O60" s="538"/>
      <c r="P60" s="538"/>
      <c r="Q60" s="538"/>
      <c r="R60" s="538"/>
      <c r="S60" s="538"/>
      <c r="T60" s="538"/>
      <c r="U60" s="538"/>
      <c r="V60" s="538"/>
      <c r="W60" s="538"/>
      <c r="X60" s="538"/>
      <c r="Y60" s="538"/>
      <c r="Z60" s="538"/>
      <c r="AA60" s="538"/>
      <c r="AB60" s="538"/>
      <c r="AC60" s="538"/>
      <c r="AD60" s="538"/>
      <c r="AE60" s="538"/>
      <c r="AF60" s="538"/>
      <c r="AG60" s="538"/>
      <c r="AH60" s="538"/>
      <c r="AI60" s="538"/>
      <c r="AJ60" s="538"/>
      <c r="AK60" s="538"/>
      <c r="AL60" s="538"/>
      <c r="AM60" s="538"/>
      <c r="AN60" s="538"/>
      <c r="AO60" s="538"/>
      <c r="AP60" s="538"/>
      <c r="AQ60" s="538"/>
      <c r="AR60" s="538"/>
      <c r="AS60" s="538"/>
      <c r="AT60" s="538"/>
      <c r="AU60" s="538"/>
      <c r="AV60" s="538"/>
      <c r="AW60" s="538"/>
      <c r="AX60" s="538"/>
      <c r="AY60" s="538"/>
      <c r="AZ60" s="538"/>
      <c r="BA60" s="538"/>
      <c r="BB60" s="538"/>
      <c r="BC60" s="538"/>
      <c r="BD60" s="538"/>
      <c r="BE60" s="538"/>
      <c r="BF60" s="538"/>
      <c r="BG60" s="538"/>
    </row>
    <row r="61" spans="1:60" x14ac:dyDescent="0.25">
      <c r="B61" s="813">
        <f t="shared" si="0"/>
        <v>60</v>
      </c>
      <c r="C61" s="362" t="s">
        <v>809</v>
      </c>
      <c r="D61" s="362"/>
      <c r="G61" s="538"/>
      <c r="H61" s="538"/>
      <c r="I61" s="538"/>
      <c r="J61" s="538"/>
      <c r="K61" s="538"/>
      <c r="L61" s="538"/>
      <c r="M61" s="538"/>
      <c r="N61" s="538"/>
      <c r="O61" s="538"/>
      <c r="P61" s="538"/>
      <c r="Q61" s="538"/>
      <c r="R61" s="538"/>
      <c r="S61" s="538"/>
      <c r="T61" s="538"/>
      <c r="U61" s="538"/>
      <c r="V61" s="538"/>
      <c r="W61" s="538"/>
      <c r="X61" s="538"/>
      <c r="Y61" s="538"/>
      <c r="Z61" s="538"/>
      <c r="AA61" s="538"/>
      <c r="AB61" s="538"/>
      <c r="AC61" s="538"/>
      <c r="AD61" s="538"/>
      <c r="AE61" s="538"/>
      <c r="AF61" s="538"/>
      <c r="AG61" s="538"/>
      <c r="AH61" s="538"/>
      <c r="AI61" s="538"/>
      <c r="AJ61" s="538"/>
      <c r="AK61" s="538"/>
      <c r="AL61" s="538"/>
      <c r="AM61" s="538"/>
      <c r="AN61" s="538"/>
      <c r="AO61" s="538"/>
      <c r="AP61" s="538"/>
      <c r="AQ61" s="538"/>
      <c r="AR61" s="538"/>
      <c r="AS61" s="538"/>
      <c r="AT61" s="538"/>
      <c r="AU61" s="538"/>
      <c r="AV61" s="538"/>
      <c r="AW61" s="538"/>
      <c r="AX61" s="538"/>
      <c r="AY61" s="538"/>
      <c r="AZ61" s="538"/>
      <c r="BA61" s="538"/>
      <c r="BB61" s="538"/>
      <c r="BC61" s="538"/>
      <c r="BD61" s="538"/>
      <c r="BE61" s="538"/>
      <c r="BF61" s="538"/>
      <c r="BG61" s="538"/>
    </row>
    <row r="62" spans="1:60" x14ac:dyDescent="0.25">
      <c r="B62" s="813">
        <f t="shared" si="0"/>
        <v>61</v>
      </c>
      <c r="C62" s="99" t="s">
        <v>935</v>
      </c>
      <c r="D62" s="436">
        <f>HLOOKUP(ProjectData!B$13,G$2:BG$125,B62)</f>
        <v>1</v>
      </c>
      <c r="E62" s="816">
        <v>1</v>
      </c>
      <c r="F62" t="s">
        <v>1115</v>
      </c>
      <c r="G62" s="538">
        <v>0</v>
      </c>
      <c r="H62" s="538">
        <v>0</v>
      </c>
      <c r="I62" s="538">
        <v>0</v>
      </c>
      <c r="J62" s="538">
        <v>0</v>
      </c>
      <c r="K62" s="816">
        <v>1</v>
      </c>
      <c r="L62" s="816">
        <v>1</v>
      </c>
      <c r="M62" s="538">
        <v>0</v>
      </c>
      <c r="N62" s="538">
        <v>0</v>
      </c>
      <c r="O62" s="538">
        <v>0</v>
      </c>
      <c r="P62" s="538">
        <v>0</v>
      </c>
      <c r="Q62" s="538">
        <v>0</v>
      </c>
      <c r="R62" s="538">
        <v>0</v>
      </c>
      <c r="S62" s="816">
        <v>1</v>
      </c>
      <c r="T62" s="538">
        <v>0</v>
      </c>
      <c r="U62" s="538">
        <v>0</v>
      </c>
      <c r="V62" s="538">
        <v>0</v>
      </c>
      <c r="W62" s="538">
        <v>0</v>
      </c>
      <c r="X62" s="538">
        <v>0</v>
      </c>
      <c r="Y62" s="538">
        <v>0</v>
      </c>
      <c r="Z62" s="538">
        <v>0</v>
      </c>
      <c r="AA62" s="538">
        <v>0</v>
      </c>
      <c r="AB62" s="538">
        <v>0</v>
      </c>
      <c r="AC62" s="538">
        <v>0</v>
      </c>
      <c r="AD62" s="538">
        <v>0</v>
      </c>
      <c r="AE62" s="538">
        <v>0</v>
      </c>
      <c r="AF62" s="538">
        <v>0</v>
      </c>
      <c r="AG62" s="538">
        <v>0</v>
      </c>
      <c r="AH62" s="538">
        <v>0</v>
      </c>
      <c r="AI62" s="538">
        <v>0</v>
      </c>
      <c r="AJ62" s="538">
        <v>0</v>
      </c>
      <c r="AK62" s="816">
        <v>1</v>
      </c>
      <c r="AL62" s="538">
        <v>0</v>
      </c>
      <c r="AM62" s="538">
        <v>0</v>
      </c>
      <c r="AN62" s="816">
        <v>1</v>
      </c>
      <c r="AO62" s="538">
        <v>0</v>
      </c>
      <c r="AP62" s="538">
        <v>0</v>
      </c>
      <c r="AQ62" s="538">
        <v>0</v>
      </c>
      <c r="AR62" s="538">
        <v>0</v>
      </c>
      <c r="AS62" s="538">
        <v>0</v>
      </c>
      <c r="AT62" s="816">
        <v>1</v>
      </c>
      <c r="AU62" s="538">
        <v>0</v>
      </c>
      <c r="AV62" s="538">
        <v>0</v>
      </c>
      <c r="AW62" s="538">
        <v>0</v>
      </c>
      <c r="AX62" s="538">
        <v>0</v>
      </c>
      <c r="AY62" s="538">
        <v>0</v>
      </c>
      <c r="AZ62" s="816">
        <v>1</v>
      </c>
      <c r="BA62" s="816">
        <v>1</v>
      </c>
      <c r="BB62" s="538">
        <v>0</v>
      </c>
      <c r="BC62" s="538">
        <v>0</v>
      </c>
      <c r="BD62" s="538">
        <v>0</v>
      </c>
      <c r="BE62" s="538">
        <v>0</v>
      </c>
      <c r="BF62" s="538">
        <v>0</v>
      </c>
      <c r="BG62" s="538">
        <v>0</v>
      </c>
      <c r="BH62">
        <f t="shared" ref="BH62:BH68" si="7">COUNTIF(G62:BG62,"&gt;0")</f>
        <v>8</v>
      </c>
    </row>
    <row r="63" spans="1:60" x14ac:dyDescent="0.25">
      <c r="B63" s="813">
        <f t="shared" si="0"/>
        <v>62</v>
      </c>
      <c r="C63" s="99" t="s">
        <v>909</v>
      </c>
      <c r="D63" s="436">
        <f>HLOOKUP(ProjectData!B$13,G$2:BG$125,B63)</f>
        <v>1</v>
      </c>
      <c r="E63" s="816">
        <v>1</v>
      </c>
      <c r="F63" t="str">
        <f>F9</f>
        <v>CA, CO,UT,NV, ID, OR, TX, NM</v>
      </c>
      <c r="G63" s="538">
        <v>0</v>
      </c>
      <c r="H63" s="538">
        <v>0</v>
      </c>
      <c r="I63" s="538">
        <v>0</v>
      </c>
      <c r="J63" s="538">
        <v>0</v>
      </c>
      <c r="K63" s="816">
        <v>1</v>
      </c>
      <c r="L63" s="816">
        <v>1</v>
      </c>
      <c r="M63" s="538">
        <v>0</v>
      </c>
      <c r="N63" s="538">
        <v>0</v>
      </c>
      <c r="O63" s="538">
        <v>0</v>
      </c>
      <c r="P63" s="538">
        <v>0</v>
      </c>
      <c r="Q63" s="538">
        <v>0</v>
      </c>
      <c r="R63" s="538">
        <v>0</v>
      </c>
      <c r="S63" s="816">
        <v>1</v>
      </c>
      <c r="T63" s="538">
        <v>0</v>
      </c>
      <c r="U63" s="538">
        <v>0</v>
      </c>
      <c r="V63" s="538">
        <v>0</v>
      </c>
      <c r="W63" s="538">
        <v>0</v>
      </c>
      <c r="X63" s="538">
        <v>0</v>
      </c>
      <c r="Y63" s="538">
        <v>0</v>
      </c>
      <c r="Z63" s="538">
        <v>0</v>
      </c>
      <c r="AA63" s="538">
        <v>0</v>
      </c>
      <c r="AB63" s="538">
        <v>0</v>
      </c>
      <c r="AC63" s="538">
        <v>0</v>
      </c>
      <c r="AD63" s="538">
        <v>0</v>
      </c>
      <c r="AE63" s="538">
        <v>0</v>
      </c>
      <c r="AF63" s="538">
        <v>0</v>
      </c>
      <c r="AG63" s="538">
        <v>0</v>
      </c>
      <c r="AH63" s="538">
        <v>0</v>
      </c>
      <c r="AI63" s="538">
        <v>0</v>
      </c>
      <c r="AJ63" s="538">
        <v>0</v>
      </c>
      <c r="AK63" s="816">
        <v>1</v>
      </c>
      <c r="AL63" s="538">
        <v>0</v>
      </c>
      <c r="AM63" s="538">
        <v>0</v>
      </c>
      <c r="AN63" s="816">
        <v>1</v>
      </c>
      <c r="AO63" s="538">
        <v>0</v>
      </c>
      <c r="AP63" s="538">
        <v>0</v>
      </c>
      <c r="AQ63" s="538">
        <v>0</v>
      </c>
      <c r="AR63" s="538">
        <v>0</v>
      </c>
      <c r="AS63" s="538">
        <v>0</v>
      </c>
      <c r="AT63" s="816">
        <v>1</v>
      </c>
      <c r="AU63" s="538">
        <v>0</v>
      </c>
      <c r="AV63" s="538">
        <v>0</v>
      </c>
      <c r="AW63" s="538">
        <v>0</v>
      </c>
      <c r="AX63" s="538">
        <v>0</v>
      </c>
      <c r="AY63" s="538">
        <v>0</v>
      </c>
      <c r="AZ63" s="816">
        <v>1</v>
      </c>
      <c r="BA63" s="816">
        <v>1</v>
      </c>
      <c r="BB63" s="538">
        <v>0</v>
      </c>
      <c r="BC63" s="538">
        <v>0</v>
      </c>
      <c r="BD63" s="538">
        <v>0</v>
      </c>
      <c r="BE63" s="538">
        <v>0</v>
      </c>
      <c r="BF63" s="538">
        <v>0</v>
      </c>
      <c r="BG63" s="538">
        <v>0</v>
      </c>
      <c r="BH63">
        <f t="shared" si="7"/>
        <v>8</v>
      </c>
    </row>
    <row r="64" spans="1:60" x14ac:dyDescent="0.25">
      <c r="B64" s="813">
        <f t="shared" si="0"/>
        <v>63</v>
      </c>
      <c r="C64" s="99" t="s">
        <v>118</v>
      </c>
      <c r="D64" s="436">
        <f>HLOOKUP(ProjectData!B$13,G$2:BG$125,B64)</f>
        <v>0</v>
      </c>
      <c r="E64" s="816">
        <v>1</v>
      </c>
      <c r="F64" t="str">
        <f>F10</f>
        <v>CA, CO,UT,NV,  TX</v>
      </c>
      <c r="G64" s="538">
        <v>0</v>
      </c>
      <c r="H64" s="538">
        <v>0</v>
      </c>
      <c r="I64" s="538">
        <v>0</v>
      </c>
      <c r="J64" s="538">
        <v>0</v>
      </c>
      <c r="K64" s="816">
        <v>1</v>
      </c>
      <c r="L64" s="816">
        <v>1</v>
      </c>
      <c r="M64" s="538">
        <v>0</v>
      </c>
      <c r="N64" s="538">
        <v>0</v>
      </c>
      <c r="O64" s="538">
        <v>0</v>
      </c>
      <c r="P64" s="538">
        <v>0</v>
      </c>
      <c r="Q64" s="538">
        <v>0</v>
      </c>
      <c r="R64" s="538">
        <v>0</v>
      </c>
      <c r="S64" s="538">
        <v>0</v>
      </c>
      <c r="T64" s="538">
        <v>0</v>
      </c>
      <c r="U64" s="538">
        <v>0</v>
      </c>
      <c r="V64" s="538">
        <v>0</v>
      </c>
      <c r="W64" s="538">
        <v>0</v>
      </c>
      <c r="X64" s="538">
        <v>0</v>
      </c>
      <c r="Y64" s="538">
        <v>0</v>
      </c>
      <c r="Z64" s="538">
        <v>0</v>
      </c>
      <c r="AA64" s="538">
        <v>0</v>
      </c>
      <c r="AB64" s="538">
        <v>0</v>
      </c>
      <c r="AC64" s="538">
        <v>0</v>
      </c>
      <c r="AD64" s="538">
        <v>0</v>
      </c>
      <c r="AE64" s="538">
        <v>0</v>
      </c>
      <c r="AF64" s="538">
        <v>0</v>
      </c>
      <c r="AG64" s="538">
        <v>0</v>
      </c>
      <c r="AH64" s="538">
        <v>0</v>
      </c>
      <c r="AI64" s="538">
        <v>0</v>
      </c>
      <c r="AJ64" s="538">
        <v>0</v>
      </c>
      <c r="AK64" s="816">
        <v>1</v>
      </c>
      <c r="AL64" s="538">
        <v>0</v>
      </c>
      <c r="AM64" s="538">
        <v>0</v>
      </c>
      <c r="AN64" s="538">
        <v>0</v>
      </c>
      <c r="AO64" s="538">
        <v>0</v>
      </c>
      <c r="AP64" s="538">
        <v>0</v>
      </c>
      <c r="AQ64" s="538">
        <v>0</v>
      </c>
      <c r="AR64" s="538">
        <v>0</v>
      </c>
      <c r="AS64" s="538">
        <v>0</v>
      </c>
      <c r="AT64" s="538">
        <v>0</v>
      </c>
      <c r="AU64" s="538">
        <v>0</v>
      </c>
      <c r="AV64" s="538">
        <v>0</v>
      </c>
      <c r="AW64" s="538">
        <v>0</v>
      </c>
      <c r="AX64" s="538">
        <v>0</v>
      </c>
      <c r="AY64" s="538">
        <v>0</v>
      </c>
      <c r="AZ64" s="816">
        <v>1</v>
      </c>
      <c r="BA64" s="816">
        <v>1</v>
      </c>
      <c r="BB64" s="538">
        <v>0</v>
      </c>
      <c r="BC64" s="538">
        <v>0</v>
      </c>
      <c r="BD64" s="538">
        <v>0</v>
      </c>
      <c r="BE64" s="538">
        <v>0</v>
      </c>
      <c r="BF64" s="538">
        <v>0</v>
      </c>
      <c r="BG64" s="538">
        <v>0</v>
      </c>
      <c r="BH64">
        <f t="shared" si="7"/>
        <v>5</v>
      </c>
    </row>
    <row r="65" spans="2:60" x14ac:dyDescent="0.25">
      <c r="B65" s="813">
        <f t="shared" si="0"/>
        <v>64</v>
      </c>
      <c r="C65" s="99" t="s">
        <v>934</v>
      </c>
      <c r="D65" s="436">
        <f>HLOOKUP(ProjectData!B$13,G$2:BG$125,B65)</f>
        <v>0</v>
      </c>
      <c r="E65" s="816">
        <v>1</v>
      </c>
      <c r="F65" t="str">
        <f>F24</f>
        <v>CA, CO,UT,NV,  TX, NM</v>
      </c>
      <c r="G65" s="538">
        <v>0</v>
      </c>
      <c r="H65" s="538">
        <v>0</v>
      </c>
      <c r="I65" s="538">
        <v>0</v>
      </c>
      <c r="J65" s="538">
        <v>0</v>
      </c>
      <c r="K65" s="816">
        <v>1</v>
      </c>
      <c r="L65" s="816">
        <v>1</v>
      </c>
      <c r="M65" s="538">
        <v>0</v>
      </c>
      <c r="N65" s="538">
        <v>0</v>
      </c>
      <c r="O65" s="538">
        <v>0</v>
      </c>
      <c r="P65" s="538">
        <v>0</v>
      </c>
      <c r="Q65" s="538">
        <v>0</v>
      </c>
      <c r="R65" s="538">
        <v>0</v>
      </c>
      <c r="S65" s="538">
        <v>0</v>
      </c>
      <c r="T65" s="538">
        <v>0</v>
      </c>
      <c r="U65" s="538">
        <v>0</v>
      </c>
      <c r="V65" s="538">
        <v>0</v>
      </c>
      <c r="W65" s="538">
        <v>0</v>
      </c>
      <c r="X65" s="538">
        <v>0</v>
      </c>
      <c r="Y65" s="538">
        <v>0</v>
      </c>
      <c r="Z65" s="538">
        <v>0</v>
      </c>
      <c r="AA65" s="538">
        <v>0</v>
      </c>
      <c r="AB65" s="538">
        <v>0</v>
      </c>
      <c r="AC65" s="538">
        <v>0</v>
      </c>
      <c r="AD65" s="538">
        <v>0</v>
      </c>
      <c r="AE65" s="538">
        <v>0</v>
      </c>
      <c r="AF65" s="538">
        <v>0</v>
      </c>
      <c r="AG65" s="538">
        <v>0</v>
      </c>
      <c r="AH65" s="538">
        <v>0</v>
      </c>
      <c r="AI65" s="538">
        <v>0</v>
      </c>
      <c r="AJ65" s="538">
        <v>0</v>
      </c>
      <c r="AK65" s="816">
        <v>1</v>
      </c>
      <c r="AL65" s="538">
        <v>0</v>
      </c>
      <c r="AM65" s="538">
        <v>0</v>
      </c>
      <c r="AN65" s="816">
        <v>1</v>
      </c>
      <c r="AO65" s="538">
        <v>0</v>
      </c>
      <c r="AP65" s="538">
        <v>0</v>
      </c>
      <c r="AQ65" s="538">
        <v>0</v>
      </c>
      <c r="AR65" s="538">
        <v>0</v>
      </c>
      <c r="AS65" s="538">
        <v>0</v>
      </c>
      <c r="AT65" s="538">
        <v>0</v>
      </c>
      <c r="AU65" s="538">
        <v>0</v>
      </c>
      <c r="AV65" s="538">
        <v>0</v>
      </c>
      <c r="AW65" s="538">
        <v>0</v>
      </c>
      <c r="AX65" s="538">
        <v>0</v>
      </c>
      <c r="AY65" s="538">
        <v>0</v>
      </c>
      <c r="AZ65" s="816">
        <v>1</v>
      </c>
      <c r="BA65" s="816">
        <v>1</v>
      </c>
      <c r="BB65" s="538">
        <v>0</v>
      </c>
      <c r="BC65" s="538">
        <v>0</v>
      </c>
      <c r="BD65" s="538">
        <v>0</v>
      </c>
      <c r="BE65" s="538">
        <v>0</v>
      </c>
      <c r="BF65" s="538">
        <v>0</v>
      </c>
      <c r="BG65" s="538">
        <v>0</v>
      </c>
      <c r="BH65">
        <f t="shared" si="7"/>
        <v>6</v>
      </c>
    </row>
    <row r="66" spans="2:60" x14ac:dyDescent="0.25">
      <c r="B66" s="813">
        <f t="shared" si="0"/>
        <v>65</v>
      </c>
      <c r="C66" s="99" t="s">
        <v>922</v>
      </c>
      <c r="D66" s="436">
        <f>HLOOKUP(ProjectData!B$13,G$2:BG$125,B66)</f>
        <v>0</v>
      </c>
      <c r="E66" s="816">
        <v>1</v>
      </c>
      <c r="F66" t="str">
        <f>F25</f>
        <v>CA, CO,UT,NV,  TX, NM</v>
      </c>
      <c r="G66" s="538">
        <v>0</v>
      </c>
      <c r="H66" s="538">
        <v>0</v>
      </c>
      <c r="I66" s="538">
        <v>0</v>
      </c>
      <c r="J66" s="538">
        <v>0</v>
      </c>
      <c r="K66" s="816">
        <v>1</v>
      </c>
      <c r="L66" s="816">
        <v>1</v>
      </c>
      <c r="M66" s="538">
        <v>0</v>
      </c>
      <c r="N66" s="538">
        <v>0</v>
      </c>
      <c r="O66" s="538">
        <v>0</v>
      </c>
      <c r="P66" s="538">
        <v>0</v>
      </c>
      <c r="Q66" s="538">
        <v>0</v>
      </c>
      <c r="R66" s="538">
        <v>0</v>
      </c>
      <c r="S66" s="538">
        <v>0</v>
      </c>
      <c r="T66" s="538">
        <v>0</v>
      </c>
      <c r="U66" s="538">
        <v>0</v>
      </c>
      <c r="V66" s="538">
        <v>0</v>
      </c>
      <c r="W66" s="538">
        <v>0</v>
      </c>
      <c r="X66" s="538">
        <v>0</v>
      </c>
      <c r="Y66" s="538">
        <v>0</v>
      </c>
      <c r="Z66" s="538">
        <v>0</v>
      </c>
      <c r="AA66" s="538">
        <v>0</v>
      </c>
      <c r="AB66" s="538">
        <v>0</v>
      </c>
      <c r="AC66" s="538">
        <v>0</v>
      </c>
      <c r="AD66" s="538">
        <v>0</v>
      </c>
      <c r="AE66" s="538">
        <v>0</v>
      </c>
      <c r="AF66" s="538">
        <v>0</v>
      </c>
      <c r="AG66" s="538">
        <v>0</v>
      </c>
      <c r="AH66" s="538">
        <v>0</v>
      </c>
      <c r="AI66" s="538">
        <v>0</v>
      </c>
      <c r="AJ66" s="538">
        <v>0</v>
      </c>
      <c r="AK66" s="816">
        <v>1</v>
      </c>
      <c r="AL66" s="538">
        <v>0</v>
      </c>
      <c r="AM66" s="538">
        <v>0</v>
      </c>
      <c r="AN66" s="816">
        <v>1</v>
      </c>
      <c r="AO66" s="538">
        <v>0</v>
      </c>
      <c r="AP66" s="538">
        <v>0</v>
      </c>
      <c r="AQ66" s="538">
        <v>0</v>
      </c>
      <c r="AR66" s="538">
        <v>0</v>
      </c>
      <c r="AS66" s="538">
        <v>0</v>
      </c>
      <c r="AT66" s="538">
        <v>0</v>
      </c>
      <c r="AU66" s="538">
        <v>0</v>
      </c>
      <c r="AV66" s="538">
        <v>0</v>
      </c>
      <c r="AW66" s="538">
        <v>0</v>
      </c>
      <c r="AX66" s="538">
        <v>0</v>
      </c>
      <c r="AY66" s="538">
        <v>0</v>
      </c>
      <c r="AZ66" s="816">
        <v>1</v>
      </c>
      <c r="BA66" s="816">
        <v>1</v>
      </c>
      <c r="BB66" s="538">
        <v>0</v>
      </c>
      <c r="BC66" s="538">
        <v>0</v>
      </c>
      <c r="BD66" s="538">
        <v>0</v>
      </c>
      <c r="BE66" s="538">
        <v>0</v>
      </c>
      <c r="BF66" s="538">
        <v>0</v>
      </c>
      <c r="BG66" s="538">
        <v>0</v>
      </c>
      <c r="BH66">
        <f t="shared" si="7"/>
        <v>6</v>
      </c>
    </row>
    <row r="67" spans="2:60" x14ac:dyDescent="0.25">
      <c r="B67" s="813">
        <f t="shared" si="0"/>
        <v>66</v>
      </c>
      <c r="C67" s="99" t="s">
        <v>923</v>
      </c>
      <c r="D67" s="436">
        <f>HLOOKUP(ProjectData!B$13,G$2:BG$125,B67)</f>
        <v>1</v>
      </c>
      <c r="E67" s="817">
        <v>1</v>
      </c>
      <c r="G67" s="817">
        <v>1</v>
      </c>
      <c r="H67" s="817">
        <v>1</v>
      </c>
      <c r="I67" s="817">
        <v>1</v>
      </c>
      <c r="J67" s="817">
        <v>1</v>
      </c>
      <c r="K67" s="817">
        <v>1</v>
      </c>
      <c r="L67" s="817">
        <v>1</v>
      </c>
      <c r="M67" s="817">
        <v>1</v>
      </c>
      <c r="N67" s="817">
        <v>1</v>
      </c>
      <c r="O67" s="817">
        <v>1</v>
      </c>
      <c r="P67" s="817">
        <v>1</v>
      </c>
      <c r="Q67" s="817">
        <v>1</v>
      </c>
      <c r="R67" s="817">
        <v>1</v>
      </c>
      <c r="S67" s="817">
        <v>1</v>
      </c>
      <c r="T67" s="817">
        <v>1</v>
      </c>
      <c r="U67" s="817">
        <v>1</v>
      </c>
      <c r="V67" s="817">
        <v>1</v>
      </c>
      <c r="W67" s="817">
        <v>1</v>
      </c>
      <c r="X67" s="817">
        <v>1</v>
      </c>
      <c r="Y67" s="817">
        <v>1</v>
      </c>
      <c r="Z67" s="817">
        <v>1</v>
      </c>
      <c r="AA67" s="817">
        <v>1</v>
      </c>
      <c r="AB67" s="817">
        <v>1</v>
      </c>
      <c r="AC67" s="817">
        <v>1</v>
      </c>
      <c r="AD67" s="817">
        <v>1</v>
      </c>
      <c r="AE67" s="817">
        <v>1</v>
      </c>
      <c r="AF67" s="817">
        <v>1</v>
      </c>
      <c r="AG67" s="817">
        <v>1</v>
      </c>
      <c r="AH67" s="817">
        <v>1</v>
      </c>
      <c r="AI67" s="817">
        <v>1</v>
      </c>
      <c r="AJ67" s="817">
        <v>1</v>
      </c>
      <c r="AK67" s="817">
        <v>1</v>
      </c>
      <c r="AL67" s="817">
        <v>1</v>
      </c>
      <c r="AM67" s="817">
        <v>1</v>
      </c>
      <c r="AN67" s="817">
        <v>1</v>
      </c>
      <c r="AO67" s="817">
        <v>1</v>
      </c>
      <c r="AP67" s="817">
        <v>1</v>
      </c>
      <c r="AQ67" s="817">
        <v>1</v>
      </c>
      <c r="AR67" s="817">
        <v>1</v>
      </c>
      <c r="AS67" s="817">
        <v>1</v>
      </c>
      <c r="AT67" s="817">
        <v>1</v>
      </c>
      <c r="AU67" s="817">
        <v>1</v>
      </c>
      <c r="AV67" s="817">
        <v>1</v>
      </c>
      <c r="AW67" s="817">
        <v>1</v>
      </c>
      <c r="AX67" s="817">
        <v>1</v>
      </c>
      <c r="AY67" s="817">
        <v>1</v>
      </c>
      <c r="AZ67" s="817">
        <v>1</v>
      </c>
      <c r="BA67" s="817">
        <v>1</v>
      </c>
      <c r="BB67" s="817">
        <v>1</v>
      </c>
      <c r="BC67" s="817">
        <v>1</v>
      </c>
      <c r="BD67" s="817">
        <v>1</v>
      </c>
      <c r="BE67" s="817">
        <v>1</v>
      </c>
      <c r="BF67" s="817">
        <v>1</v>
      </c>
      <c r="BG67" s="817">
        <v>1</v>
      </c>
      <c r="BH67">
        <f t="shared" si="7"/>
        <v>53</v>
      </c>
    </row>
    <row r="68" spans="2:60" x14ac:dyDescent="0.25">
      <c r="B68" s="813">
        <f t="shared" ref="B68:B125" si="8">B67+1</f>
        <v>67</v>
      </c>
      <c r="C68" s="99" t="s">
        <v>29</v>
      </c>
      <c r="D68" s="436">
        <f>HLOOKUP(ProjectData!B$13,G$2:BG$125,B68)</f>
        <v>1</v>
      </c>
      <c r="E68" s="817">
        <v>1</v>
      </c>
      <c r="G68" s="817">
        <v>1</v>
      </c>
      <c r="H68" s="817">
        <v>1</v>
      </c>
      <c r="I68" s="817">
        <v>1</v>
      </c>
      <c r="J68" s="817">
        <v>1</v>
      </c>
      <c r="K68" s="817">
        <v>1</v>
      </c>
      <c r="L68" s="817">
        <v>1</v>
      </c>
      <c r="M68" s="817">
        <v>1</v>
      </c>
      <c r="N68" s="817">
        <v>1</v>
      </c>
      <c r="O68" s="817">
        <v>1</v>
      </c>
      <c r="P68" s="817">
        <v>1</v>
      </c>
      <c r="Q68" s="817">
        <v>1</v>
      </c>
      <c r="R68" s="817">
        <v>1</v>
      </c>
      <c r="S68" s="817">
        <v>1</v>
      </c>
      <c r="T68" s="817">
        <v>1</v>
      </c>
      <c r="U68" s="817">
        <v>1</v>
      </c>
      <c r="V68" s="817">
        <v>1</v>
      </c>
      <c r="W68" s="817">
        <v>1</v>
      </c>
      <c r="X68" s="817">
        <v>1</v>
      </c>
      <c r="Y68" s="817">
        <v>1</v>
      </c>
      <c r="Z68" s="817">
        <v>1</v>
      </c>
      <c r="AA68" s="817">
        <v>1</v>
      </c>
      <c r="AB68" s="817">
        <v>1</v>
      </c>
      <c r="AC68" s="817">
        <v>1</v>
      </c>
      <c r="AD68" s="817">
        <v>1</v>
      </c>
      <c r="AE68" s="817">
        <v>1</v>
      </c>
      <c r="AF68" s="817">
        <v>1</v>
      </c>
      <c r="AG68" s="817">
        <v>1</v>
      </c>
      <c r="AH68" s="817">
        <v>1</v>
      </c>
      <c r="AI68" s="817">
        <v>1</v>
      </c>
      <c r="AJ68" s="817">
        <v>1</v>
      </c>
      <c r="AK68" s="817">
        <v>1</v>
      </c>
      <c r="AL68" s="817">
        <v>1</v>
      </c>
      <c r="AM68" s="817">
        <v>1</v>
      </c>
      <c r="AN68" s="817">
        <v>1</v>
      </c>
      <c r="AO68" s="817">
        <v>1</v>
      </c>
      <c r="AP68" s="817">
        <v>1</v>
      </c>
      <c r="AQ68" s="817">
        <v>1</v>
      </c>
      <c r="AR68" s="817">
        <v>1</v>
      </c>
      <c r="AS68" s="817">
        <v>1</v>
      </c>
      <c r="AT68" s="817">
        <v>1</v>
      </c>
      <c r="AU68" s="817">
        <v>1</v>
      </c>
      <c r="AV68" s="817">
        <v>1</v>
      </c>
      <c r="AW68" s="817">
        <v>1</v>
      </c>
      <c r="AX68" s="817">
        <v>1</v>
      </c>
      <c r="AY68" s="817">
        <v>1</v>
      </c>
      <c r="AZ68" s="817">
        <v>1</v>
      </c>
      <c r="BA68" s="817">
        <v>1</v>
      </c>
      <c r="BB68" s="817">
        <v>1</v>
      </c>
      <c r="BC68" s="817">
        <v>1</v>
      </c>
      <c r="BD68" s="817">
        <v>1</v>
      </c>
      <c r="BE68" s="817">
        <v>1</v>
      </c>
      <c r="BF68" s="817">
        <v>1</v>
      </c>
      <c r="BG68" s="817">
        <v>1</v>
      </c>
      <c r="BH68">
        <f t="shared" si="7"/>
        <v>53</v>
      </c>
    </row>
    <row r="69" spans="2:60" x14ac:dyDescent="0.25">
      <c r="B69" s="813">
        <f t="shared" si="8"/>
        <v>68</v>
      </c>
      <c r="C69" s="358" t="s">
        <v>825</v>
      </c>
      <c r="D69" s="358"/>
      <c r="G69" s="538"/>
      <c r="H69" s="538"/>
      <c r="I69" s="538"/>
      <c r="J69" s="538"/>
      <c r="K69" s="538"/>
      <c r="L69" s="538"/>
      <c r="M69" s="538"/>
      <c r="N69" s="538"/>
      <c r="O69" s="538"/>
      <c r="P69" s="538"/>
      <c r="Q69" s="538"/>
      <c r="R69" s="538"/>
      <c r="S69" s="538"/>
      <c r="T69" s="538"/>
      <c r="U69" s="538"/>
      <c r="V69" s="538"/>
      <c r="W69" s="538"/>
      <c r="X69" s="538"/>
      <c r="Y69" s="538"/>
      <c r="Z69" s="538"/>
      <c r="AA69" s="538"/>
      <c r="AB69" s="538"/>
      <c r="AC69" s="538"/>
      <c r="AD69" s="538"/>
      <c r="AE69" s="538"/>
      <c r="AF69" s="538"/>
      <c r="AG69" s="538"/>
      <c r="AH69" s="538"/>
      <c r="AI69" s="538"/>
      <c r="AJ69" s="538"/>
      <c r="AK69" s="538"/>
      <c r="AL69" s="538"/>
      <c r="AM69" s="538"/>
      <c r="AN69" s="538"/>
      <c r="AO69" s="538"/>
      <c r="AP69" s="538"/>
      <c r="AQ69" s="538"/>
      <c r="AR69" s="538"/>
      <c r="AS69" s="538"/>
      <c r="AT69" s="538"/>
      <c r="AU69" s="538"/>
      <c r="AV69" s="538"/>
      <c r="AW69" s="538"/>
      <c r="AX69" s="538"/>
      <c r="AY69" s="538"/>
      <c r="AZ69" s="538"/>
      <c r="BA69" s="538"/>
      <c r="BB69" s="538"/>
      <c r="BC69" s="538"/>
      <c r="BD69" s="538"/>
      <c r="BE69" s="538"/>
      <c r="BF69" s="538"/>
      <c r="BG69" s="538"/>
    </row>
    <row r="70" spans="2:60" x14ac:dyDescent="0.25">
      <c r="B70" s="813">
        <f t="shared" si="8"/>
        <v>69</v>
      </c>
      <c r="C70" s="389" t="s">
        <v>818</v>
      </c>
      <c r="D70" s="389"/>
      <c r="G70" s="538"/>
      <c r="H70" s="538"/>
      <c r="I70" s="538"/>
      <c r="J70" s="538"/>
      <c r="K70" s="538"/>
      <c r="L70" s="538"/>
      <c r="M70" s="538"/>
      <c r="N70" s="538"/>
      <c r="O70" s="538"/>
      <c r="P70" s="538"/>
      <c r="Q70" s="538"/>
      <c r="R70" s="538"/>
      <c r="S70" s="538"/>
      <c r="T70" s="538"/>
      <c r="U70" s="538"/>
      <c r="V70" s="538"/>
      <c r="W70" s="538"/>
      <c r="X70" s="538"/>
      <c r="Y70" s="538"/>
      <c r="Z70" s="538"/>
      <c r="AA70" s="538"/>
      <c r="AB70" s="538"/>
      <c r="AC70" s="538"/>
      <c r="AD70" s="538"/>
      <c r="AE70" s="538"/>
      <c r="AF70" s="538"/>
      <c r="AG70" s="538"/>
      <c r="AH70" s="538"/>
      <c r="AI70" s="538"/>
      <c r="AJ70" s="538"/>
      <c r="AK70" s="538"/>
      <c r="AL70" s="538"/>
      <c r="AM70" s="538"/>
      <c r="AN70" s="538"/>
      <c r="AO70" s="538"/>
      <c r="AP70" s="538"/>
      <c r="AQ70" s="538"/>
      <c r="AR70" s="538"/>
      <c r="AS70" s="538"/>
      <c r="AT70" s="538"/>
      <c r="AU70" s="538"/>
      <c r="AV70" s="538"/>
      <c r="AW70" s="538"/>
      <c r="AX70" s="538"/>
      <c r="AY70" s="538"/>
      <c r="AZ70" s="538"/>
      <c r="BA70" s="538"/>
      <c r="BB70" s="538"/>
      <c r="BC70" s="538"/>
      <c r="BD70" s="538"/>
      <c r="BE70" s="538"/>
      <c r="BF70" s="538"/>
      <c r="BG70" s="538"/>
    </row>
    <row r="71" spans="2:60" x14ac:dyDescent="0.25">
      <c r="B71" s="813">
        <f t="shared" si="8"/>
        <v>70</v>
      </c>
      <c r="C71" s="99" t="s">
        <v>914</v>
      </c>
      <c r="D71" s="436">
        <f>HLOOKUP(ProjectData!B$13,G$2:BG$125,B71)</f>
        <v>0</v>
      </c>
      <c r="E71" s="816">
        <v>1</v>
      </c>
      <c r="F71" t="s">
        <v>1118</v>
      </c>
      <c r="G71" s="538">
        <v>0</v>
      </c>
      <c r="H71" s="538">
        <v>0</v>
      </c>
      <c r="I71" s="538">
        <v>0</v>
      </c>
      <c r="J71" s="538">
        <v>0</v>
      </c>
      <c r="K71" s="816">
        <v>1</v>
      </c>
      <c r="L71" s="538">
        <v>0</v>
      </c>
      <c r="M71" s="538">
        <v>0</v>
      </c>
      <c r="N71" s="538">
        <v>0</v>
      </c>
      <c r="O71" s="538">
        <v>0</v>
      </c>
      <c r="P71" s="538">
        <v>0</v>
      </c>
      <c r="Q71" s="538">
        <v>0</v>
      </c>
      <c r="R71" s="538">
        <v>0</v>
      </c>
      <c r="S71" s="538">
        <v>0</v>
      </c>
      <c r="T71" s="538">
        <v>0</v>
      </c>
      <c r="U71" s="538">
        <v>0</v>
      </c>
      <c r="V71" s="538">
        <v>0</v>
      </c>
      <c r="W71" s="538">
        <v>0</v>
      </c>
      <c r="X71" s="538">
        <v>0</v>
      </c>
      <c r="Y71" s="538">
        <v>0</v>
      </c>
      <c r="Z71" s="538">
        <v>0</v>
      </c>
      <c r="AA71" s="538">
        <v>0</v>
      </c>
      <c r="AB71" s="538">
        <v>0</v>
      </c>
      <c r="AC71" s="538">
        <v>0</v>
      </c>
      <c r="AD71" s="538">
        <v>0</v>
      </c>
      <c r="AE71" s="538">
        <v>0</v>
      </c>
      <c r="AF71" s="538">
        <v>0</v>
      </c>
      <c r="AG71" s="538">
        <v>0</v>
      </c>
      <c r="AH71" s="538">
        <v>0</v>
      </c>
      <c r="AI71" s="538">
        <v>0</v>
      </c>
      <c r="AJ71" s="538">
        <v>0</v>
      </c>
      <c r="AK71" s="538">
        <v>0</v>
      </c>
      <c r="AL71" s="538">
        <v>0</v>
      </c>
      <c r="AM71" s="538">
        <v>0</v>
      </c>
      <c r="AN71" s="538">
        <v>0</v>
      </c>
      <c r="AO71" s="538">
        <v>0</v>
      </c>
      <c r="AP71" s="538">
        <v>0</v>
      </c>
      <c r="AQ71" s="538">
        <v>0</v>
      </c>
      <c r="AR71" s="538">
        <v>0</v>
      </c>
      <c r="AS71" s="538">
        <v>0</v>
      </c>
      <c r="AT71" s="538">
        <v>0</v>
      </c>
      <c r="AU71" s="538">
        <v>0</v>
      </c>
      <c r="AV71" s="538">
        <v>0</v>
      </c>
      <c r="AW71" s="538">
        <v>0</v>
      </c>
      <c r="AX71" s="538">
        <v>0</v>
      </c>
      <c r="AY71" s="538">
        <v>0</v>
      </c>
      <c r="AZ71" s="816">
        <v>1</v>
      </c>
      <c r="BA71" s="538">
        <v>0</v>
      </c>
      <c r="BB71" s="538">
        <v>0</v>
      </c>
      <c r="BC71" s="538">
        <v>0</v>
      </c>
      <c r="BD71" s="538">
        <v>0</v>
      </c>
      <c r="BE71" s="538">
        <v>0</v>
      </c>
      <c r="BF71" s="538">
        <v>0</v>
      </c>
      <c r="BG71" s="538">
        <v>0</v>
      </c>
      <c r="BH71">
        <f>COUNTIF(G71:BG71,"&gt;0")</f>
        <v>2</v>
      </c>
    </row>
    <row r="72" spans="2:60" x14ac:dyDescent="0.25">
      <c r="B72" s="813">
        <f t="shared" si="8"/>
        <v>71</v>
      </c>
      <c r="C72" s="99" t="s">
        <v>915</v>
      </c>
      <c r="D72" s="436">
        <f>HLOOKUP(ProjectData!B$13,G$2:BG$125,B72)</f>
        <v>1</v>
      </c>
      <c r="E72" s="817">
        <v>1</v>
      </c>
      <c r="G72" s="817">
        <v>1</v>
      </c>
      <c r="H72" s="817">
        <v>1</v>
      </c>
      <c r="I72" s="817">
        <v>1</v>
      </c>
      <c r="J72" s="817">
        <v>1</v>
      </c>
      <c r="K72" s="817">
        <v>1</v>
      </c>
      <c r="L72" s="817">
        <v>1</v>
      </c>
      <c r="M72" s="817">
        <v>1</v>
      </c>
      <c r="N72" s="817">
        <v>1</v>
      </c>
      <c r="O72" s="817">
        <v>1</v>
      </c>
      <c r="P72" s="817">
        <v>1</v>
      </c>
      <c r="Q72" s="817">
        <v>1</v>
      </c>
      <c r="R72" s="817">
        <v>1</v>
      </c>
      <c r="S72" s="817">
        <v>1</v>
      </c>
      <c r="T72" s="817">
        <v>1</v>
      </c>
      <c r="U72" s="817">
        <v>1</v>
      </c>
      <c r="V72" s="817">
        <v>1</v>
      </c>
      <c r="W72" s="817">
        <v>1</v>
      </c>
      <c r="X72" s="817">
        <v>1</v>
      </c>
      <c r="Y72" s="817">
        <v>1</v>
      </c>
      <c r="Z72" s="817">
        <v>1</v>
      </c>
      <c r="AA72" s="817">
        <v>1</v>
      </c>
      <c r="AB72" s="817">
        <v>1</v>
      </c>
      <c r="AC72" s="817">
        <v>1</v>
      </c>
      <c r="AD72" s="817">
        <v>1</v>
      </c>
      <c r="AE72" s="817">
        <v>1</v>
      </c>
      <c r="AF72" s="817">
        <v>1</v>
      </c>
      <c r="AG72" s="817">
        <v>1</v>
      </c>
      <c r="AH72" s="817">
        <v>1</v>
      </c>
      <c r="AI72" s="817">
        <v>1</v>
      </c>
      <c r="AJ72" s="817">
        <v>1</v>
      </c>
      <c r="AK72" s="817">
        <v>1</v>
      </c>
      <c r="AL72" s="817">
        <v>1</v>
      </c>
      <c r="AM72" s="817">
        <v>1</v>
      </c>
      <c r="AN72" s="817">
        <v>1</v>
      </c>
      <c r="AO72" s="817">
        <v>1</v>
      </c>
      <c r="AP72" s="817">
        <v>1</v>
      </c>
      <c r="AQ72" s="817">
        <v>1</v>
      </c>
      <c r="AR72" s="817">
        <v>1</v>
      </c>
      <c r="AS72" s="817">
        <v>1</v>
      </c>
      <c r="AT72" s="817">
        <v>1</v>
      </c>
      <c r="AU72" s="817">
        <v>1</v>
      </c>
      <c r="AV72" s="817">
        <v>1</v>
      </c>
      <c r="AW72" s="817">
        <v>1</v>
      </c>
      <c r="AX72" s="817">
        <v>1</v>
      </c>
      <c r="AY72" s="817">
        <v>1</v>
      </c>
      <c r="AZ72" s="817">
        <v>1</v>
      </c>
      <c r="BA72" s="817">
        <v>1</v>
      </c>
      <c r="BB72" s="817">
        <v>1</v>
      </c>
      <c r="BC72" s="817">
        <v>1</v>
      </c>
      <c r="BD72" s="817">
        <v>1</v>
      </c>
      <c r="BE72" s="817">
        <v>1</v>
      </c>
      <c r="BF72" s="817">
        <v>1</v>
      </c>
      <c r="BG72" s="817">
        <v>1</v>
      </c>
      <c r="BH72">
        <f>COUNTIF(G72:BG72,"&gt;0")</f>
        <v>53</v>
      </c>
    </row>
    <row r="73" spans="2:60" x14ac:dyDescent="0.25">
      <c r="B73" s="813">
        <f t="shared" si="8"/>
        <v>72</v>
      </c>
      <c r="C73" s="99" t="s">
        <v>921</v>
      </c>
      <c r="D73" s="436">
        <f>HLOOKUP(ProjectData!B$13,G$2:BG$125,B73)</f>
        <v>1</v>
      </c>
      <c r="E73" s="817">
        <v>1</v>
      </c>
      <c r="G73" s="817">
        <v>1</v>
      </c>
      <c r="H73" s="817">
        <v>1</v>
      </c>
      <c r="I73" s="817">
        <v>1</v>
      </c>
      <c r="J73" s="817">
        <v>1</v>
      </c>
      <c r="K73" s="817">
        <v>1</v>
      </c>
      <c r="L73" s="817">
        <v>1</v>
      </c>
      <c r="M73" s="817">
        <v>1</v>
      </c>
      <c r="N73" s="817">
        <v>1</v>
      </c>
      <c r="O73" s="817">
        <v>1</v>
      </c>
      <c r="P73" s="817">
        <v>1</v>
      </c>
      <c r="Q73" s="817">
        <v>1</v>
      </c>
      <c r="R73" s="817">
        <v>1</v>
      </c>
      <c r="S73" s="817">
        <v>1</v>
      </c>
      <c r="T73" s="817">
        <v>1</v>
      </c>
      <c r="U73" s="817">
        <v>1</v>
      </c>
      <c r="V73" s="817">
        <v>1</v>
      </c>
      <c r="W73" s="817">
        <v>1</v>
      </c>
      <c r="X73" s="817">
        <v>1</v>
      </c>
      <c r="Y73" s="817">
        <v>1</v>
      </c>
      <c r="Z73" s="817">
        <v>1</v>
      </c>
      <c r="AA73" s="817">
        <v>1</v>
      </c>
      <c r="AB73" s="817">
        <v>1</v>
      </c>
      <c r="AC73" s="817">
        <v>1</v>
      </c>
      <c r="AD73" s="817">
        <v>1</v>
      </c>
      <c r="AE73" s="817">
        <v>1</v>
      </c>
      <c r="AF73" s="817">
        <v>1</v>
      </c>
      <c r="AG73" s="817">
        <v>1</v>
      </c>
      <c r="AH73" s="817">
        <v>1</v>
      </c>
      <c r="AI73" s="817">
        <v>1</v>
      </c>
      <c r="AJ73" s="817">
        <v>1</v>
      </c>
      <c r="AK73" s="817">
        <v>1</v>
      </c>
      <c r="AL73" s="817">
        <v>1</v>
      </c>
      <c r="AM73" s="817">
        <v>1</v>
      </c>
      <c r="AN73" s="817">
        <v>1</v>
      </c>
      <c r="AO73" s="817">
        <v>1</v>
      </c>
      <c r="AP73" s="817">
        <v>1</v>
      </c>
      <c r="AQ73" s="817">
        <v>1</v>
      </c>
      <c r="AR73" s="817">
        <v>1</v>
      </c>
      <c r="AS73" s="817">
        <v>1</v>
      </c>
      <c r="AT73" s="817">
        <v>1</v>
      </c>
      <c r="AU73" s="817">
        <v>1</v>
      </c>
      <c r="AV73" s="817">
        <v>1</v>
      </c>
      <c r="AW73" s="817">
        <v>1</v>
      </c>
      <c r="AX73" s="817">
        <v>1</v>
      </c>
      <c r="AY73" s="817">
        <v>1</v>
      </c>
      <c r="AZ73" s="817">
        <v>1</v>
      </c>
      <c r="BA73" s="817">
        <v>1</v>
      </c>
      <c r="BB73" s="817">
        <v>1</v>
      </c>
      <c r="BC73" s="817">
        <v>1</v>
      </c>
      <c r="BD73" s="817">
        <v>1</v>
      </c>
      <c r="BE73" s="817">
        <v>1</v>
      </c>
      <c r="BF73" s="817">
        <v>1</v>
      </c>
      <c r="BG73" s="817">
        <v>1</v>
      </c>
      <c r="BH73">
        <f>COUNTIF(G73:BG73,"&gt;0")</f>
        <v>53</v>
      </c>
    </row>
    <row r="74" spans="2:60" x14ac:dyDescent="0.25">
      <c r="B74" s="813">
        <f t="shared" si="8"/>
        <v>73</v>
      </c>
      <c r="C74" s="99" t="s">
        <v>916</v>
      </c>
      <c r="D74" s="436">
        <f>HLOOKUP(ProjectData!B$13,G$2:BG$125,B74)</f>
        <v>0</v>
      </c>
      <c r="E74" s="816">
        <v>1</v>
      </c>
      <c r="F74" t="s">
        <v>1119</v>
      </c>
      <c r="G74" s="538">
        <v>0</v>
      </c>
      <c r="H74" s="538">
        <v>0</v>
      </c>
      <c r="I74" s="538">
        <v>0</v>
      </c>
      <c r="J74" s="538">
        <v>0</v>
      </c>
      <c r="K74" s="816">
        <v>1</v>
      </c>
      <c r="L74" s="816">
        <v>1</v>
      </c>
      <c r="M74" s="538">
        <v>0</v>
      </c>
      <c r="N74" s="538">
        <v>0</v>
      </c>
      <c r="O74" s="538">
        <v>0</v>
      </c>
      <c r="P74" s="538">
        <v>0</v>
      </c>
      <c r="Q74" s="538">
        <v>0</v>
      </c>
      <c r="R74" s="538">
        <v>0</v>
      </c>
      <c r="S74" s="538">
        <v>0</v>
      </c>
      <c r="T74" s="538">
        <v>0</v>
      </c>
      <c r="U74" s="538">
        <v>0</v>
      </c>
      <c r="V74" s="538">
        <v>0</v>
      </c>
      <c r="W74" s="538">
        <v>0</v>
      </c>
      <c r="X74" s="538">
        <v>0</v>
      </c>
      <c r="Y74" s="538">
        <v>0</v>
      </c>
      <c r="Z74" s="538">
        <v>0</v>
      </c>
      <c r="AA74" s="538">
        <v>0</v>
      </c>
      <c r="AB74" s="538">
        <v>0</v>
      </c>
      <c r="AC74" s="538">
        <v>0</v>
      </c>
      <c r="AD74" s="538">
        <v>0</v>
      </c>
      <c r="AE74" s="538">
        <v>0</v>
      </c>
      <c r="AF74" s="538">
        <v>0</v>
      </c>
      <c r="AG74" s="538">
        <v>0</v>
      </c>
      <c r="AH74" s="538">
        <v>0</v>
      </c>
      <c r="AI74" s="538">
        <v>0</v>
      </c>
      <c r="AJ74" s="538">
        <v>0</v>
      </c>
      <c r="AK74" s="538">
        <v>0</v>
      </c>
      <c r="AL74" s="538">
        <v>0</v>
      </c>
      <c r="AM74" s="538">
        <v>0</v>
      </c>
      <c r="AN74" s="538">
        <v>0</v>
      </c>
      <c r="AO74" s="538">
        <v>0</v>
      </c>
      <c r="AP74" s="538">
        <v>0</v>
      </c>
      <c r="AQ74" s="538">
        <v>0</v>
      </c>
      <c r="AR74" s="538">
        <v>0</v>
      </c>
      <c r="AS74" s="538">
        <v>0</v>
      </c>
      <c r="AT74" s="538">
        <v>0</v>
      </c>
      <c r="AU74" s="538">
        <v>0</v>
      </c>
      <c r="AV74" s="538">
        <v>0</v>
      </c>
      <c r="AW74" s="538">
        <v>0</v>
      </c>
      <c r="AX74" s="538">
        <v>0</v>
      </c>
      <c r="AY74" s="538">
        <v>0</v>
      </c>
      <c r="AZ74" s="816">
        <v>1</v>
      </c>
      <c r="BA74" s="538">
        <v>0</v>
      </c>
      <c r="BB74" s="538">
        <v>0</v>
      </c>
      <c r="BC74" s="538">
        <v>0</v>
      </c>
      <c r="BD74" s="538">
        <v>0</v>
      </c>
      <c r="BE74" s="538">
        <v>0</v>
      </c>
      <c r="BF74" s="538">
        <v>0</v>
      </c>
      <c r="BG74" s="538">
        <v>0</v>
      </c>
      <c r="BH74">
        <f>COUNTIF(G74:BG74,"&gt;0")</f>
        <v>3</v>
      </c>
    </row>
    <row r="75" spans="2:60" ht="15.75" thickBot="1" x14ac:dyDescent="0.3">
      <c r="B75" s="813">
        <f t="shared" si="8"/>
        <v>74</v>
      </c>
      <c r="C75" s="358" t="s">
        <v>825</v>
      </c>
      <c r="D75" s="358"/>
      <c r="G75" s="538"/>
      <c r="H75" s="538"/>
      <c r="I75" s="538"/>
      <c r="J75" s="538"/>
      <c r="K75" s="538"/>
      <c r="L75" s="538"/>
      <c r="M75" s="538"/>
      <c r="N75" s="538"/>
      <c r="O75" s="538"/>
      <c r="P75" s="538"/>
      <c r="Q75" s="538"/>
      <c r="R75" s="538"/>
      <c r="S75" s="538"/>
      <c r="T75" s="538"/>
      <c r="U75" s="538"/>
      <c r="V75" s="538"/>
      <c r="W75" s="538"/>
      <c r="X75" s="538"/>
      <c r="Y75" s="538"/>
      <c r="Z75" s="538"/>
      <c r="AA75" s="538"/>
      <c r="AB75" s="538"/>
      <c r="AC75" s="538"/>
      <c r="AD75" s="538"/>
      <c r="AE75" s="538"/>
      <c r="AF75" s="538"/>
      <c r="AG75" s="538"/>
      <c r="AH75" s="538"/>
      <c r="AI75" s="538"/>
      <c r="AJ75" s="538"/>
      <c r="AK75" s="538"/>
      <c r="AL75" s="538"/>
      <c r="AM75" s="538"/>
      <c r="AN75" s="538"/>
      <c r="AO75" s="538"/>
      <c r="AP75" s="538"/>
      <c r="AQ75" s="538"/>
      <c r="AR75" s="538"/>
      <c r="AS75" s="538"/>
      <c r="AT75" s="538"/>
      <c r="AU75" s="538"/>
      <c r="AV75" s="538"/>
      <c r="AW75" s="538"/>
      <c r="AX75" s="538"/>
      <c r="AY75" s="538"/>
      <c r="AZ75" s="538"/>
      <c r="BA75" s="538"/>
      <c r="BB75" s="538"/>
      <c r="BC75" s="538"/>
      <c r="BD75" s="538"/>
      <c r="BE75" s="538"/>
      <c r="BF75" s="538"/>
      <c r="BG75" s="538"/>
    </row>
    <row r="76" spans="2:60" x14ac:dyDescent="0.25">
      <c r="B76" s="813">
        <f t="shared" si="8"/>
        <v>75</v>
      </c>
      <c r="C76" s="469" t="s">
        <v>333</v>
      </c>
      <c r="D76" s="389"/>
      <c r="G76" s="538"/>
      <c r="H76" s="538"/>
      <c r="I76" s="538"/>
      <c r="J76" s="538"/>
      <c r="K76" s="538"/>
      <c r="L76" s="538"/>
      <c r="M76" s="538"/>
      <c r="N76" s="538"/>
      <c r="O76" s="538"/>
      <c r="P76" s="538"/>
      <c r="Q76" s="538"/>
      <c r="R76" s="538"/>
      <c r="S76" s="538"/>
      <c r="T76" s="538"/>
      <c r="U76" s="538"/>
      <c r="V76" s="538"/>
      <c r="W76" s="538"/>
      <c r="X76" s="538"/>
      <c r="Y76" s="538"/>
      <c r="Z76" s="538"/>
      <c r="AA76" s="538"/>
      <c r="AB76" s="538"/>
      <c r="AC76" s="538"/>
      <c r="AD76" s="538"/>
      <c r="AE76" s="538"/>
      <c r="AF76" s="538"/>
      <c r="AG76" s="538"/>
      <c r="AH76" s="538"/>
      <c r="AI76" s="538"/>
      <c r="AJ76" s="538"/>
      <c r="AK76" s="538"/>
      <c r="AL76" s="538"/>
      <c r="AM76" s="538"/>
      <c r="AN76" s="538"/>
      <c r="AO76" s="538"/>
      <c r="AP76" s="538"/>
      <c r="AQ76" s="538"/>
      <c r="AR76" s="538"/>
      <c r="AS76" s="538"/>
      <c r="AT76" s="538"/>
      <c r="AU76" s="538"/>
      <c r="AV76" s="538"/>
      <c r="AW76" s="538"/>
      <c r="AX76" s="538"/>
      <c r="AY76" s="538"/>
      <c r="AZ76" s="538"/>
      <c r="BA76" s="538"/>
      <c r="BB76" s="538"/>
      <c r="BC76" s="538"/>
      <c r="BD76" s="538"/>
      <c r="BE76" s="538"/>
      <c r="BF76" s="538"/>
      <c r="BG76" s="538"/>
    </row>
    <row r="77" spans="2:60" x14ac:dyDescent="0.25">
      <c r="B77" s="813">
        <f t="shared" si="8"/>
        <v>76</v>
      </c>
      <c r="C77" s="99"/>
      <c r="D77" s="99"/>
      <c r="G77" s="538"/>
      <c r="H77" s="538"/>
      <c r="I77" s="538"/>
      <c r="J77" s="538"/>
      <c r="K77" s="538"/>
      <c r="L77" s="538"/>
      <c r="M77" s="538"/>
      <c r="N77" s="538"/>
      <c r="O77" s="538"/>
      <c r="P77" s="538"/>
      <c r="Q77" s="538"/>
      <c r="R77" s="538"/>
      <c r="S77" s="538"/>
      <c r="T77" s="538"/>
      <c r="U77" s="538"/>
      <c r="V77" s="538"/>
      <c r="W77" s="538"/>
      <c r="X77" s="538"/>
      <c r="Y77" s="538"/>
      <c r="Z77" s="538"/>
      <c r="AA77" s="538"/>
      <c r="AB77" s="538"/>
      <c r="AC77" s="538"/>
      <c r="AD77" s="538"/>
      <c r="AE77" s="538"/>
      <c r="AF77" s="538"/>
      <c r="AG77" s="538"/>
      <c r="AH77" s="538"/>
      <c r="AI77" s="538"/>
      <c r="AJ77" s="538"/>
      <c r="AK77" s="538"/>
      <c r="AL77" s="538"/>
      <c r="AM77" s="538"/>
      <c r="AN77" s="538"/>
      <c r="AO77" s="538"/>
      <c r="AP77" s="538"/>
      <c r="AQ77" s="538"/>
      <c r="AR77" s="538"/>
      <c r="AS77" s="538"/>
      <c r="AT77" s="538"/>
      <c r="AU77" s="538"/>
      <c r="AV77" s="538"/>
      <c r="AW77" s="538"/>
      <c r="AX77" s="538"/>
      <c r="AY77" s="538"/>
      <c r="AZ77" s="538"/>
      <c r="BA77" s="538"/>
      <c r="BB77" s="538"/>
      <c r="BC77" s="538"/>
      <c r="BD77" s="538"/>
      <c r="BE77" s="538"/>
      <c r="BF77" s="538"/>
      <c r="BG77" s="538"/>
    </row>
    <row r="78" spans="2:60" ht="18.75" x14ac:dyDescent="0.3">
      <c r="B78" s="813">
        <f t="shared" si="8"/>
        <v>77</v>
      </c>
      <c r="C78" s="386" t="s">
        <v>1105</v>
      </c>
      <c r="D78" s="386"/>
      <c r="G78" s="538"/>
      <c r="H78" s="538"/>
      <c r="I78" s="538"/>
      <c r="J78" s="538"/>
      <c r="K78" s="538"/>
      <c r="L78" s="538"/>
      <c r="M78" s="538"/>
      <c r="N78" s="538"/>
      <c r="O78" s="538"/>
      <c r="P78" s="538"/>
      <c r="Q78" s="538"/>
      <c r="R78" s="538"/>
      <c r="S78" s="538"/>
      <c r="T78" s="538"/>
      <c r="U78" s="538"/>
      <c r="V78" s="538"/>
      <c r="W78" s="538"/>
      <c r="X78" s="538"/>
      <c r="Y78" s="538"/>
      <c r="Z78" s="538"/>
      <c r="AA78" s="538"/>
      <c r="AB78" s="538"/>
      <c r="AC78" s="538"/>
      <c r="AD78" s="538"/>
      <c r="AE78" s="538"/>
      <c r="AF78" s="538"/>
      <c r="AG78" s="538"/>
      <c r="AH78" s="538"/>
      <c r="AI78" s="538"/>
      <c r="AJ78" s="538"/>
      <c r="AK78" s="538"/>
      <c r="AL78" s="538"/>
      <c r="AM78" s="538"/>
      <c r="AN78" s="538"/>
      <c r="AO78" s="538"/>
      <c r="AP78" s="538"/>
      <c r="AQ78" s="538"/>
      <c r="AR78" s="538"/>
      <c r="AS78" s="538"/>
      <c r="AT78" s="538"/>
      <c r="AU78" s="538"/>
      <c r="AV78" s="538"/>
      <c r="AW78" s="538"/>
      <c r="AX78" s="538"/>
      <c r="AY78" s="538"/>
      <c r="AZ78" s="538"/>
      <c r="BA78" s="538"/>
      <c r="BB78" s="538"/>
      <c r="BC78" s="538"/>
      <c r="BD78" s="538"/>
      <c r="BE78" s="538"/>
      <c r="BF78" s="538"/>
      <c r="BG78" s="538"/>
    </row>
    <row r="79" spans="2:60" ht="15.75" x14ac:dyDescent="0.25">
      <c r="B79" s="813">
        <f t="shared" si="8"/>
        <v>78</v>
      </c>
      <c r="C79" s="390" t="s">
        <v>102</v>
      </c>
      <c r="D79" s="390"/>
      <c r="G79" s="538"/>
      <c r="H79" s="538"/>
      <c r="I79" s="538"/>
      <c r="J79" s="538"/>
      <c r="K79" s="538"/>
      <c r="L79" s="538"/>
      <c r="M79" s="538"/>
      <c r="N79" s="538"/>
      <c r="O79" s="538"/>
      <c r="P79" s="538"/>
      <c r="Q79" s="538"/>
      <c r="R79" s="538"/>
      <c r="S79" s="538"/>
      <c r="T79" s="538"/>
      <c r="U79" s="538"/>
      <c r="V79" s="538"/>
      <c r="W79" s="538"/>
      <c r="X79" s="538"/>
      <c r="Y79" s="538"/>
      <c r="Z79" s="538"/>
      <c r="AA79" s="538"/>
      <c r="AB79" s="538"/>
      <c r="AC79" s="538"/>
      <c r="AD79" s="538"/>
      <c r="AE79" s="538"/>
      <c r="AF79" s="538"/>
      <c r="AG79" s="538"/>
      <c r="AH79" s="538"/>
      <c r="AI79" s="538"/>
      <c r="AJ79" s="538"/>
      <c r="AK79" s="538"/>
      <c r="AL79" s="538"/>
      <c r="AM79" s="538"/>
      <c r="AN79" s="538"/>
      <c r="AO79" s="538"/>
      <c r="AP79" s="538"/>
      <c r="AQ79" s="538"/>
      <c r="AR79" s="538"/>
      <c r="AS79" s="538"/>
      <c r="AT79" s="538"/>
      <c r="AU79" s="538"/>
      <c r="AV79" s="538"/>
      <c r="AW79" s="538"/>
      <c r="AX79" s="538"/>
      <c r="AY79" s="538"/>
      <c r="AZ79" s="538"/>
      <c r="BA79" s="538"/>
      <c r="BB79" s="538"/>
      <c r="BC79" s="538"/>
      <c r="BD79" s="538"/>
      <c r="BE79" s="538"/>
      <c r="BF79" s="538"/>
      <c r="BG79" s="538"/>
    </row>
    <row r="80" spans="2:60" x14ac:dyDescent="0.25">
      <c r="B80" s="813">
        <f t="shared" si="8"/>
        <v>79</v>
      </c>
      <c r="C80" s="99" t="s">
        <v>784</v>
      </c>
      <c r="D80" s="436">
        <f>HLOOKUP(ProjectData!B$13,G$2:BG$125,B80)</f>
        <v>1</v>
      </c>
      <c r="E80" s="816">
        <v>1</v>
      </c>
      <c r="F80" t="s">
        <v>1120</v>
      </c>
      <c r="G80" s="538">
        <v>0</v>
      </c>
      <c r="H80" s="538">
        <v>0</v>
      </c>
      <c r="I80" s="538">
        <v>0</v>
      </c>
      <c r="J80" s="538">
        <v>0</v>
      </c>
      <c r="K80" s="816">
        <v>1</v>
      </c>
      <c r="L80" s="816">
        <v>1</v>
      </c>
      <c r="M80" s="538">
        <v>0</v>
      </c>
      <c r="N80" s="538">
        <v>0</v>
      </c>
      <c r="O80" s="538">
        <v>0</v>
      </c>
      <c r="P80" s="538">
        <v>0</v>
      </c>
      <c r="Q80" s="538">
        <v>0</v>
      </c>
      <c r="R80" s="538">
        <v>0</v>
      </c>
      <c r="S80" s="816">
        <v>1</v>
      </c>
      <c r="T80" s="538">
        <v>0</v>
      </c>
      <c r="U80" s="538">
        <v>0</v>
      </c>
      <c r="V80" s="538">
        <v>0</v>
      </c>
      <c r="W80" s="538">
        <v>0</v>
      </c>
      <c r="X80" s="538">
        <v>0</v>
      </c>
      <c r="Y80" s="538">
        <v>0</v>
      </c>
      <c r="Z80" s="538">
        <v>0</v>
      </c>
      <c r="AA80" s="538">
        <v>0</v>
      </c>
      <c r="AB80" s="538">
        <v>0</v>
      </c>
      <c r="AC80" s="538">
        <v>0</v>
      </c>
      <c r="AD80" s="538">
        <v>0</v>
      </c>
      <c r="AE80" s="538">
        <v>0</v>
      </c>
      <c r="AF80" s="538">
        <v>0</v>
      </c>
      <c r="AG80" s="538">
        <v>0</v>
      </c>
      <c r="AH80" s="538">
        <v>0</v>
      </c>
      <c r="AI80" s="538">
        <v>0</v>
      </c>
      <c r="AJ80" s="538">
        <v>0</v>
      </c>
      <c r="AK80" s="816">
        <v>1</v>
      </c>
      <c r="AL80" s="538">
        <v>0</v>
      </c>
      <c r="AM80" s="538">
        <v>0</v>
      </c>
      <c r="AN80" s="538">
        <v>0</v>
      </c>
      <c r="AO80" s="538">
        <v>0</v>
      </c>
      <c r="AP80" s="538">
        <v>0</v>
      </c>
      <c r="AQ80" s="538">
        <v>0</v>
      </c>
      <c r="AR80" s="538">
        <v>0</v>
      </c>
      <c r="AS80" s="538">
        <v>0</v>
      </c>
      <c r="AT80" s="538">
        <v>0</v>
      </c>
      <c r="AU80" s="538">
        <v>0</v>
      </c>
      <c r="AV80" s="538">
        <v>0</v>
      </c>
      <c r="AW80" s="538">
        <v>0</v>
      </c>
      <c r="AX80" s="538">
        <v>0</v>
      </c>
      <c r="AY80" s="538">
        <v>0</v>
      </c>
      <c r="AZ80" s="538">
        <v>0</v>
      </c>
      <c r="BA80" s="816">
        <v>1</v>
      </c>
      <c r="BB80" s="538">
        <v>0</v>
      </c>
      <c r="BC80" s="538">
        <v>0</v>
      </c>
      <c r="BD80" s="538">
        <v>0</v>
      </c>
      <c r="BE80" s="538">
        <v>0</v>
      </c>
      <c r="BF80" s="538">
        <v>0</v>
      </c>
      <c r="BG80" s="538">
        <v>0</v>
      </c>
      <c r="BH80">
        <f>COUNTIF(G80:BG80,"&gt;0")</f>
        <v>5</v>
      </c>
    </row>
    <row r="81" spans="2:60" x14ac:dyDescent="0.25">
      <c r="B81" s="813">
        <f t="shared" si="8"/>
        <v>80</v>
      </c>
      <c r="C81" s="99" t="s">
        <v>785</v>
      </c>
      <c r="D81" s="436">
        <f>HLOOKUP(ProjectData!B$13,G$2:BG$125,B81)</f>
        <v>1</v>
      </c>
      <c r="E81" s="816">
        <v>1</v>
      </c>
      <c r="F81" t="s">
        <v>1121</v>
      </c>
      <c r="G81" s="816">
        <v>1</v>
      </c>
      <c r="H81" s="816">
        <v>1</v>
      </c>
      <c r="I81" s="816">
        <v>1</v>
      </c>
      <c r="J81" s="816">
        <v>1</v>
      </c>
      <c r="K81" s="816">
        <v>1</v>
      </c>
      <c r="L81" s="816">
        <v>1</v>
      </c>
      <c r="M81" s="816">
        <v>1</v>
      </c>
      <c r="N81" s="816">
        <v>1</v>
      </c>
      <c r="O81" s="816">
        <v>1</v>
      </c>
      <c r="P81" s="816">
        <v>1</v>
      </c>
      <c r="Q81" s="816">
        <v>1</v>
      </c>
      <c r="R81" s="816">
        <v>1</v>
      </c>
      <c r="S81" s="816">
        <v>1</v>
      </c>
      <c r="T81" s="816">
        <v>1</v>
      </c>
      <c r="U81" s="816">
        <v>1</v>
      </c>
      <c r="V81" s="816">
        <v>1</v>
      </c>
      <c r="W81" s="816">
        <v>1</v>
      </c>
      <c r="X81" s="816">
        <v>1</v>
      </c>
      <c r="Y81" s="816">
        <v>1</v>
      </c>
      <c r="Z81" s="816">
        <v>1</v>
      </c>
      <c r="AA81" s="816">
        <v>1</v>
      </c>
      <c r="AB81" s="816">
        <v>1</v>
      </c>
      <c r="AC81" s="816">
        <v>1</v>
      </c>
      <c r="AD81" s="816">
        <v>1</v>
      </c>
      <c r="AE81" s="816">
        <v>1</v>
      </c>
      <c r="AF81" s="816">
        <v>1</v>
      </c>
      <c r="AG81" s="816">
        <v>1</v>
      </c>
      <c r="AH81" s="816">
        <v>1</v>
      </c>
      <c r="AI81" s="816">
        <v>1</v>
      </c>
      <c r="AJ81" s="816">
        <v>1</v>
      </c>
      <c r="AK81" s="816">
        <v>1</v>
      </c>
      <c r="AL81" s="816">
        <v>1</v>
      </c>
      <c r="AM81" s="816">
        <v>1</v>
      </c>
      <c r="AN81" s="816">
        <v>1</v>
      </c>
      <c r="AO81" s="816">
        <v>1</v>
      </c>
      <c r="AP81" s="816">
        <v>1</v>
      </c>
      <c r="AQ81" s="816">
        <v>1</v>
      </c>
      <c r="AR81" s="816">
        <v>1</v>
      </c>
      <c r="AS81" s="816">
        <v>1</v>
      </c>
      <c r="AT81" s="816">
        <v>1</v>
      </c>
      <c r="AU81" s="816">
        <v>1</v>
      </c>
      <c r="AV81" s="816">
        <v>1</v>
      </c>
      <c r="AW81" s="816">
        <v>1</v>
      </c>
      <c r="AX81" s="816">
        <v>1</v>
      </c>
      <c r="AY81" s="816">
        <v>1</v>
      </c>
      <c r="AZ81" s="816">
        <v>1</v>
      </c>
      <c r="BA81" s="816">
        <v>1</v>
      </c>
      <c r="BB81" s="816">
        <v>1</v>
      </c>
      <c r="BC81" s="816">
        <v>1</v>
      </c>
      <c r="BD81" s="816">
        <v>1</v>
      </c>
      <c r="BE81" s="816">
        <v>1</v>
      </c>
      <c r="BF81" s="816">
        <v>1</v>
      </c>
      <c r="BG81" s="816">
        <v>1</v>
      </c>
      <c r="BH81">
        <f>COUNTIF(G81:BG81,"&gt;0")</f>
        <v>53</v>
      </c>
    </row>
    <row r="82" spans="2:60" x14ac:dyDescent="0.25">
      <c r="B82" s="813">
        <f t="shared" si="8"/>
        <v>81</v>
      </c>
      <c r="C82" s="99" t="s">
        <v>786</v>
      </c>
      <c r="D82" s="436">
        <f>HLOOKUP(ProjectData!B$13,G$2:BG$125,B82)</f>
        <v>1</v>
      </c>
      <c r="E82" s="816">
        <v>1</v>
      </c>
      <c r="F82" t="s">
        <v>1121</v>
      </c>
      <c r="G82" s="816">
        <v>1</v>
      </c>
      <c r="H82" s="816">
        <v>1</v>
      </c>
      <c r="I82" s="816">
        <v>1</v>
      </c>
      <c r="J82" s="816">
        <v>1</v>
      </c>
      <c r="K82" s="816">
        <v>1</v>
      </c>
      <c r="L82" s="816">
        <v>1</v>
      </c>
      <c r="M82" s="816">
        <v>1</v>
      </c>
      <c r="N82" s="816">
        <v>1</v>
      </c>
      <c r="O82" s="816">
        <v>1</v>
      </c>
      <c r="P82" s="816">
        <v>1</v>
      </c>
      <c r="Q82" s="816">
        <v>1</v>
      </c>
      <c r="R82" s="816">
        <v>1</v>
      </c>
      <c r="S82" s="816">
        <v>1</v>
      </c>
      <c r="T82" s="816">
        <v>1</v>
      </c>
      <c r="U82" s="816">
        <v>1</v>
      </c>
      <c r="V82" s="816">
        <v>1</v>
      </c>
      <c r="W82" s="816">
        <v>1</v>
      </c>
      <c r="X82" s="816">
        <v>1</v>
      </c>
      <c r="Y82" s="816">
        <v>1</v>
      </c>
      <c r="Z82" s="816">
        <v>1</v>
      </c>
      <c r="AA82" s="816">
        <v>1</v>
      </c>
      <c r="AB82" s="816">
        <v>1</v>
      </c>
      <c r="AC82" s="816">
        <v>1</v>
      </c>
      <c r="AD82" s="816">
        <v>1</v>
      </c>
      <c r="AE82" s="816">
        <v>1</v>
      </c>
      <c r="AF82" s="816">
        <v>1</v>
      </c>
      <c r="AG82" s="816">
        <v>1</v>
      </c>
      <c r="AH82" s="816">
        <v>1</v>
      </c>
      <c r="AI82" s="816">
        <v>1</v>
      </c>
      <c r="AJ82" s="816">
        <v>1</v>
      </c>
      <c r="AK82" s="816">
        <v>1</v>
      </c>
      <c r="AL82" s="816">
        <v>1</v>
      </c>
      <c r="AM82" s="816">
        <v>1</v>
      </c>
      <c r="AN82" s="816">
        <v>1</v>
      </c>
      <c r="AO82" s="816">
        <v>1</v>
      </c>
      <c r="AP82" s="816">
        <v>1</v>
      </c>
      <c r="AQ82" s="816">
        <v>1</v>
      </c>
      <c r="AR82" s="816">
        <v>1</v>
      </c>
      <c r="AS82" s="816">
        <v>1</v>
      </c>
      <c r="AT82" s="816">
        <v>1</v>
      </c>
      <c r="AU82" s="816">
        <v>1</v>
      </c>
      <c r="AV82" s="816">
        <v>1</v>
      </c>
      <c r="AW82" s="816">
        <v>1</v>
      </c>
      <c r="AX82" s="816">
        <v>1</v>
      </c>
      <c r="AY82" s="816">
        <v>1</v>
      </c>
      <c r="AZ82" s="816">
        <v>1</v>
      </c>
      <c r="BA82" s="816">
        <v>1</v>
      </c>
      <c r="BB82" s="816">
        <v>1</v>
      </c>
      <c r="BC82" s="816">
        <v>1</v>
      </c>
      <c r="BD82" s="816">
        <v>1</v>
      </c>
      <c r="BE82" s="816">
        <v>1</v>
      </c>
      <c r="BF82" s="816">
        <v>1</v>
      </c>
      <c r="BG82" s="816">
        <v>1</v>
      </c>
      <c r="BH82">
        <f>COUNTIF(G82:BG82,"&gt;0")</f>
        <v>53</v>
      </c>
    </row>
    <row r="83" spans="2:60" x14ac:dyDescent="0.25">
      <c r="B83" s="813">
        <f t="shared" si="8"/>
        <v>82</v>
      </c>
      <c r="C83" s="99" t="s">
        <v>787</v>
      </c>
      <c r="D83" s="436">
        <f>HLOOKUP(ProjectData!B$13,G$2:BG$125,B83)</f>
        <v>1</v>
      </c>
      <c r="E83" s="816">
        <v>1</v>
      </c>
      <c r="F83" t="s">
        <v>1121</v>
      </c>
      <c r="G83" s="816">
        <v>1</v>
      </c>
      <c r="H83" s="816">
        <v>1</v>
      </c>
      <c r="I83" s="816">
        <v>1</v>
      </c>
      <c r="J83" s="816">
        <v>1</v>
      </c>
      <c r="K83" s="816">
        <v>1</v>
      </c>
      <c r="L83" s="816">
        <v>1</v>
      </c>
      <c r="M83" s="816">
        <v>1</v>
      </c>
      <c r="N83" s="816">
        <v>1</v>
      </c>
      <c r="O83" s="816">
        <v>1</v>
      </c>
      <c r="P83" s="816">
        <v>1</v>
      </c>
      <c r="Q83" s="816">
        <v>1</v>
      </c>
      <c r="R83" s="816">
        <v>1</v>
      </c>
      <c r="S83" s="816">
        <v>1</v>
      </c>
      <c r="T83" s="816">
        <v>1</v>
      </c>
      <c r="U83" s="816">
        <v>1</v>
      </c>
      <c r="V83" s="816">
        <v>1</v>
      </c>
      <c r="W83" s="816">
        <v>1</v>
      </c>
      <c r="X83" s="816">
        <v>1</v>
      </c>
      <c r="Y83" s="816">
        <v>1</v>
      </c>
      <c r="Z83" s="816">
        <v>1</v>
      </c>
      <c r="AA83" s="816">
        <v>1</v>
      </c>
      <c r="AB83" s="816">
        <v>1</v>
      </c>
      <c r="AC83" s="816">
        <v>1</v>
      </c>
      <c r="AD83" s="816">
        <v>1</v>
      </c>
      <c r="AE83" s="816">
        <v>1</v>
      </c>
      <c r="AF83" s="816">
        <v>1</v>
      </c>
      <c r="AG83" s="816">
        <v>1</v>
      </c>
      <c r="AH83" s="816">
        <v>1</v>
      </c>
      <c r="AI83" s="816">
        <v>1</v>
      </c>
      <c r="AJ83" s="816">
        <v>1</v>
      </c>
      <c r="AK83" s="816">
        <v>1</v>
      </c>
      <c r="AL83" s="816">
        <v>1</v>
      </c>
      <c r="AM83" s="816">
        <v>1</v>
      </c>
      <c r="AN83" s="816">
        <v>1</v>
      </c>
      <c r="AO83" s="816">
        <v>1</v>
      </c>
      <c r="AP83" s="816">
        <v>1</v>
      </c>
      <c r="AQ83" s="816">
        <v>1</v>
      </c>
      <c r="AR83" s="816">
        <v>1</v>
      </c>
      <c r="AS83" s="816">
        <v>1</v>
      </c>
      <c r="AT83" s="816">
        <v>1</v>
      </c>
      <c r="AU83" s="816">
        <v>1</v>
      </c>
      <c r="AV83" s="816">
        <v>1</v>
      </c>
      <c r="AW83" s="816">
        <v>1</v>
      </c>
      <c r="AX83" s="816">
        <v>1</v>
      </c>
      <c r="AY83" s="816">
        <v>1</v>
      </c>
      <c r="AZ83" s="816">
        <v>1</v>
      </c>
      <c r="BA83" s="816">
        <v>1</v>
      </c>
      <c r="BB83" s="816">
        <v>1</v>
      </c>
      <c r="BC83" s="816">
        <v>1</v>
      </c>
      <c r="BD83" s="816">
        <v>1</v>
      </c>
      <c r="BE83" s="816">
        <v>1</v>
      </c>
      <c r="BF83" s="816">
        <v>1</v>
      </c>
      <c r="BG83" s="816">
        <v>1</v>
      </c>
      <c r="BH83">
        <f>COUNTIF(G83:BG83,"&gt;0")</f>
        <v>53</v>
      </c>
    </row>
    <row r="84" spans="2:60" ht="15.75" thickBot="1" x14ac:dyDescent="0.3">
      <c r="B84" s="813">
        <f t="shared" si="8"/>
        <v>83</v>
      </c>
      <c r="C84" s="99" t="s">
        <v>743</v>
      </c>
      <c r="D84" s="436">
        <f>HLOOKUP(ProjectData!B$13,G$2:BG$125,B84)</f>
        <v>0</v>
      </c>
      <c r="G84" s="538">
        <v>0</v>
      </c>
      <c r="H84" s="538">
        <v>0</v>
      </c>
      <c r="I84" s="538">
        <v>0</v>
      </c>
      <c r="J84" s="538">
        <v>0</v>
      </c>
      <c r="K84" s="538">
        <v>0</v>
      </c>
      <c r="L84" s="538">
        <v>0</v>
      </c>
      <c r="M84" s="538">
        <v>0</v>
      </c>
      <c r="N84" s="538">
        <v>0</v>
      </c>
      <c r="O84" s="538">
        <v>0</v>
      </c>
      <c r="P84" s="538">
        <v>0</v>
      </c>
      <c r="Q84" s="538">
        <v>0</v>
      </c>
      <c r="R84" s="538">
        <v>0</v>
      </c>
      <c r="S84" s="538">
        <v>0</v>
      </c>
      <c r="T84" s="538">
        <v>0</v>
      </c>
      <c r="U84" s="538">
        <v>0</v>
      </c>
      <c r="V84" s="538">
        <v>0</v>
      </c>
      <c r="W84" s="538">
        <v>0</v>
      </c>
      <c r="X84" s="538">
        <v>0</v>
      </c>
      <c r="Y84" s="538">
        <v>0</v>
      </c>
      <c r="Z84" s="538">
        <v>0</v>
      </c>
      <c r="AA84" s="538">
        <v>0</v>
      </c>
      <c r="AB84" s="538">
        <v>0</v>
      </c>
      <c r="AC84" s="538">
        <v>0</v>
      </c>
      <c r="AD84" s="538">
        <v>0</v>
      </c>
      <c r="AE84" s="538">
        <v>0</v>
      </c>
      <c r="AF84" s="538">
        <v>0</v>
      </c>
      <c r="AG84" s="538">
        <v>0</v>
      </c>
      <c r="AH84" s="538">
        <v>0</v>
      </c>
      <c r="AI84" s="538">
        <v>0</v>
      </c>
      <c r="AJ84" s="538">
        <v>0</v>
      </c>
      <c r="AK84" s="538">
        <v>0</v>
      </c>
      <c r="AL84" s="538">
        <v>0</v>
      </c>
      <c r="AM84" s="538">
        <v>0</v>
      </c>
      <c r="AN84" s="538">
        <v>0</v>
      </c>
      <c r="AO84" s="538">
        <v>0</v>
      </c>
      <c r="AP84" s="538">
        <v>0</v>
      </c>
      <c r="AQ84" s="538">
        <v>0</v>
      </c>
      <c r="AR84" s="538">
        <v>0</v>
      </c>
      <c r="AS84" s="538">
        <v>0</v>
      </c>
      <c r="AT84" s="538">
        <v>0</v>
      </c>
      <c r="AU84" s="538">
        <v>0</v>
      </c>
      <c r="AV84" s="538">
        <v>0</v>
      </c>
      <c r="AW84" s="538">
        <v>0</v>
      </c>
      <c r="AX84" s="538">
        <v>0</v>
      </c>
      <c r="AY84" s="538">
        <v>0</v>
      </c>
      <c r="AZ84" s="538">
        <v>0</v>
      </c>
      <c r="BA84" s="538">
        <v>0</v>
      </c>
      <c r="BB84" s="538">
        <v>0</v>
      </c>
      <c r="BC84" s="538">
        <v>0</v>
      </c>
      <c r="BD84" s="538">
        <v>0</v>
      </c>
      <c r="BE84" s="538">
        <v>0</v>
      </c>
      <c r="BF84" s="538">
        <v>0</v>
      </c>
      <c r="BG84" s="538">
        <v>0</v>
      </c>
      <c r="BH84">
        <f>COUNTIF(G84:BG84,"&gt;0")</f>
        <v>0</v>
      </c>
    </row>
    <row r="85" spans="2:60" x14ac:dyDescent="0.25">
      <c r="B85" s="813">
        <f t="shared" si="8"/>
        <v>84</v>
      </c>
      <c r="C85" s="398" t="s">
        <v>788</v>
      </c>
      <c r="D85" s="358"/>
      <c r="G85" s="538"/>
      <c r="H85" s="538"/>
      <c r="I85" s="538"/>
      <c r="J85" s="538"/>
      <c r="K85" s="538"/>
      <c r="L85" s="538"/>
      <c r="M85" s="538"/>
      <c r="N85" s="538"/>
      <c r="O85" s="538"/>
      <c r="P85" s="538"/>
      <c r="Q85" s="538"/>
      <c r="R85" s="538"/>
      <c r="S85" s="538"/>
      <c r="T85" s="538"/>
      <c r="U85" s="538"/>
      <c r="V85" s="538"/>
      <c r="W85" s="538"/>
      <c r="X85" s="538"/>
      <c r="Y85" s="538"/>
      <c r="Z85" s="538"/>
      <c r="AA85" s="538"/>
      <c r="AB85" s="538"/>
      <c r="AC85" s="538"/>
      <c r="AD85" s="538"/>
      <c r="AE85" s="538"/>
      <c r="AF85" s="538"/>
      <c r="AG85" s="538"/>
      <c r="AH85" s="538"/>
      <c r="AI85" s="538"/>
      <c r="AJ85" s="538"/>
      <c r="AK85" s="538"/>
      <c r="AL85" s="538"/>
      <c r="AM85" s="538"/>
      <c r="AN85" s="538"/>
      <c r="AO85" s="538"/>
      <c r="AP85" s="538"/>
      <c r="AQ85" s="538"/>
      <c r="AR85" s="538"/>
      <c r="AS85" s="538"/>
      <c r="AT85" s="538"/>
      <c r="AU85" s="538"/>
      <c r="AV85" s="538"/>
      <c r="AW85" s="538"/>
      <c r="AX85" s="538"/>
      <c r="AY85" s="538"/>
      <c r="AZ85" s="538"/>
      <c r="BA85" s="538"/>
      <c r="BB85" s="538"/>
      <c r="BC85" s="538"/>
      <c r="BD85" s="538"/>
      <c r="BE85" s="538"/>
      <c r="BF85" s="538"/>
      <c r="BG85" s="538"/>
    </row>
    <row r="86" spans="2:60" ht="15.75" x14ac:dyDescent="0.25">
      <c r="B86" s="813">
        <f t="shared" si="8"/>
        <v>85</v>
      </c>
      <c r="C86" s="390" t="s">
        <v>1106</v>
      </c>
      <c r="D86" s="390"/>
      <c r="G86" s="538"/>
      <c r="H86" s="538"/>
      <c r="I86" s="538"/>
      <c r="J86" s="538"/>
      <c r="K86" s="538"/>
      <c r="L86" s="538"/>
      <c r="M86" s="538"/>
      <c r="N86" s="538"/>
      <c r="O86" s="538"/>
      <c r="P86" s="538"/>
      <c r="Q86" s="538"/>
      <c r="R86" s="538"/>
      <c r="S86" s="538"/>
      <c r="T86" s="538"/>
      <c r="U86" s="538"/>
      <c r="V86" s="538"/>
      <c r="W86" s="538"/>
      <c r="X86" s="538"/>
      <c r="Y86" s="538"/>
      <c r="Z86" s="538"/>
      <c r="AA86" s="538"/>
      <c r="AB86" s="538"/>
      <c r="AC86" s="538"/>
      <c r="AD86" s="538"/>
      <c r="AE86" s="538"/>
      <c r="AF86" s="538"/>
      <c r="AG86" s="538"/>
      <c r="AH86" s="538"/>
      <c r="AI86" s="538"/>
      <c r="AJ86" s="538"/>
      <c r="AK86" s="538"/>
      <c r="AL86" s="538"/>
      <c r="AM86" s="538"/>
      <c r="AN86" s="538"/>
      <c r="AO86" s="538"/>
      <c r="AP86" s="538"/>
      <c r="AQ86" s="538"/>
      <c r="AR86" s="538"/>
      <c r="AS86" s="538"/>
      <c r="AT86" s="538"/>
      <c r="AU86" s="538"/>
      <c r="AV86" s="538"/>
      <c r="AW86" s="538"/>
      <c r="AX86" s="538"/>
      <c r="AY86" s="538"/>
      <c r="AZ86" s="538"/>
      <c r="BA86" s="538"/>
      <c r="BB86" s="538"/>
      <c r="BC86" s="538"/>
      <c r="BD86" s="538"/>
      <c r="BE86" s="538"/>
      <c r="BF86" s="538"/>
      <c r="BG86" s="538"/>
    </row>
    <row r="87" spans="2:60" x14ac:dyDescent="0.25">
      <c r="B87" s="813">
        <f t="shared" si="8"/>
        <v>86</v>
      </c>
      <c r="C87" s="99" t="s">
        <v>789</v>
      </c>
      <c r="D87" s="436">
        <f>HLOOKUP(ProjectData!B$13,G$2:BG$125,B87)</f>
        <v>0</v>
      </c>
      <c r="E87" s="538">
        <v>0</v>
      </c>
      <c r="G87" s="538">
        <v>0</v>
      </c>
      <c r="H87" s="538">
        <v>0</v>
      </c>
      <c r="I87" s="538">
        <v>0</v>
      </c>
      <c r="J87" s="538">
        <v>0</v>
      </c>
      <c r="K87" s="538">
        <v>0</v>
      </c>
      <c r="L87" s="538">
        <v>0</v>
      </c>
      <c r="M87" s="538">
        <v>0</v>
      </c>
      <c r="N87" s="538">
        <v>0</v>
      </c>
      <c r="O87" s="538">
        <v>0</v>
      </c>
      <c r="P87" s="538">
        <v>0</v>
      </c>
      <c r="Q87" s="538">
        <v>0</v>
      </c>
      <c r="R87" s="538">
        <v>0</v>
      </c>
      <c r="S87" s="538">
        <v>0</v>
      </c>
      <c r="T87" s="538">
        <v>0</v>
      </c>
      <c r="U87" s="538">
        <v>0</v>
      </c>
      <c r="V87" s="538">
        <v>0</v>
      </c>
      <c r="W87" s="538">
        <v>0</v>
      </c>
      <c r="X87" s="538">
        <v>0</v>
      </c>
      <c r="Y87" s="538">
        <v>0</v>
      </c>
      <c r="Z87" s="538">
        <v>0</v>
      </c>
      <c r="AA87" s="538">
        <v>0</v>
      </c>
      <c r="AB87" s="538">
        <v>0</v>
      </c>
      <c r="AC87" s="538">
        <v>0</v>
      </c>
      <c r="AD87" s="538">
        <v>0</v>
      </c>
      <c r="AE87" s="538">
        <v>0</v>
      </c>
      <c r="AF87" s="538">
        <v>0</v>
      </c>
      <c r="AG87" s="538">
        <v>0</v>
      </c>
      <c r="AH87" s="538">
        <v>0</v>
      </c>
      <c r="AI87" s="538">
        <v>0</v>
      </c>
      <c r="AJ87" s="538">
        <v>0</v>
      </c>
      <c r="AK87" s="538">
        <v>0</v>
      </c>
      <c r="AL87" s="538">
        <v>0</v>
      </c>
      <c r="AM87" s="538">
        <v>0</v>
      </c>
      <c r="AN87" s="538">
        <v>0</v>
      </c>
      <c r="AO87" s="538">
        <v>0</v>
      </c>
      <c r="AP87" s="538">
        <v>0</v>
      </c>
      <c r="AQ87" s="538">
        <v>0</v>
      </c>
      <c r="AR87" s="538">
        <v>0</v>
      </c>
      <c r="AS87" s="538">
        <v>0</v>
      </c>
      <c r="AT87" s="538">
        <v>0</v>
      </c>
      <c r="AU87" s="538">
        <v>0</v>
      </c>
      <c r="AV87" s="538">
        <v>0</v>
      </c>
      <c r="AW87" s="538">
        <v>0</v>
      </c>
      <c r="AX87" s="538">
        <v>0</v>
      </c>
      <c r="AY87" s="538">
        <v>0</v>
      </c>
      <c r="AZ87" s="538">
        <v>0</v>
      </c>
      <c r="BA87" s="538">
        <v>0</v>
      </c>
      <c r="BB87" s="538">
        <v>0</v>
      </c>
      <c r="BC87" s="538">
        <v>0</v>
      </c>
      <c r="BD87" s="538">
        <v>0</v>
      </c>
      <c r="BE87" s="538">
        <v>0</v>
      </c>
      <c r="BF87" s="538">
        <v>0</v>
      </c>
      <c r="BG87" s="538">
        <v>0</v>
      </c>
      <c r="BH87">
        <f>COUNTIF(G87:BG87,"&gt;0")</f>
        <v>0</v>
      </c>
    </row>
    <row r="88" spans="2:60" x14ac:dyDescent="0.25">
      <c r="B88" s="813">
        <f t="shared" si="8"/>
        <v>87</v>
      </c>
      <c r="C88" s="99" t="s">
        <v>790</v>
      </c>
      <c r="D88" s="436">
        <f>HLOOKUP(ProjectData!B$13,G$2:BG$125,B88)</f>
        <v>0</v>
      </c>
      <c r="E88" s="816">
        <v>1</v>
      </c>
      <c r="F88" t="s">
        <v>1122</v>
      </c>
      <c r="G88" s="538">
        <v>0</v>
      </c>
      <c r="H88" s="538">
        <v>0</v>
      </c>
      <c r="I88" s="538">
        <v>0</v>
      </c>
      <c r="J88" s="538">
        <v>0</v>
      </c>
      <c r="K88" s="816">
        <v>1</v>
      </c>
      <c r="L88" s="538">
        <v>0</v>
      </c>
      <c r="M88" s="538">
        <v>0</v>
      </c>
      <c r="N88" s="538">
        <v>0</v>
      </c>
      <c r="O88" s="538">
        <v>0</v>
      </c>
      <c r="P88" s="538">
        <v>0</v>
      </c>
      <c r="Q88" s="538">
        <v>0</v>
      </c>
      <c r="R88" s="538">
        <v>0</v>
      </c>
      <c r="S88" s="538">
        <v>0</v>
      </c>
      <c r="T88" s="538">
        <v>0</v>
      </c>
      <c r="U88" s="538">
        <v>0</v>
      </c>
      <c r="V88" s="538">
        <v>0</v>
      </c>
      <c r="W88" s="538">
        <v>0</v>
      </c>
      <c r="X88" s="538">
        <v>0</v>
      </c>
      <c r="Y88" s="538">
        <v>0</v>
      </c>
      <c r="Z88" s="538">
        <v>0</v>
      </c>
      <c r="AA88" s="538">
        <v>0</v>
      </c>
      <c r="AB88" s="538">
        <v>0</v>
      </c>
      <c r="AC88" s="538">
        <v>0</v>
      </c>
      <c r="AD88" s="538">
        <v>0</v>
      </c>
      <c r="AE88" s="538">
        <v>0</v>
      </c>
      <c r="AF88" s="538">
        <v>0</v>
      </c>
      <c r="AG88" s="538">
        <v>0</v>
      </c>
      <c r="AH88" s="538">
        <v>0</v>
      </c>
      <c r="AI88" s="538">
        <v>0</v>
      </c>
      <c r="AJ88" s="538">
        <v>0</v>
      </c>
      <c r="AK88" s="816">
        <v>1</v>
      </c>
      <c r="AL88" s="538">
        <v>0</v>
      </c>
      <c r="AM88" s="538">
        <v>0</v>
      </c>
      <c r="AN88" s="538">
        <v>0</v>
      </c>
      <c r="AO88" s="538">
        <v>0</v>
      </c>
      <c r="AP88" s="538">
        <v>0</v>
      </c>
      <c r="AQ88" s="538">
        <v>0</v>
      </c>
      <c r="AR88" s="538">
        <v>0</v>
      </c>
      <c r="AS88" s="538">
        <v>0</v>
      </c>
      <c r="AT88" s="538">
        <v>0</v>
      </c>
      <c r="AU88" s="538">
        <v>0</v>
      </c>
      <c r="AV88" s="538">
        <v>0</v>
      </c>
      <c r="AW88" s="538">
        <v>0</v>
      </c>
      <c r="AX88" s="538">
        <v>0</v>
      </c>
      <c r="AY88" s="538">
        <v>0</v>
      </c>
      <c r="AZ88" s="816">
        <v>1</v>
      </c>
      <c r="BA88" s="538">
        <v>0</v>
      </c>
      <c r="BB88" s="538">
        <v>0</v>
      </c>
      <c r="BC88" s="538">
        <v>0</v>
      </c>
      <c r="BD88" s="538">
        <v>0</v>
      </c>
      <c r="BE88" s="538">
        <v>0</v>
      </c>
      <c r="BF88" s="538">
        <v>0</v>
      </c>
      <c r="BG88" s="538">
        <v>0</v>
      </c>
      <c r="BH88">
        <f>COUNTIF(G88:BG88,"&gt;0")</f>
        <v>3</v>
      </c>
    </row>
    <row r="89" spans="2:60" x14ac:dyDescent="0.25">
      <c r="B89" s="813">
        <f t="shared" si="8"/>
        <v>88</v>
      </c>
      <c r="C89" s="99" t="s">
        <v>791</v>
      </c>
      <c r="D89" s="436">
        <f>HLOOKUP(ProjectData!B$13,G$2:BG$125,B89)</f>
        <v>0</v>
      </c>
      <c r="E89" s="816">
        <v>1</v>
      </c>
      <c r="F89" t="s">
        <v>1122</v>
      </c>
      <c r="G89" s="538">
        <v>0</v>
      </c>
      <c r="H89" s="538">
        <v>0</v>
      </c>
      <c r="I89" s="538">
        <v>0</v>
      </c>
      <c r="J89" s="538">
        <v>0</v>
      </c>
      <c r="K89" s="816">
        <v>1</v>
      </c>
      <c r="L89" s="538">
        <v>0</v>
      </c>
      <c r="M89" s="538">
        <v>0</v>
      </c>
      <c r="N89" s="538">
        <v>0</v>
      </c>
      <c r="O89" s="538">
        <v>0</v>
      </c>
      <c r="P89" s="538">
        <v>0</v>
      </c>
      <c r="Q89" s="538">
        <v>0</v>
      </c>
      <c r="R89" s="538">
        <v>0</v>
      </c>
      <c r="S89" s="538">
        <v>0</v>
      </c>
      <c r="T89" s="538">
        <v>0</v>
      </c>
      <c r="U89" s="538">
        <v>0</v>
      </c>
      <c r="V89" s="538">
        <v>0</v>
      </c>
      <c r="W89" s="538">
        <v>0</v>
      </c>
      <c r="X89" s="538">
        <v>0</v>
      </c>
      <c r="Y89" s="538">
        <v>0</v>
      </c>
      <c r="Z89" s="538">
        <v>0</v>
      </c>
      <c r="AA89" s="538">
        <v>0</v>
      </c>
      <c r="AB89" s="538">
        <v>0</v>
      </c>
      <c r="AC89" s="538">
        <v>0</v>
      </c>
      <c r="AD89" s="538">
        <v>0</v>
      </c>
      <c r="AE89" s="538">
        <v>0</v>
      </c>
      <c r="AF89" s="538">
        <v>0</v>
      </c>
      <c r="AG89" s="538">
        <v>0</v>
      </c>
      <c r="AH89" s="538">
        <v>0</v>
      </c>
      <c r="AI89" s="538">
        <v>0</v>
      </c>
      <c r="AJ89" s="538">
        <v>0</v>
      </c>
      <c r="AK89" s="816">
        <v>1</v>
      </c>
      <c r="AL89" s="538">
        <v>0</v>
      </c>
      <c r="AM89" s="538">
        <v>0</v>
      </c>
      <c r="AN89" s="538">
        <v>0</v>
      </c>
      <c r="AO89" s="538">
        <v>0</v>
      </c>
      <c r="AP89" s="538">
        <v>0</v>
      </c>
      <c r="AQ89" s="538">
        <v>0</v>
      </c>
      <c r="AR89" s="538">
        <v>0</v>
      </c>
      <c r="AS89" s="538">
        <v>0</v>
      </c>
      <c r="AT89" s="538">
        <v>0</v>
      </c>
      <c r="AU89" s="538">
        <v>0</v>
      </c>
      <c r="AV89" s="538">
        <v>0</v>
      </c>
      <c r="AW89" s="538">
        <v>0</v>
      </c>
      <c r="AX89" s="538">
        <v>0</v>
      </c>
      <c r="AY89" s="538">
        <v>0</v>
      </c>
      <c r="AZ89" s="816">
        <v>1</v>
      </c>
      <c r="BA89" s="538">
        <v>0</v>
      </c>
      <c r="BB89" s="538">
        <v>0</v>
      </c>
      <c r="BC89" s="538">
        <v>0</v>
      </c>
      <c r="BD89" s="538">
        <v>0</v>
      </c>
      <c r="BE89" s="538">
        <v>0</v>
      </c>
      <c r="BF89" s="538">
        <v>0</v>
      </c>
      <c r="BG89" s="538">
        <v>0</v>
      </c>
      <c r="BH89">
        <f>COUNTIF(G89:BG89,"&gt;0")</f>
        <v>3</v>
      </c>
    </row>
    <row r="90" spans="2:60" ht="15.75" thickBot="1" x14ac:dyDescent="0.3">
      <c r="B90" s="813">
        <f t="shared" si="8"/>
        <v>89</v>
      </c>
      <c r="C90" s="99" t="s">
        <v>792</v>
      </c>
      <c r="D90" s="436">
        <f>HLOOKUP(ProjectData!B$13,G$2:BG$125,B90)</f>
        <v>0</v>
      </c>
      <c r="E90" s="816">
        <v>1</v>
      </c>
      <c r="F90" t="s">
        <v>1122</v>
      </c>
      <c r="G90" s="538">
        <v>0</v>
      </c>
      <c r="H90" s="538">
        <v>0</v>
      </c>
      <c r="I90" s="538">
        <v>0</v>
      </c>
      <c r="J90" s="538">
        <v>0</v>
      </c>
      <c r="K90" s="816">
        <v>1</v>
      </c>
      <c r="L90" s="538">
        <v>0</v>
      </c>
      <c r="M90" s="538">
        <v>0</v>
      </c>
      <c r="N90" s="538">
        <v>0</v>
      </c>
      <c r="O90" s="538">
        <v>0</v>
      </c>
      <c r="P90" s="538">
        <v>0</v>
      </c>
      <c r="Q90" s="538">
        <v>0</v>
      </c>
      <c r="R90" s="538">
        <v>0</v>
      </c>
      <c r="S90" s="538">
        <v>0</v>
      </c>
      <c r="T90" s="538">
        <v>0</v>
      </c>
      <c r="U90" s="538">
        <v>0</v>
      </c>
      <c r="V90" s="538">
        <v>0</v>
      </c>
      <c r="W90" s="538">
        <v>0</v>
      </c>
      <c r="X90" s="538">
        <v>0</v>
      </c>
      <c r="Y90" s="538">
        <v>0</v>
      </c>
      <c r="Z90" s="538">
        <v>0</v>
      </c>
      <c r="AA90" s="538">
        <v>0</v>
      </c>
      <c r="AB90" s="538">
        <v>0</v>
      </c>
      <c r="AC90" s="538">
        <v>0</v>
      </c>
      <c r="AD90" s="538">
        <v>0</v>
      </c>
      <c r="AE90" s="538">
        <v>0</v>
      </c>
      <c r="AF90" s="538">
        <v>0</v>
      </c>
      <c r="AG90" s="538">
        <v>0</v>
      </c>
      <c r="AH90" s="538">
        <v>0</v>
      </c>
      <c r="AI90" s="538">
        <v>0</v>
      </c>
      <c r="AJ90" s="538">
        <v>0</v>
      </c>
      <c r="AK90" s="816">
        <v>1</v>
      </c>
      <c r="AL90" s="538">
        <v>0</v>
      </c>
      <c r="AM90" s="538">
        <v>0</v>
      </c>
      <c r="AN90" s="538">
        <v>0</v>
      </c>
      <c r="AO90" s="538">
        <v>0</v>
      </c>
      <c r="AP90" s="538">
        <v>0</v>
      </c>
      <c r="AQ90" s="538">
        <v>0</v>
      </c>
      <c r="AR90" s="538">
        <v>0</v>
      </c>
      <c r="AS90" s="538">
        <v>0</v>
      </c>
      <c r="AT90" s="538">
        <v>0</v>
      </c>
      <c r="AU90" s="538">
        <v>0</v>
      </c>
      <c r="AV90" s="538">
        <v>0</v>
      </c>
      <c r="AW90" s="538">
        <v>0</v>
      </c>
      <c r="AX90" s="538">
        <v>0</v>
      </c>
      <c r="AY90" s="538">
        <v>0</v>
      </c>
      <c r="AZ90" s="816">
        <v>1</v>
      </c>
      <c r="BA90" s="538">
        <v>0</v>
      </c>
      <c r="BB90" s="538">
        <v>0</v>
      </c>
      <c r="BC90" s="538">
        <v>0</v>
      </c>
      <c r="BD90" s="538">
        <v>0</v>
      </c>
      <c r="BE90" s="538">
        <v>0</v>
      </c>
      <c r="BF90" s="538">
        <v>0</v>
      </c>
      <c r="BG90" s="538">
        <v>0</v>
      </c>
      <c r="BH90">
        <f>COUNTIF(G90:BG90,"&gt;0")</f>
        <v>3</v>
      </c>
    </row>
    <row r="91" spans="2:60" ht="15.75" thickBot="1" x14ac:dyDescent="0.3">
      <c r="B91" s="813">
        <f t="shared" si="8"/>
        <v>90</v>
      </c>
      <c r="C91" s="398" t="s">
        <v>788</v>
      </c>
      <c r="D91" s="358"/>
      <c r="G91" s="538"/>
      <c r="H91" s="538"/>
      <c r="I91" s="538"/>
      <c r="J91" s="538"/>
      <c r="K91" s="538"/>
      <c r="L91" s="538"/>
      <c r="M91" s="538"/>
      <c r="N91" s="538"/>
      <c r="O91" s="538"/>
      <c r="P91" s="538"/>
      <c r="Q91" s="538"/>
      <c r="R91" s="538"/>
      <c r="S91" s="538"/>
      <c r="T91" s="538"/>
      <c r="U91" s="538"/>
      <c r="V91" s="538"/>
      <c r="W91" s="538"/>
      <c r="X91" s="538"/>
      <c r="Y91" s="538"/>
      <c r="Z91" s="538"/>
      <c r="AA91" s="538"/>
      <c r="AB91" s="538"/>
      <c r="AC91" s="538"/>
      <c r="AD91" s="538"/>
      <c r="AE91" s="538"/>
      <c r="AF91" s="538"/>
      <c r="AG91" s="538"/>
      <c r="AH91" s="538"/>
      <c r="AI91" s="538"/>
      <c r="AJ91" s="538"/>
      <c r="AK91" s="538"/>
      <c r="AL91" s="538"/>
      <c r="AM91" s="538"/>
      <c r="AN91" s="538"/>
      <c r="AO91" s="538"/>
      <c r="AP91" s="538"/>
      <c r="AQ91" s="538"/>
      <c r="AR91" s="538"/>
      <c r="AS91" s="538"/>
      <c r="AT91" s="538"/>
      <c r="AU91" s="538"/>
      <c r="AV91" s="538"/>
      <c r="AW91" s="538"/>
      <c r="AX91" s="538"/>
      <c r="AY91" s="538"/>
      <c r="AZ91" s="538"/>
      <c r="BA91" s="538"/>
      <c r="BB91" s="538"/>
      <c r="BC91" s="538"/>
      <c r="BD91" s="538"/>
      <c r="BE91" s="538"/>
      <c r="BF91" s="538"/>
      <c r="BG91" s="538"/>
    </row>
    <row r="92" spans="2:60" x14ac:dyDescent="0.25">
      <c r="B92" s="813">
        <f t="shared" si="8"/>
        <v>91</v>
      </c>
      <c r="C92" s="814" t="s">
        <v>388</v>
      </c>
      <c r="D92" s="389"/>
      <c r="G92" s="538"/>
      <c r="H92" s="538"/>
      <c r="I92" s="538"/>
      <c r="J92" s="538"/>
      <c r="K92" s="538"/>
      <c r="L92" s="538"/>
      <c r="M92" s="538"/>
      <c r="N92" s="538"/>
      <c r="O92" s="538"/>
      <c r="P92" s="538"/>
      <c r="Q92" s="538"/>
      <c r="R92" s="538"/>
      <c r="S92" s="538"/>
      <c r="T92" s="538"/>
      <c r="U92" s="538"/>
      <c r="V92" s="538"/>
      <c r="W92" s="538"/>
      <c r="X92" s="538"/>
      <c r="Y92" s="538"/>
      <c r="Z92" s="538"/>
      <c r="AA92" s="538"/>
      <c r="AB92" s="538"/>
      <c r="AC92" s="538"/>
      <c r="AD92" s="538"/>
      <c r="AE92" s="538"/>
      <c r="AF92" s="538"/>
      <c r="AG92" s="538"/>
      <c r="AH92" s="538"/>
      <c r="AI92" s="538"/>
      <c r="AJ92" s="538"/>
      <c r="AK92" s="538"/>
      <c r="AL92" s="538"/>
      <c r="AM92" s="538"/>
      <c r="AN92" s="538"/>
      <c r="AO92" s="538"/>
      <c r="AP92" s="538"/>
      <c r="AQ92" s="538"/>
      <c r="AR92" s="538"/>
      <c r="AS92" s="538"/>
      <c r="AT92" s="538"/>
      <c r="AU92" s="538"/>
      <c r="AV92" s="538"/>
      <c r="AW92" s="538"/>
      <c r="AX92" s="538"/>
      <c r="AY92" s="538"/>
      <c r="AZ92" s="538"/>
      <c r="BA92" s="538"/>
      <c r="BB92" s="538"/>
      <c r="BC92" s="538"/>
      <c r="BD92" s="538"/>
      <c r="BE92" s="538"/>
      <c r="BF92" s="538"/>
      <c r="BG92" s="538"/>
    </row>
    <row r="93" spans="2:60" x14ac:dyDescent="0.25">
      <c r="B93" s="813">
        <f t="shared" si="8"/>
        <v>92</v>
      </c>
      <c r="C93" s="358"/>
      <c r="D93" s="358"/>
      <c r="G93" s="538"/>
      <c r="H93" s="538"/>
      <c r="I93" s="538"/>
      <c r="J93" s="538"/>
      <c r="K93" s="538"/>
      <c r="L93" s="538"/>
      <c r="M93" s="538"/>
      <c r="N93" s="538"/>
      <c r="O93" s="538"/>
      <c r="P93" s="538"/>
      <c r="Q93" s="538"/>
      <c r="R93" s="538"/>
      <c r="S93" s="538"/>
      <c r="T93" s="538"/>
      <c r="U93" s="538"/>
      <c r="V93" s="538"/>
      <c r="W93" s="538"/>
      <c r="X93" s="538"/>
      <c r="Y93" s="538"/>
      <c r="Z93" s="538"/>
      <c r="AA93" s="538"/>
      <c r="AB93" s="538"/>
      <c r="AC93" s="538"/>
      <c r="AD93" s="538"/>
      <c r="AE93" s="538"/>
      <c r="AF93" s="538"/>
      <c r="AG93" s="538"/>
      <c r="AH93" s="538"/>
      <c r="AI93" s="538"/>
      <c r="AJ93" s="538"/>
      <c r="AK93" s="538"/>
      <c r="AL93" s="538"/>
      <c r="AM93" s="538"/>
      <c r="AN93" s="538"/>
      <c r="AO93" s="538"/>
      <c r="AP93" s="538"/>
      <c r="AQ93" s="538"/>
      <c r="AR93" s="538"/>
      <c r="AS93" s="538"/>
      <c r="AT93" s="538"/>
      <c r="AU93" s="538"/>
      <c r="AV93" s="538"/>
      <c r="AW93" s="538"/>
      <c r="AX93" s="538"/>
      <c r="AY93" s="538"/>
      <c r="AZ93" s="538"/>
      <c r="BA93" s="538"/>
      <c r="BB93" s="538"/>
      <c r="BC93" s="538"/>
      <c r="BD93" s="538"/>
      <c r="BE93" s="538"/>
      <c r="BF93" s="538"/>
      <c r="BG93" s="538"/>
    </row>
    <row r="94" spans="2:60" ht="21" x14ac:dyDescent="0.35">
      <c r="B94" s="813">
        <f t="shared" si="8"/>
        <v>93</v>
      </c>
      <c r="C94" s="356" t="s">
        <v>1107</v>
      </c>
      <c r="D94" s="356"/>
      <c r="G94" s="538"/>
      <c r="H94" s="538"/>
      <c r="I94" s="538"/>
      <c r="J94" s="538"/>
      <c r="K94" s="538"/>
      <c r="L94" s="538"/>
      <c r="M94" s="538"/>
      <c r="N94" s="538"/>
      <c r="O94" s="538"/>
      <c r="P94" s="538"/>
      <c r="Q94" s="538"/>
      <c r="R94" s="538"/>
      <c r="S94" s="538"/>
      <c r="T94" s="538"/>
      <c r="U94" s="538"/>
      <c r="V94" s="538"/>
      <c r="W94" s="538"/>
      <c r="X94" s="538"/>
      <c r="Y94" s="538"/>
      <c r="Z94" s="538"/>
      <c r="AA94" s="538"/>
      <c r="AB94" s="538"/>
      <c r="AC94" s="538"/>
      <c r="AD94" s="538"/>
      <c r="AE94" s="538"/>
      <c r="AF94" s="538"/>
      <c r="AG94" s="538"/>
      <c r="AH94" s="538"/>
      <c r="AI94" s="538"/>
      <c r="AJ94" s="538"/>
      <c r="AK94" s="538"/>
      <c r="AL94" s="538"/>
      <c r="AM94" s="538"/>
      <c r="AN94" s="538"/>
      <c r="AO94" s="538"/>
      <c r="AP94" s="538"/>
      <c r="AQ94" s="538"/>
      <c r="AR94" s="538"/>
      <c r="AS94" s="538"/>
      <c r="AT94" s="538"/>
      <c r="AU94" s="538"/>
      <c r="AV94" s="538"/>
      <c r="AW94" s="538"/>
      <c r="AX94" s="538"/>
      <c r="AY94" s="538"/>
      <c r="AZ94" s="538"/>
      <c r="BA94" s="538"/>
      <c r="BB94" s="538"/>
      <c r="BC94" s="538"/>
      <c r="BD94" s="538"/>
      <c r="BE94" s="538"/>
      <c r="BF94" s="538"/>
      <c r="BG94" s="538"/>
    </row>
    <row r="95" spans="2:60" x14ac:dyDescent="0.25">
      <c r="B95" s="813">
        <f t="shared" si="8"/>
        <v>94</v>
      </c>
      <c r="C95" s="99" t="s">
        <v>391</v>
      </c>
      <c r="D95" s="436">
        <f>HLOOKUP(ProjectData!B$13,G$2:BG$125,B95)</f>
        <v>0</v>
      </c>
      <c r="E95" s="538">
        <v>0</v>
      </c>
      <c r="G95" s="538">
        <v>0</v>
      </c>
      <c r="H95" s="538">
        <v>0</v>
      </c>
      <c r="I95" s="538">
        <v>0</v>
      </c>
      <c r="J95" s="538">
        <v>0</v>
      </c>
      <c r="K95" s="538">
        <v>0</v>
      </c>
      <c r="L95" s="538">
        <v>0</v>
      </c>
      <c r="M95" s="538">
        <v>0</v>
      </c>
      <c r="N95" s="538">
        <v>0</v>
      </c>
      <c r="O95" s="538">
        <v>0</v>
      </c>
      <c r="P95" s="538">
        <v>0</v>
      </c>
      <c r="Q95" s="538">
        <v>0</v>
      </c>
      <c r="R95" s="538">
        <v>0</v>
      </c>
      <c r="S95" s="538">
        <v>0</v>
      </c>
      <c r="T95" s="538">
        <v>0</v>
      </c>
      <c r="U95" s="538">
        <v>0</v>
      </c>
      <c r="V95" s="538">
        <v>0</v>
      </c>
      <c r="W95" s="538">
        <v>0</v>
      </c>
      <c r="X95" s="538">
        <v>0</v>
      </c>
      <c r="Y95" s="538">
        <v>0</v>
      </c>
      <c r="Z95" s="538">
        <v>0</v>
      </c>
      <c r="AA95" s="538">
        <v>0</v>
      </c>
      <c r="AB95" s="538">
        <v>0</v>
      </c>
      <c r="AC95" s="538">
        <v>0</v>
      </c>
      <c r="AD95" s="538">
        <v>0</v>
      </c>
      <c r="AE95" s="538">
        <v>0</v>
      </c>
      <c r="AF95" s="538">
        <v>0</v>
      </c>
      <c r="AG95" s="538">
        <v>0</v>
      </c>
      <c r="AH95" s="538">
        <v>0</v>
      </c>
      <c r="AI95" s="538">
        <v>0</v>
      </c>
      <c r="AJ95" s="538">
        <v>0</v>
      </c>
      <c r="AK95" s="538">
        <v>0</v>
      </c>
      <c r="AL95" s="538">
        <v>0</v>
      </c>
      <c r="AM95" s="538">
        <v>0</v>
      </c>
      <c r="AN95" s="538">
        <v>0</v>
      </c>
      <c r="AO95" s="538">
        <v>0</v>
      </c>
      <c r="AP95" s="538">
        <v>0</v>
      </c>
      <c r="AQ95" s="538">
        <v>0</v>
      </c>
      <c r="AR95" s="538">
        <v>0</v>
      </c>
      <c r="AS95" s="538">
        <v>0</v>
      </c>
      <c r="AT95" s="538">
        <v>0</v>
      </c>
      <c r="AU95" s="538">
        <v>0</v>
      </c>
      <c r="AV95" s="538">
        <v>0</v>
      </c>
      <c r="AW95" s="538">
        <v>0</v>
      </c>
      <c r="AX95" s="538">
        <v>0</v>
      </c>
      <c r="AY95" s="538">
        <v>0</v>
      </c>
      <c r="AZ95" s="538">
        <v>0</v>
      </c>
      <c r="BA95" s="538">
        <v>0</v>
      </c>
      <c r="BB95" s="538">
        <v>0</v>
      </c>
      <c r="BC95" s="538">
        <v>0</v>
      </c>
      <c r="BD95" s="538">
        <v>0</v>
      </c>
      <c r="BE95" s="538">
        <v>0</v>
      </c>
      <c r="BF95" s="538">
        <v>0</v>
      </c>
      <c r="BG95" s="538">
        <v>0</v>
      </c>
      <c r="BH95">
        <f t="shared" ref="BH95:BH101" si="9">COUNTIF(G95:BG95,"&gt;0")</f>
        <v>0</v>
      </c>
    </row>
    <row r="96" spans="2:60" x14ac:dyDescent="0.25">
      <c r="B96" s="813">
        <f t="shared" si="8"/>
        <v>95</v>
      </c>
      <c r="C96" s="99" t="s">
        <v>392</v>
      </c>
      <c r="D96" s="436">
        <f>HLOOKUP(ProjectData!B$13,G$2:BG$125,B96)</f>
        <v>0</v>
      </c>
      <c r="E96" s="816">
        <v>1</v>
      </c>
      <c r="F96" t="str">
        <f>F88</f>
        <v>TX, NV, CA</v>
      </c>
      <c r="G96" s="538">
        <v>0</v>
      </c>
      <c r="H96" s="538">
        <v>0</v>
      </c>
      <c r="I96" s="538">
        <v>0</v>
      </c>
      <c r="J96" s="538">
        <v>0</v>
      </c>
      <c r="K96" s="816">
        <v>1</v>
      </c>
      <c r="L96" s="538">
        <v>0</v>
      </c>
      <c r="M96" s="538">
        <v>0</v>
      </c>
      <c r="N96" s="538">
        <v>0</v>
      </c>
      <c r="O96" s="538">
        <v>0</v>
      </c>
      <c r="P96" s="538">
        <v>0</v>
      </c>
      <c r="Q96" s="538">
        <v>0</v>
      </c>
      <c r="R96" s="538">
        <v>0</v>
      </c>
      <c r="S96" s="538">
        <v>0</v>
      </c>
      <c r="T96" s="538">
        <v>0</v>
      </c>
      <c r="U96" s="538">
        <v>0</v>
      </c>
      <c r="V96" s="538">
        <v>0</v>
      </c>
      <c r="W96" s="538">
        <v>0</v>
      </c>
      <c r="X96" s="538">
        <v>0</v>
      </c>
      <c r="Y96" s="538">
        <v>0</v>
      </c>
      <c r="Z96" s="538">
        <v>0</v>
      </c>
      <c r="AA96" s="538">
        <v>0</v>
      </c>
      <c r="AB96" s="538">
        <v>0</v>
      </c>
      <c r="AC96" s="538">
        <v>0</v>
      </c>
      <c r="AD96" s="538">
        <v>0</v>
      </c>
      <c r="AE96" s="538">
        <v>0</v>
      </c>
      <c r="AF96" s="538">
        <v>0</v>
      </c>
      <c r="AG96" s="538">
        <v>0</v>
      </c>
      <c r="AH96" s="538">
        <v>0</v>
      </c>
      <c r="AI96" s="538">
        <v>0</v>
      </c>
      <c r="AJ96" s="538">
        <v>0</v>
      </c>
      <c r="AK96" s="816">
        <v>1</v>
      </c>
      <c r="AL96" s="538">
        <v>0</v>
      </c>
      <c r="AM96" s="538">
        <v>0</v>
      </c>
      <c r="AN96" s="538">
        <v>0</v>
      </c>
      <c r="AO96" s="538">
        <v>0</v>
      </c>
      <c r="AP96" s="538">
        <v>0</v>
      </c>
      <c r="AQ96" s="538">
        <v>0</v>
      </c>
      <c r="AR96" s="538">
        <v>0</v>
      </c>
      <c r="AS96" s="538">
        <v>0</v>
      </c>
      <c r="AT96" s="538">
        <v>0</v>
      </c>
      <c r="AU96" s="538">
        <v>0</v>
      </c>
      <c r="AV96" s="538">
        <v>0</v>
      </c>
      <c r="AW96" s="538">
        <v>0</v>
      </c>
      <c r="AX96" s="538">
        <v>0</v>
      </c>
      <c r="AY96" s="538">
        <v>0</v>
      </c>
      <c r="AZ96" s="816">
        <v>1</v>
      </c>
      <c r="BA96" s="538">
        <v>0</v>
      </c>
      <c r="BB96" s="538">
        <v>0</v>
      </c>
      <c r="BC96" s="538">
        <v>0</v>
      </c>
      <c r="BD96" s="538">
        <v>0</v>
      </c>
      <c r="BE96" s="538">
        <v>0</v>
      </c>
      <c r="BF96" s="538">
        <v>0</v>
      </c>
      <c r="BG96" s="538">
        <v>0</v>
      </c>
      <c r="BH96">
        <f t="shared" si="9"/>
        <v>3</v>
      </c>
    </row>
    <row r="97" spans="2:60" x14ac:dyDescent="0.25">
      <c r="B97" s="813">
        <f t="shared" si="8"/>
        <v>96</v>
      </c>
      <c r="C97" s="99" t="s">
        <v>393</v>
      </c>
      <c r="D97" s="436">
        <f>HLOOKUP(ProjectData!B$13,G$2:BG$125,B97)</f>
        <v>0</v>
      </c>
      <c r="E97" s="816">
        <v>1</v>
      </c>
      <c r="F97" t="str">
        <f>F89</f>
        <v>TX, NV, CA</v>
      </c>
      <c r="G97" s="538">
        <v>0</v>
      </c>
      <c r="H97" s="538">
        <v>0</v>
      </c>
      <c r="I97" s="538">
        <v>0</v>
      </c>
      <c r="J97" s="538">
        <v>0</v>
      </c>
      <c r="K97" s="816">
        <v>1</v>
      </c>
      <c r="L97" s="538">
        <v>0</v>
      </c>
      <c r="M97" s="538">
        <v>0</v>
      </c>
      <c r="N97" s="538">
        <v>0</v>
      </c>
      <c r="O97" s="538">
        <v>0</v>
      </c>
      <c r="P97" s="538">
        <v>0</v>
      </c>
      <c r="Q97" s="538">
        <v>0</v>
      </c>
      <c r="R97" s="538">
        <v>0</v>
      </c>
      <c r="S97" s="538">
        <v>0</v>
      </c>
      <c r="T97" s="538">
        <v>0</v>
      </c>
      <c r="U97" s="538">
        <v>0</v>
      </c>
      <c r="V97" s="538">
        <v>0</v>
      </c>
      <c r="W97" s="538">
        <v>0</v>
      </c>
      <c r="X97" s="538">
        <v>0</v>
      </c>
      <c r="Y97" s="538">
        <v>0</v>
      </c>
      <c r="Z97" s="538">
        <v>0</v>
      </c>
      <c r="AA97" s="538">
        <v>0</v>
      </c>
      <c r="AB97" s="538">
        <v>0</v>
      </c>
      <c r="AC97" s="538">
        <v>0</v>
      </c>
      <c r="AD97" s="538">
        <v>0</v>
      </c>
      <c r="AE97" s="538">
        <v>0</v>
      </c>
      <c r="AF97" s="538">
        <v>0</v>
      </c>
      <c r="AG97" s="538">
        <v>0</v>
      </c>
      <c r="AH97" s="538">
        <v>0</v>
      </c>
      <c r="AI97" s="538">
        <v>0</v>
      </c>
      <c r="AJ97" s="538">
        <v>0</v>
      </c>
      <c r="AK97" s="816">
        <v>1</v>
      </c>
      <c r="AL97" s="538">
        <v>0</v>
      </c>
      <c r="AM97" s="538">
        <v>0</v>
      </c>
      <c r="AN97" s="538">
        <v>0</v>
      </c>
      <c r="AO97" s="538">
        <v>0</v>
      </c>
      <c r="AP97" s="538">
        <v>0</v>
      </c>
      <c r="AQ97" s="538">
        <v>0</v>
      </c>
      <c r="AR97" s="538">
        <v>0</v>
      </c>
      <c r="AS97" s="538">
        <v>0</v>
      </c>
      <c r="AT97" s="538">
        <v>0</v>
      </c>
      <c r="AU97" s="538">
        <v>0</v>
      </c>
      <c r="AV97" s="538">
        <v>0</v>
      </c>
      <c r="AW97" s="538">
        <v>0</v>
      </c>
      <c r="AX97" s="538">
        <v>0</v>
      </c>
      <c r="AY97" s="538">
        <v>0</v>
      </c>
      <c r="AZ97" s="816">
        <v>1</v>
      </c>
      <c r="BA97" s="538">
        <v>0</v>
      </c>
      <c r="BB97" s="538">
        <v>0</v>
      </c>
      <c r="BC97" s="538">
        <v>0</v>
      </c>
      <c r="BD97" s="538">
        <v>0</v>
      </c>
      <c r="BE97" s="538">
        <v>0</v>
      </c>
      <c r="BF97" s="538">
        <v>0</v>
      </c>
      <c r="BG97" s="538">
        <v>0</v>
      </c>
      <c r="BH97">
        <f t="shared" si="9"/>
        <v>3</v>
      </c>
    </row>
    <row r="98" spans="2:60" x14ac:dyDescent="0.25">
      <c r="B98" s="813">
        <f t="shared" si="8"/>
        <v>97</v>
      </c>
      <c r="C98" s="99" t="s">
        <v>394</v>
      </c>
      <c r="D98" s="436">
        <f>HLOOKUP(ProjectData!B$13,G$2:BG$125,B98)</f>
        <v>0</v>
      </c>
      <c r="E98" s="816">
        <v>1</v>
      </c>
      <c r="F98" t="str">
        <f>F90</f>
        <v>TX, NV, CA</v>
      </c>
      <c r="G98" s="538">
        <v>0</v>
      </c>
      <c r="H98" s="538">
        <v>0</v>
      </c>
      <c r="I98" s="538">
        <v>0</v>
      </c>
      <c r="J98" s="538">
        <v>0</v>
      </c>
      <c r="K98" s="816">
        <v>1</v>
      </c>
      <c r="L98" s="538">
        <v>0</v>
      </c>
      <c r="M98" s="538">
        <v>0</v>
      </c>
      <c r="N98" s="538">
        <v>0</v>
      </c>
      <c r="O98" s="538">
        <v>0</v>
      </c>
      <c r="P98" s="538">
        <v>0</v>
      </c>
      <c r="Q98" s="538">
        <v>0</v>
      </c>
      <c r="R98" s="538">
        <v>0</v>
      </c>
      <c r="S98" s="538">
        <v>0</v>
      </c>
      <c r="T98" s="538">
        <v>0</v>
      </c>
      <c r="U98" s="538">
        <v>0</v>
      </c>
      <c r="V98" s="538">
        <v>0</v>
      </c>
      <c r="W98" s="538">
        <v>0</v>
      </c>
      <c r="X98" s="538">
        <v>0</v>
      </c>
      <c r="Y98" s="538">
        <v>0</v>
      </c>
      <c r="Z98" s="538">
        <v>0</v>
      </c>
      <c r="AA98" s="538">
        <v>0</v>
      </c>
      <c r="AB98" s="538">
        <v>0</v>
      </c>
      <c r="AC98" s="538">
        <v>0</v>
      </c>
      <c r="AD98" s="538">
        <v>0</v>
      </c>
      <c r="AE98" s="538">
        <v>0</v>
      </c>
      <c r="AF98" s="538">
        <v>0</v>
      </c>
      <c r="AG98" s="538">
        <v>0</v>
      </c>
      <c r="AH98" s="538">
        <v>0</v>
      </c>
      <c r="AI98" s="538">
        <v>0</v>
      </c>
      <c r="AJ98" s="538">
        <v>0</v>
      </c>
      <c r="AK98" s="816">
        <v>1</v>
      </c>
      <c r="AL98" s="538">
        <v>0</v>
      </c>
      <c r="AM98" s="538">
        <v>0</v>
      </c>
      <c r="AN98" s="538">
        <v>0</v>
      </c>
      <c r="AO98" s="538">
        <v>0</v>
      </c>
      <c r="AP98" s="538">
        <v>0</v>
      </c>
      <c r="AQ98" s="538">
        <v>0</v>
      </c>
      <c r="AR98" s="538">
        <v>0</v>
      </c>
      <c r="AS98" s="538">
        <v>0</v>
      </c>
      <c r="AT98" s="538">
        <v>0</v>
      </c>
      <c r="AU98" s="538">
        <v>0</v>
      </c>
      <c r="AV98" s="538">
        <v>0</v>
      </c>
      <c r="AW98" s="538">
        <v>0</v>
      </c>
      <c r="AX98" s="538">
        <v>0</v>
      </c>
      <c r="AY98" s="538">
        <v>0</v>
      </c>
      <c r="AZ98" s="816">
        <v>1</v>
      </c>
      <c r="BA98" s="538">
        <v>0</v>
      </c>
      <c r="BB98" s="538">
        <v>0</v>
      </c>
      <c r="BC98" s="538">
        <v>0</v>
      </c>
      <c r="BD98" s="538">
        <v>0</v>
      </c>
      <c r="BE98" s="538">
        <v>0</v>
      </c>
      <c r="BF98" s="538">
        <v>0</v>
      </c>
      <c r="BG98" s="538">
        <v>0</v>
      </c>
      <c r="BH98">
        <f t="shared" si="9"/>
        <v>3</v>
      </c>
    </row>
    <row r="99" spans="2:60" x14ac:dyDescent="0.25">
      <c r="B99" s="813">
        <f t="shared" si="8"/>
        <v>98</v>
      </c>
      <c r="C99" s="99" t="s">
        <v>395</v>
      </c>
      <c r="D99" s="436">
        <f>HLOOKUP(ProjectData!B$13,G$2:BG$125,B99)</f>
        <v>0</v>
      </c>
      <c r="E99" s="816">
        <v>1</v>
      </c>
      <c r="F99" t="str">
        <f>F98</f>
        <v>TX, NV, CA</v>
      </c>
      <c r="G99" s="538">
        <v>0</v>
      </c>
      <c r="H99" s="538">
        <v>0</v>
      </c>
      <c r="I99" s="538">
        <v>0</v>
      </c>
      <c r="J99" s="538">
        <v>0</v>
      </c>
      <c r="K99" s="816">
        <v>1</v>
      </c>
      <c r="L99" s="538">
        <v>0</v>
      </c>
      <c r="M99" s="538">
        <v>0</v>
      </c>
      <c r="N99" s="538">
        <v>0</v>
      </c>
      <c r="O99" s="538">
        <v>0</v>
      </c>
      <c r="P99" s="538">
        <v>0</v>
      </c>
      <c r="Q99" s="538">
        <v>0</v>
      </c>
      <c r="R99" s="538">
        <v>0</v>
      </c>
      <c r="S99" s="538">
        <v>0</v>
      </c>
      <c r="T99" s="538">
        <v>0</v>
      </c>
      <c r="U99" s="538">
        <v>0</v>
      </c>
      <c r="V99" s="538">
        <v>0</v>
      </c>
      <c r="W99" s="538">
        <v>0</v>
      </c>
      <c r="X99" s="538">
        <v>0</v>
      </c>
      <c r="Y99" s="538">
        <v>0</v>
      </c>
      <c r="Z99" s="538">
        <v>0</v>
      </c>
      <c r="AA99" s="538">
        <v>0</v>
      </c>
      <c r="AB99" s="538">
        <v>0</v>
      </c>
      <c r="AC99" s="538">
        <v>0</v>
      </c>
      <c r="AD99" s="538">
        <v>0</v>
      </c>
      <c r="AE99" s="538">
        <v>0</v>
      </c>
      <c r="AF99" s="538">
        <v>0</v>
      </c>
      <c r="AG99" s="538">
        <v>0</v>
      </c>
      <c r="AH99" s="538">
        <v>0</v>
      </c>
      <c r="AI99" s="538">
        <v>0</v>
      </c>
      <c r="AJ99" s="538">
        <v>0</v>
      </c>
      <c r="AK99" s="816">
        <v>1</v>
      </c>
      <c r="AL99" s="538">
        <v>0</v>
      </c>
      <c r="AM99" s="538">
        <v>0</v>
      </c>
      <c r="AN99" s="538">
        <v>0</v>
      </c>
      <c r="AO99" s="538">
        <v>0</v>
      </c>
      <c r="AP99" s="538">
        <v>0</v>
      </c>
      <c r="AQ99" s="538">
        <v>0</v>
      </c>
      <c r="AR99" s="538">
        <v>0</v>
      </c>
      <c r="AS99" s="538">
        <v>0</v>
      </c>
      <c r="AT99" s="538">
        <v>0</v>
      </c>
      <c r="AU99" s="538">
        <v>0</v>
      </c>
      <c r="AV99" s="538">
        <v>0</v>
      </c>
      <c r="AW99" s="538">
        <v>0</v>
      </c>
      <c r="AX99" s="538">
        <v>0</v>
      </c>
      <c r="AY99" s="538">
        <v>0</v>
      </c>
      <c r="AZ99" s="816">
        <v>1</v>
      </c>
      <c r="BA99" s="538">
        <v>0</v>
      </c>
      <c r="BB99" s="538">
        <v>0</v>
      </c>
      <c r="BC99" s="538">
        <v>0</v>
      </c>
      <c r="BD99" s="538">
        <v>0</v>
      </c>
      <c r="BE99" s="538">
        <v>0</v>
      </c>
      <c r="BF99" s="538">
        <v>0</v>
      </c>
      <c r="BG99" s="538">
        <v>0</v>
      </c>
      <c r="BH99">
        <f t="shared" si="9"/>
        <v>3</v>
      </c>
    </row>
    <row r="100" spans="2:60" x14ac:dyDescent="0.25">
      <c r="B100" s="813">
        <f t="shared" si="8"/>
        <v>99</v>
      </c>
      <c r="C100" s="99" t="s">
        <v>396</v>
      </c>
      <c r="D100" s="436">
        <f>HLOOKUP(ProjectData!B$13,G$2:BG$125,B100)</f>
        <v>0</v>
      </c>
      <c r="E100" s="816">
        <v>1</v>
      </c>
      <c r="F100" t="str">
        <f>F99</f>
        <v>TX, NV, CA</v>
      </c>
      <c r="G100" s="538">
        <v>0</v>
      </c>
      <c r="H100" s="538">
        <v>0</v>
      </c>
      <c r="I100" s="538">
        <v>0</v>
      </c>
      <c r="J100" s="538">
        <v>0</v>
      </c>
      <c r="K100" s="816">
        <v>1</v>
      </c>
      <c r="L100" s="538">
        <v>0</v>
      </c>
      <c r="M100" s="538">
        <v>0</v>
      </c>
      <c r="N100" s="538">
        <v>0</v>
      </c>
      <c r="O100" s="538">
        <v>0</v>
      </c>
      <c r="P100" s="538">
        <v>0</v>
      </c>
      <c r="Q100" s="538">
        <v>0</v>
      </c>
      <c r="R100" s="538">
        <v>0</v>
      </c>
      <c r="S100" s="538">
        <v>0</v>
      </c>
      <c r="T100" s="538">
        <v>0</v>
      </c>
      <c r="U100" s="538">
        <v>0</v>
      </c>
      <c r="V100" s="538">
        <v>0</v>
      </c>
      <c r="W100" s="538">
        <v>0</v>
      </c>
      <c r="X100" s="538">
        <v>0</v>
      </c>
      <c r="Y100" s="538">
        <v>0</v>
      </c>
      <c r="Z100" s="538">
        <v>0</v>
      </c>
      <c r="AA100" s="538">
        <v>0</v>
      </c>
      <c r="AB100" s="538">
        <v>0</v>
      </c>
      <c r="AC100" s="538">
        <v>0</v>
      </c>
      <c r="AD100" s="538">
        <v>0</v>
      </c>
      <c r="AE100" s="538">
        <v>0</v>
      </c>
      <c r="AF100" s="538">
        <v>0</v>
      </c>
      <c r="AG100" s="538">
        <v>0</v>
      </c>
      <c r="AH100" s="538">
        <v>0</v>
      </c>
      <c r="AI100" s="538">
        <v>0</v>
      </c>
      <c r="AJ100" s="538">
        <v>0</v>
      </c>
      <c r="AK100" s="816">
        <v>1</v>
      </c>
      <c r="AL100" s="538">
        <v>0</v>
      </c>
      <c r="AM100" s="538">
        <v>0</v>
      </c>
      <c r="AN100" s="538">
        <v>0</v>
      </c>
      <c r="AO100" s="538">
        <v>0</v>
      </c>
      <c r="AP100" s="538">
        <v>0</v>
      </c>
      <c r="AQ100" s="538">
        <v>0</v>
      </c>
      <c r="AR100" s="538">
        <v>0</v>
      </c>
      <c r="AS100" s="538">
        <v>0</v>
      </c>
      <c r="AT100" s="538">
        <v>0</v>
      </c>
      <c r="AU100" s="538">
        <v>0</v>
      </c>
      <c r="AV100" s="538">
        <v>0</v>
      </c>
      <c r="AW100" s="538">
        <v>0</v>
      </c>
      <c r="AX100" s="538">
        <v>0</v>
      </c>
      <c r="AY100" s="538">
        <v>0</v>
      </c>
      <c r="AZ100" s="816">
        <v>1</v>
      </c>
      <c r="BA100" s="538">
        <v>0</v>
      </c>
      <c r="BB100" s="538">
        <v>0</v>
      </c>
      <c r="BC100" s="538">
        <v>0</v>
      </c>
      <c r="BD100" s="538">
        <v>0</v>
      </c>
      <c r="BE100" s="538">
        <v>0</v>
      </c>
      <c r="BF100" s="538">
        <v>0</v>
      </c>
      <c r="BG100" s="538">
        <v>0</v>
      </c>
      <c r="BH100">
        <f t="shared" si="9"/>
        <v>3</v>
      </c>
    </row>
    <row r="101" spans="2:60" ht="15.75" thickBot="1" x14ac:dyDescent="0.3">
      <c r="B101" s="813">
        <f t="shared" si="8"/>
        <v>100</v>
      </c>
      <c r="C101" s="99" t="s">
        <v>397</v>
      </c>
      <c r="D101" s="436">
        <f>HLOOKUP(ProjectData!B$13,G$2:BG$125,B101)</f>
        <v>0</v>
      </c>
      <c r="E101" s="816">
        <v>1</v>
      </c>
      <c r="F101" t="str">
        <f>F100</f>
        <v>TX, NV, CA</v>
      </c>
      <c r="G101" s="538">
        <v>0</v>
      </c>
      <c r="H101" s="538">
        <v>0</v>
      </c>
      <c r="I101" s="538">
        <v>0</v>
      </c>
      <c r="J101" s="538">
        <v>0</v>
      </c>
      <c r="K101" s="816">
        <v>1</v>
      </c>
      <c r="L101" s="538">
        <v>0</v>
      </c>
      <c r="M101" s="538">
        <v>0</v>
      </c>
      <c r="N101" s="538">
        <v>0</v>
      </c>
      <c r="O101" s="538">
        <v>0</v>
      </c>
      <c r="P101" s="538">
        <v>0</v>
      </c>
      <c r="Q101" s="538">
        <v>0</v>
      </c>
      <c r="R101" s="538">
        <v>0</v>
      </c>
      <c r="S101" s="538">
        <v>0</v>
      </c>
      <c r="T101" s="538">
        <v>0</v>
      </c>
      <c r="U101" s="538">
        <v>0</v>
      </c>
      <c r="V101" s="538">
        <v>0</v>
      </c>
      <c r="W101" s="538">
        <v>0</v>
      </c>
      <c r="X101" s="538">
        <v>0</v>
      </c>
      <c r="Y101" s="538">
        <v>0</v>
      </c>
      <c r="Z101" s="538">
        <v>0</v>
      </c>
      <c r="AA101" s="538">
        <v>0</v>
      </c>
      <c r="AB101" s="538">
        <v>0</v>
      </c>
      <c r="AC101" s="538">
        <v>0</v>
      </c>
      <c r="AD101" s="538">
        <v>0</v>
      </c>
      <c r="AE101" s="538">
        <v>0</v>
      </c>
      <c r="AF101" s="538">
        <v>0</v>
      </c>
      <c r="AG101" s="538">
        <v>0</v>
      </c>
      <c r="AH101" s="538">
        <v>0</v>
      </c>
      <c r="AI101" s="538">
        <v>0</v>
      </c>
      <c r="AJ101" s="538">
        <v>0</v>
      </c>
      <c r="AK101" s="816">
        <v>1</v>
      </c>
      <c r="AL101" s="538">
        <v>0</v>
      </c>
      <c r="AM101" s="538">
        <v>0</v>
      </c>
      <c r="AN101" s="538">
        <v>0</v>
      </c>
      <c r="AO101" s="538">
        <v>0</v>
      </c>
      <c r="AP101" s="538">
        <v>0</v>
      </c>
      <c r="AQ101" s="538">
        <v>0</v>
      </c>
      <c r="AR101" s="538">
        <v>0</v>
      </c>
      <c r="AS101" s="538">
        <v>0</v>
      </c>
      <c r="AT101" s="538">
        <v>0</v>
      </c>
      <c r="AU101" s="538">
        <v>0</v>
      </c>
      <c r="AV101" s="538">
        <v>0</v>
      </c>
      <c r="AW101" s="538">
        <v>0</v>
      </c>
      <c r="AX101" s="538">
        <v>0</v>
      </c>
      <c r="AY101" s="538">
        <v>0</v>
      </c>
      <c r="AZ101" s="816">
        <v>1</v>
      </c>
      <c r="BA101" s="538">
        <v>0</v>
      </c>
      <c r="BB101" s="538">
        <v>0</v>
      </c>
      <c r="BC101" s="538">
        <v>0</v>
      </c>
      <c r="BD101" s="538">
        <v>0</v>
      </c>
      <c r="BE101" s="538">
        <v>0</v>
      </c>
      <c r="BF101" s="538">
        <v>0</v>
      </c>
      <c r="BG101" s="538">
        <v>0</v>
      </c>
      <c r="BH101">
        <f t="shared" si="9"/>
        <v>3</v>
      </c>
    </row>
    <row r="102" spans="2:60" x14ac:dyDescent="0.25">
      <c r="B102" s="813">
        <f t="shared" si="8"/>
        <v>101</v>
      </c>
      <c r="C102" s="398" t="s">
        <v>624</v>
      </c>
      <c r="D102" s="358"/>
      <c r="G102" s="538"/>
      <c r="H102" s="538"/>
      <c r="I102" s="538"/>
      <c r="J102" s="538"/>
      <c r="K102" s="538"/>
      <c r="L102" s="538"/>
      <c r="M102" s="538"/>
      <c r="N102" s="538"/>
      <c r="O102" s="538"/>
      <c r="P102" s="538"/>
      <c r="Q102" s="538"/>
      <c r="R102" s="538"/>
      <c r="S102" s="538"/>
      <c r="T102" s="538"/>
      <c r="U102" s="538"/>
      <c r="V102" s="538"/>
      <c r="W102" s="538"/>
      <c r="X102" s="538"/>
      <c r="Y102" s="538"/>
      <c r="Z102" s="538"/>
      <c r="AA102" s="538"/>
      <c r="AB102" s="538"/>
      <c r="AC102" s="538"/>
      <c r="AD102" s="538"/>
      <c r="AE102" s="538"/>
      <c r="AF102" s="538"/>
      <c r="AG102" s="538"/>
      <c r="AH102" s="538"/>
      <c r="AI102" s="538"/>
      <c r="AJ102" s="538"/>
      <c r="AK102" s="538"/>
      <c r="AL102" s="538"/>
      <c r="AM102" s="538"/>
      <c r="AN102" s="538"/>
      <c r="AO102" s="538"/>
      <c r="AP102" s="538"/>
      <c r="AQ102" s="538"/>
      <c r="AR102" s="538"/>
      <c r="AS102" s="538"/>
      <c r="AT102" s="538"/>
      <c r="AU102" s="538"/>
      <c r="AV102" s="538"/>
      <c r="AW102" s="538"/>
      <c r="AX102" s="538"/>
      <c r="AY102" s="538"/>
      <c r="AZ102" s="538"/>
      <c r="BA102" s="538"/>
      <c r="BB102" s="538"/>
      <c r="BC102" s="538"/>
      <c r="BD102" s="538"/>
      <c r="BE102" s="538"/>
      <c r="BF102" s="538"/>
      <c r="BG102" s="538"/>
    </row>
    <row r="103" spans="2:60" x14ac:dyDescent="0.25">
      <c r="B103" s="813">
        <f t="shared" si="8"/>
        <v>102</v>
      </c>
      <c r="C103" s="358" t="s">
        <v>951</v>
      </c>
      <c r="D103" s="358"/>
      <c r="G103" s="538"/>
      <c r="H103" s="538"/>
      <c r="I103" s="538"/>
      <c r="J103" s="538"/>
      <c r="K103" s="538"/>
      <c r="L103" s="538"/>
      <c r="M103" s="538"/>
      <c r="N103" s="538"/>
      <c r="O103" s="538"/>
      <c r="P103" s="538"/>
      <c r="Q103" s="538"/>
      <c r="R103" s="538"/>
      <c r="S103" s="538"/>
      <c r="T103" s="538"/>
      <c r="U103" s="538"/>
      <c r="V103" s="538"/>
      <c r="W103" s="538"/>
      <c r="X103" s="538"/>
      <c r="Y103" s="538"/>
      <c r="Z103" s="538"/>
      <c r="AA103" s="538"/>
      <c r="AB103" s="538"/>
      <c r="AC103" s="538"/>
      <c r="AD103" s="538"/>
      <c r="AE103" s="538"/>
      <c r="AF103" s="538"/>
      <c r="AG103" s="538"/>
      <c r="AH103" s="538"/>
      <c r="AI103" s="538"/>
      <c r="AJ103" s="538"/>
      <c r="AK103" s="538"/>
      <c r="AL103" s="538"/>
      <c r="AM103" s="538"/>
      <c r="AN103" s="538"/>
      <c r="AO103" s="538"/>
      <c r="AP103" s="538"/>
      <c r="AQ103" s="538"/>
      <c r="AR103" s="538"/>
      <c r="AS103" s="538"/>
      <c r="AT103" s="538"/>
      <c r="AU103" s="538"/>
      <c r="AV103" s="538"/>
      <c r="AW103" s="538"/>
      <c r="AX103" s="538"/>
      <c r="AY103" s="538"/>
      <c r="AZ103" s="538"/>
      <c r="BA103" s="538"/>
      <c r="BB103" s="538"/>
      <c r="BC103" s="538"/>
      <c r="BD103" s="538"/>
      <c r="BE103" s="538"/>
      <c r="BF103" s="538"/>
      <c r="BG103" s="538"/>
    </row>
    <row r="104" spans="2:60" x14ac:dyDescent="0.25">
      <c r="B104" s="813">
        <f t="shared" si="8"/>
        <v>103</v>
      </c>
      <c r="C104" s="358" t="s">
        <v>803</v>
      </c>
      <c r="D104" s="358"/>
      <c r="G104" s="538"/>
      <c r="H104" s="538"/>
      <c r="I104" s="538"/>
      <c r="J104" s="538"/>
      <c r="K104" s="538"/>
      <c r="L104" s="538"/>
      <c r="M104" s="538"/>
      <c r="N104" s="538"/>
      <c r="O104" s="538"/>
      <c r="P104" s="538"/>
      <c r="Q104" s="538"/>
      <c r="R104" s="538"/>
      <c r="S104" s="538"/>
      <c r="T104" s="538"/>
      <c r="U104" s="538"/>
      <c r="V104" s="538"/>
      <c r="W104" s="538"/>
      <c r="X104" s="538"/>
      <c r="Y104" s="538"/>
      <c r="Z104" s="538"/>
      <c r="AA104" s="538"/>
      <c r="AB104" s="538"/>
      <c r="AC104" s="538"/>
      <c r="AD104" s="538"/>
      <c r="AE104" s="538"/>
      <c r="AF104" s="538"/>
      <c r="AG104" s="538"/>
      <c r="AH104" s="538"/>
      <c r="AI104" s="538"/>
      <c r="AJ104" s="538"/>
      <c r="AK104" s="538"/>
      <c r="AL104" s="538"/>
      <c r="AM104" s="538"/>
      <c r="AN104" s="538"/>
      <c r="AO104" s="538"/>
      <c r="AP104" s="538"/>
      <c r="AQ104" s="538"/>
      <c r="AR104" s="538"/>
      <c r="AS104" s="538"/>
      <c r="AT104" s="538"/>
      <c r="AU104" s="538"/>
      <c r="AV104" s="538"/>
      <c r="AW104" s="538"/>
      <c r="AX104" s="538"/>
      <c r="AY104" s="538"/>
      <c r="AZ104" s="538"/>
      <c r="BA104" s="538"/>
      <c r="BB104" s="538"/>
      <c r="BC104" s="538"/>
      <c r="BD104" s="538"/>
      <c r="BE104" s="538"/>
      <c r="BF104" s="538"/>
      <c r="BG104" s="538"/>
    </row>
    <row r="105" spans="2:60" x14ac:dyDescent="0.25">
      <c r="B105" s="813">
        <f t="shared" si="8"/>
        <v>104</v>
      </c>
      <c r="C105" s="358" t="s">
        <v>950</v>
      </c>
      <c r="D105" s="358"/>
      <c r="G105" s="538"/>
      <c r="H105" s="538"/>
      <c r="I105" s="538"/>
      <c r="J105" s="538"/>
      <c r="K105" s="538"/>
      <c r="L105" s="538"/>
      <c r="M105" s="538"/>
      <c r="N105" s="538"/>
      <c r="O105" s="538"/>
      <c r="P105" s="538"/>
      <c r="Q105" s="538"/>
      <c r="R105" s="538"/>
      <c r="S105" s="538"/>
      <c r="T105" s="538"/>
      <c r="U105" s="538"/>
      <c r="V105" s="538"/>
      <c r="W105" s="538"/>
      <c r="X105" s="538"/>
      <c r="Y105" s="538"/>
      <c r="Z105" s="538"/>
      <c r="AA105" s="538"/>
      <c r="AB105" s="538"/>
      <c r="AC105" s="538"/>
      <c r="AD105" s="538"/>
      <c r="AE105" s="538"/>
      <c r="AF105" s="538"/>
      <c r="AG105" s="538"/>
      <c r="AH105" s="538"/>
      <c r="AI105" s="538"/>
      <c r="AJ105" s="538"/>
      <c r="AK105" s="538"/>
      <c r="AL105" s="538"/>
      <c r="AM105" s="538"/>
      <c r="AN105" s="538"/>
      <c r="AO105" s="538"/>
      <c r="AP105" s="538"/>
      <c r="AQ105" s="538"/>
      <c r="AR105" s="538"/>
      <c r="AS105" s="538"/>
      <c r="AT105" s="538"/>
      <c r="AU105" s="538"/>
      <c r="AV105" s="538"/>
      <c r="AW105" s="538"/>
      <c r="AX105" s="538"/>
      <c r="AY105" s="538"/>
      <c r="AZ105" s="538"/>
      <c r="BA105" s="538"/>
      <c r="BB105" s="538"/>
      <c r="BC105" s="538"/>
      <c r="BD105" s="538"/>
      <c r="BE105" s="538"/>
      <c r="BF105" s="538"/>
      <c r="BG105" s="538"/>
    </row>
    <row r="106" spans="2:60" x14ac:dyDescent="0.25">
      <c r="B106" s="813">
        <f t="shared" si="8"/>
        <v>105</v>
      </c>
      <c r="C106" s="358"/>
      <c r="D106" s="358"/>
      <c r="G106" s="538"/>
      <c r="H106" s="538"/>
      <c r="I106" s="538"/>
      <c r="J106" s="538"/>
      <c r="K106" s="538"/>
      <c r="L106" s="538"/>
      <c r="M106" s="538"/>
      <c r="N106" s="538"/>
      <c r="O106" s="538"/>
      <c r="P106" s="538"/>
      <c r="Q106" s="538"/>
      <c r="R106" s="538"/>
      <c r="S106" s="538"/>
      <c r="T106" s="538"/>
      <c r="U106" s="538"/>
      <c r="V106" s="538"/>
      <c r="W106" s="538"/>
      <c r="X106" s="538"/>
      <c r="Y106" s="538"/>
      <c r="Z106" s="538"/>
      <c r="AA106" s="538"/>
      <c r="AB106" s="538"/>
      <c r="AC106" s="538"/>
      <c r="AD106" s="538"/>
      <c r="AE106" s="538"/>
      <c r="AF106" s="538"/>
      <c r="AG106" s="538"/>
      <c r="AH106" s="538"/>
      <c r="AI106" s="538"/>
      <c r="AJ106" s="538"/>
      <c r="AK106" s="538"/>
      <c r="AL106" s="538"/>
      <c r="AM106" s="538"/>
      <c r="AN106" s="538"/>
      <c r="AO106" s="538"/>
      <c r="AP106" s="538"/>
      <c r="AQ106" s="538"/>
      <c r="AR106" s="538"/>
      <c r="AS106" s="538"/>
      <c r="AT106" s="538"/>
      <c r="AU106" s="538"/>
      <c r="AV106" s="538"/>
      <c r="AW106" s="538"/>
      <c r="AX106" s="538"/>
      <c r="AY106" s="538"/>
      <c r="AZ106" s="538"/>
      <c r="BA106" s="538"/>
      <c r="BB106" s="538"/>
      <c r="BC106" s="538"/>
      <c r="BD106" s="538"/>
      <c r="BE106" s="538"/>
      <c r="BF106" s="538"/>
      <c r="BG106" s="538"/>
    </row>
    <row r="107" spans="2:60" ht="18.75" x14ac:dyDescent="0.3">
      <c r="B107" s="813">
        <f t="shared" si="8"/>
        <v>106</v>
      </c>
      <c r="C107" s="386" t="s">
        <v>1108</v>
      </c>
      <c r="D107" s="386"/>
      <c r="G107" s="538"/>
      <c r="H107" s="538"/>
      <c r="I107" s="538"/>
      <c r="J107" s="538"/>
      <c r="K107" s="538"/>
      <c r="L107" s="538"/>
      <c r="M107" s="538"/>
      <c r="N107" s="538"/>
      <c r="O107" s="538"/>
      <c r="P107" s="538"/>
      <c r="Q107" s="538"/>
      <c r="R107" s="538"/>
      <c r="S107" s="538"/>
      <c r="T107" s="538"/>
      <c r="U107" s="538"/>
      <c r="V107" s="538"/>
      <c r="W107" s="538"/>
      <c r="X107" s="538"/>
      <c r="Y107" s="538"/>
      <c r="Z107" s="538"/>
      <c r="AA107" s="538"/>
      <c r="AB107" s="538"/>
      <c r="AC107" s="538"/>
      <c r="AD107" s="538"/>
      <c r="AE107" s="538"/>
      <c r="AF107" s="538"/>
      <c r="AG107" s="538"/>
      <c r="AH107" s="538"/>
      <c r="AI107" s="538"/>
      <c r="AJ107" s="538"/>
      <c r="AK107" s="538"/>
      <c r="AL107" s="538"/>
      <c r="AM107" s="538"/>
      <c r="AN107" s="538"/>
      <c r="AO107" s="538"/>
      <c r="AP107" s="538"/>
      <c r="AQ107" s="538"/>
      <c r="AR107" s="538"/>
      <c r="AS107" s="538"/>
      <c r="AT107" s="538"/>
      <c r="AU107" s="538"/>
      <c r="AV107" s="538"/>
      <c r="AW107" s="538"/>
      <c r="AX107" s="538"/>
      <c r="AY107" s="538"/>
      <c r="AZ107" s="538"/>
      <c r="BA107" s="538"/>
      <c r="BB107" s="538"/>
      <c r="BC107" s="538"/>
      <c r="BD107" s="538"/>
      <c r="BE107" s="538"/>
      <c r="BF107" s="538"/>
      <c r="BG107" s="538"/>
    </row>
    <row r="108" spans="2:60" x14ac:dyDescent="0.25">
      <c r="B108" s="813">
        <f t="shared" si="8"/>
        <v>107</v>
      </c>
      <c r="C108" s="815" t="s">
        <v>798</v>
      </c>
      <c r="D108" s="470"/>
      <c r="G108" s="538"/>
      <c r="H108" s="538"/>
      <c r="I108" s="538"/>
      <c r="J108" s="538"/>
      <c r="K108" s="538"/>
      <c r="L108" s="538"/>
      <c r="M108" s="538"/>
      <c r="N108" s="538"/>
      <c r="O108" s="538"/>
      <c r="P108" s="538"/>
      <c r="Q108" s="538"/>
      <c r="R108" s="538"/>
      <c r="S108" s="538"/>
      <c r="T108" s="538"/>
      <c r="U108" s="538"/>
      <c r="V108" s="538"/>
      <c r="W108" s="538"/>
      <c r="X108" s="538"/>
      <c r="Y108" s="538"/>
      <c r="Z108" s="538"/>
      <c r="AA108" s="538"/>
      <c r="AB108" s="538"/>
      <c r="AC108" s="538"/>
      <c r="AD108" s="538"/>
      <c r="AE108" s="538"/>
      <c r="AF108" s="538"/>
      <c r="AG108" s="538"/>
      <c r="AH108" s="538"/>
      <c r="AI108" s="538"/>
      <c r="AJ108" s="538"/>
      <c r="AK108" s="538"/>
      <c r="AL108" s="538"/>
      <c r="AM108" s="538"/>
      <c r="AN108" s="538"/>
      <c r="AO108" s="538"/>
      <c r="AP108" s="538"/>
      <c r="AQ108" s="538"/>
      <c r="AR108" s="538"/>
      <c r="AS108" s="538"/>
      <c r="AT108" s="538"/>
      <c r="AU108" s="538"/>
      <c r="AV108" s="538"/>
      <c r="AW108" s="538"/>
      <c r="AX108" s="538"/>
      <c r="AY108" s="538"/>
      <c r="AZ108" s="538"/>
      <c r="BA108" s="538"/>
      <c r="BB108" s="538"/>
      <c r="BC108" s="538"/>
      <c r="BD108" s="538"/>
      <c r="BE108" s="538"/>
      <c r="BF108" s="538"/>
      <c r="BG108" s="538"/>
    </row>
    <row r="109" spans="2:60" x14ac:dyDescent="0.25">
      <c r="B109" s="813">
        <f t="shared" si="8"/>
        <v>108</v>
      </c>
      <c r="C109" s="420" t="s">
        <v>761</v>
      </c>
      <c r="D109" s="436">
        <f>HLOOKUP(ProjectData!B$13,G$2:BG$125,B109)</f>
        <v>1</v>
      </c>
      <c r="E109" s="817">
        <v>1</v>
      </c>
      <c r="G109" s="817">
        <v>1</v>
      </c>
      <c r="H109" s="817">
        <v>1</v>
      </c>
      <c r="I109" s="817">
        <v>1</v>
      </c>
      <c r="J109" s="817">
        <v>1</v>
      </c>
      <c r="K109" s="817">
        <v>1</v>
      </c>
      <c r="L109" s="817">
        <v>1</v>
      </c>
      <c r="M109" s="817">
        <v>1</v>
      </c>
      <c r="N109" s="817">
        <v>1</v>
      </c>
      <c r="O109" s="817">
        <v>1</v>
      </c>
      <c r="P109" s="817">
        <v>1</v>
      </c>
      <c r="Q109" s="817">
        <v>1</v>
      </c>
      <c r="R109" s="817">
        <v>1</v>
      </c>
      <c r="S109" s="817">
        <v>1</v>
      </c>
      <c r="T109" s="817">
        <v>1</v>
      </c>
      <c r="U109" s="817">
        <v>1</v>
      </c>
      <c r="V109" s="817">
        <v>1</v>
      </c>
      <c r="W109" s="817">
        <v>1</v>
      </c>
      <c r="X109" s="817">
        <v>1</v>
      </c>
      <c r="Y109" s="817">
        <v>1</v>
      </c>
      <c r="Z109" s="817">
        <v>1</v>
      </c>
      <c r="AA109" s="817">
        <v>1</v>
      </c>
      <c r="AB109" s="817">
        <v>1</v>
      </c>
      <c r="AC109" s="817">
        <v>1</v>
      </c>
      <c r="AD109" s="817">
        <v>1</v>
      </c>
      <c r="AE109" s="817">
        <v>1</v>
      </c>
      <c r="AF109" s="817">
        <v>1</v>
      </c>
      <c r="AG109" s="817">
        <v>1</v>
      </c>
      <c r="AH109" s="817">
        <v>1</v>
      </c>
      <c r="AI109" s="817">
        <v>1</v>
      </c>
      <c r="AJ109" s="817">
        <v>1</v>
      </c>
      <c r="AK109" s="817">
        <v>1</v>
      </c>
      <c r="AL109" s="817">
        <v>1</v>
      </c>
      <c r="AM109" s="817">
        <v>1</v>
      </c>
      <c r="AN109" s="817">
        <v>1</v>
      </c>
      <c r="AO109" s="817">
        <v>1</v>
      </c>
      <c r="AP109" s="817">
        <v>1</v>
      </c>
      <c r="AQ109" s="817">
        <v>1</v>
      </c>
      <c r="AR109" s="817">
        <v>1</v>
      </c>
      <c r="AS109" s="817">
        <v>1</v>
      </c>
      <c r="AT109" s="817">
        <v>1</v>
      </c>
      <c r="AU109" s="817">
        <v>1</v>
      </c>
      <c r="AV109" s="817">
        <v>1</v>
      </c>
      <c r="AW109" s="817">
        <v>1</v>
      </c>
      <c r="AX109" s="817">
        <v>1</v>
      </c>
      <c r="AY109" s="817">
        <v>1</v>
      </c>
      <c r="AZ109" s="817">
        <v>1</v>
      </c>
      <c r="BA109" s="817">
        <v>1</v>
      </c>
      <c r="BB109" s="817">
        <v>1</v>
      </c>
      <c r="BC109" s="817">
        <v>1</v>
      </c>
      <c r="BD109" s="817">
        <v>1</v>
      </c>
      <c r="BE109" s="817">
        <v>1</v>
      </c>
      <c r="BF109" s="817">
        <v>1</v>
      </c>
      <c r="BG109" s="817">
        <v>1</v>
      </c>
      <c r="BH109">
        <f>COUNTIF(G109:BG109,"&gt;0")</f>
        <v>53</v>
      </c>
    </row>
    <row r="110" spans="2:60" x14ac:dyDescent="0.25">
      <c r="B110" s="813">
        <f t="shared" si="8"/>
        <v>109</v>
      </c>
      <c r="C110" s="420" t="s">
        <v>762</v>
      </c>
      <c r="D110" s="436">
        <f>HLOOKUP(ProjectData!B$13,G$2:BG$125,B110)</f>
        <v>1</v>
      </c>
      <c r="E110" s="817">
        <v>1</v>
      </c>
      <c r="G110" s="817">
        <v>1</v>
      </c>
      <c r="H110" s="817">
        <v>1</v>
      </c>
      <c r="I110" s="817">
        <v>1</v>
      </c>
      <c r="J110" s="817">
        <v>1</v>
      </c>
      <c r="K110" s="817">
        <v>1</v>
      </c>
      <c r="L110" s="817">
        <v>1</v>
      </c>
      <c r="M110" s="817">
        <v>1</v>
      </c>
      <c r="N110" s="817">
        <v>1</v>
      </c>
      <c r="O110" s="817">
        <v>1</v>
      </c>
      <c r="P110" s="817">
        <v>1</v>
      </c>
      <c r="Q110" s="817">
        <v>1</v>
      </c>
      <c r="R110" s="817">
        <v>1</v>
      </c>
      <c r="S110" s="817">
        <v>1</v>
      </c>
      <c r="T110" s="817">
        <v>1</v>
      </c>
      <c r="U110" s="817">
        <v>1</v>
      </c>
      <c r="V110" s="817">
        <v>1</v>
      </c>
      <c r="W110" s="817">
        <v>1</v>
      </c>
      <c r="X110" s="817">
        <v>1</v>
      </c>
      <c r="Y110" s="817">
        <v>1</v>
      </c>
      <c r="Z110" s="817">
        <v>1</v>
      </c>
      <c r="AA110" s="817">
        <v>1</v>
      </c>
      <c r="AB110" s="817">
        <v>1</v>
      </c>
      <c r="AC110" s="817">
        <v>1</v>
      </c>
      <c r="AD110" s="817">
        <v>1</v>
      </c>
      <c r="AE110" s="817">
        <v>1</v>
      </c>
      <c r="AF110" s="817">
        <v>1</v>
      </c>
      <c r="AG110" s="817">
        <v>1</v>
      </c>
      <c r="AH110" s="817">
        <v>1</v>
      </c>
      <c r="AI110" s="817">
        <v>1</v>
      </c>
      <c r="AJ110" s="817">
        <v>1</v>
      </c>
      <c r="AK110" s="817">
        <v>1</v>
      </c>
      <c r="AL110" s="817">
        <v>1</v>
      </c>
      <c r="AM110" s="817">
        <v>1</v>
      </c>
      <c r="AN110" s="817">
        <v>1</v>
      </c>
      <c r="AO110" s="817">
        <v>1</v>
      </c>
      <c r="AP110" s="817">
        <v>1</v>
      </c>
      <c r="AQ110" s="817">
        <v>1</v>
      </c>
      <c r="AR110" s="817">
        <v>1</v>
      </c>
      <c r="AS110" s="817">
        <v>1</v>
      </c>
      <c r="AT110" s="817">
        <v>1</v>
      </c>
      <c r="AU110" s="817">
        <v>1</v>
      </c>
      <c r="AV110" s="817">
        <v>1</v>
      </c>
      <c r="AW110" s="817">
        <v>1</v>
      </c>
      <c r="AX110" s="817">
        <v>1</v>
      </c>
      <c r="AY110" s="817">
        <v>1</v>
      </c>
      <c r="AZ110" s="817">
        <v>1</v>
      </c>
      <c r="BA110" s="817">
        <v>1</v>
      </c>
      <c r="BB110" s="817">
        <v>1</v>
      </c>
      <c r="BC110" s="817">
        <v>1</v>
      </c>
      <c r="BD110" s="817">
        <v>1</v>
      </c>
      <c r="BE110" s="817">
        <v>1</v>
      </c>
      <c r="BF110" s="817">
        <v>1</v>
      </c>
      <c r="BG110" s="817">
        <v>1</v>
      </c>
      <c r="BH110">
        <f>COUNTIF(G110:BG110,"&gt;0")</f>
        <v>53</v>
      </c>
    </row>
    <row r="111" spans="2:60" x14ac:dyDescent="0.25">
      <c r="B111" s="813">
        <f t="shared" si="8"/>
        <v>110</v>
      </c>
      <c r="C111" s="420" t="s">
        <v>948</v>
      </c>
      <c r="D111" s="426"/>
      <c r="G111" s="538"/>
      <c r="H111" s="538"/>
      <c r="I111" s="538"/>
      <c r="J111" s="538"/>
      <c r="K111" s="538"/>
      <c r="L111" s="538"/>
      <c r="M111" s="538"/>
      <c r="N111" s="538"/>
      <c r="O111" s="538"/>
      <c r="P111" s="538"/>
      <c r="Q111" s="538"/>
      <c r="R111" s="538"/>
      <c r="S111" s="538"/>
      <c r="T111" s="538"/>
      <c r="U111" s="538"/>
      <c r="V111" s="538"/>
      <c r="W111" s="538"/>
      <c r="X111" s="538"/>
      <c r="Y111" s="538"/>
      <c r="Z111" s="538"/>
      <c r="AA111" s="538"/>
      <c r="AB111" s="538"/>
      <c r="AC111" s="538"/>
      <c r="AD111" s="538"/>
      <c r="AE111" s="538"/>
      <c r="AF111" s="538"/>
      <c r="AG111" s="538"/>
      <c r="AH111" s="538"/>
      <c r="AI111" s="538"/>
      <c r="AJ111" s="538"/>
      <c r="AK111" s="538"/>
      <c r="AL111" s="538"/>
      <c r="AM111" s="538"/>
      <c r="AN111" s="538"/>
      <c r="AO111" s="538"/>
      <c r="AP111" s="538"/>
      <c r="AQ111" s="538"/>
      <c r="AR111" s="538"/>
      <c r="AS111" s="538"/>
      <c r="AT111" s="538"/>
      <c r="AU111" s="538"/>
      <c r="AV111" s="538"/>
      <c r="AW111" s="538"/>
      <c r="AX111" s="538"/>
      <c r="AY111" s="538"/>
      <c r="AZ111" s="538"/>
      <c r="BA111" s="538"/>
      <c r="BB111" s="538"/>
      <c r="BC111" s="538"/>
      <c r="BD111" s="538"/>
      <c r="BE111" s="538"/>
      <c r="BF111" s="538"/>
      <c r="BG111" s="538"/>
    </row>
    <row r="112" spans="2:60" x14ac:dyDescent="0.25">
      <c r="B112" s="813">
        <f t="shared" si="8"/>
        <v>111</v>
      </c>
      <c r="C112" s="815" t="s">
        <v>797</v>
      </c>
      <c r="D112" s="470"/>
      <c r="G112" s="538"/>
      <c r="H112" s="538"/>
      <c r="I112" s="538"/>
      <c r="J112" s="538"/>
      <c r="K112" s="538"/>
      <c r="L112" s="538"/>
      <c r="M112" s="538"/>
      <c r="N112" s="538"/>
      <c r="O112" s="538"/>
      <c r="P112" s="538"/>
      <c r="Q112" s="538"/>
      <c r="R112" s="538"/>
      <c r="S112" s="538"/>
      <c r="T112" s="538"/>
      <c r="U112" s="538"/>
      <c r="V112" s="538"/>
      <c r="W112" s="538"/>
      <c r="X112" s="538"/>
      <c r="Y112" s="538"/>
      <c r="Z112" s="538"/>
      <c r="AA112" s="538"/>
      <c r="AB112" s="538"/>
      <c r="AC112" s="538"/>
      <c r="AD112" s="538"/>
      <c r="AE112" s="538"/>
      <c r="AF112" s="538"/>
      <c r="AG112" s="538"/>
      <c r="AH112" s="538"/>
      <c r="AI112" s="538"/>
      <c r="AJ112" s="538"/>
      <c r="AK112" s="538"/>
      <c r="AL112" s="538"/>
      <c r="AM112" s="538"/>
      <c r="AN112" s="538"/>
      <c r="AO112" s="538"/>
      <c r="AP112" s="538"/>
      <c r="AQ112" s="538"/>
      <c r="AR112" s="538"/>
      <c r="AS112" s="538"/>
      <c r="AT112" s="538"/>
      <c r="AU112" s="538"/>
      <c r="AV112" s="538"/>
      <c r="AW112" s="538"/>
      <c r="AX112" s="538"/>
      <c r="AY112" s="538"/>
      <c r="AZ112" s="538"/>
      <c r="BA112" s="538"/>
      <c r="BB112" s="538"/>
      <c r="BC112" s="538"/>
      <c r="BD112" s="538"/>
      <c r="BE112" s="538"/>
      <c r="BF112" s="538"/>
      <c r="BG112" s="538"/>
    </row>
    <row r="113" spans="1:60" x14ac:dyDescent="0.25">
      <c r="B113" s="813">
        <f t="shared" si="8"/>
        <v>112</v>
      </c>
      <c r="C113" s="420" t="s">
        <v>794</v>
      </c>
      <c r="D113" s="436">
        <f>HLOOKUP(ProjectData!B$13,G$2:BG$125,B113)</f>
        <v>0</v>
      </c>
      <c r="E113" s="813" t="s">
        <v>1114</v>
      </c>
      <c r="G113" s="538">
        <v>0</v>
      </c>
      <c r="H113" s="538">
        <v>0</v>
      </c>
      <c r="I113" s="538">
        <v>0</v>
      </c>
      <c r="J113" s="538">
        <v>0</v>
      </c>
      <c r="K113" s="538">
        <v>0</v>
      </c>
      <c r="L113" s="538">
        <v>0</v>
      </c>
      <c r="M113" s="538">
        <v>0</v>
      </c>
      <c r="N113" s="538">
        <v>0</v>
      </c>
      <c r="O113" s="538">
        <v>0</v>
      </c>
      <c r="P113" s="538">
        <v>0</v>
      </c>
      <c r="Q113" s="538">
        <v>0</v>
      </c>
      <c r="R113" s="538">
        <v>0</v>
      </c>
      <c r="S113" s="538">
        <v>0</v>
      </c>
      <c r="T113" s="538">
        <v>0</v>
      </c>
      <c r="U113" s="538">
        <v>0</v>
      </c>
      <c r="V113" s="538">
        <v>0</v>
      </c>
      <c r="W113" s="538">
        <v>0</v>
      </c>
      <c r="X113" s="538">
        <v>0</v>
      </c>
      <c r="Y113" s="538">
        <v>0</v>
      </c>
      <c r="Z113" s="538">
        <v>0</v>
      </c>
      <c r="AA113" s="538">
        <v>0</v>
      </c>
      <c r="AB113" s="538">
        <v>0</v>
      </c>
      <c r="AC113" s="538">
        <v>0</v>
      </c>
      <c r="AD113" s="538">
        <v>0</v>
      </c>
      <c r="AE113" s="538">
        <v>0</v>
      </c>
      <c r="AF113" s="538">
        <v>0</v>
      </c>
      <c r="AG113" s="538">
        <v>0</v>
      </c>
      <c r="AH113" s="538">
        <v>0</v>
      </c>
      <c r="AI113" s="538">
        <v>0</v>
      </c>
      <c r="AJ113" s="538">
        <v>0</v>
      </c>
      <c r="AK113" s="538">
        <v>0</v>
      </c>
      <c r="AL113" s="538">
        <v>0</v>
      </c>
      <c r="AM113" s="538">
        <v>0</v>
      </c>
      <c r="AN113" s="538">
        <v>0</v>
      </c>
      <c r="AO113" s="538">
        <v>0</v>
      </c>
      <c r="AP113" s="538">
        <v>0</v>
      </c>
      <c r="AQ113" s="538">
        <v>0</v>
      </c>
      <c r="AR113" s="538">
        <v>0</v>
      </c>
      <c r="AS113" s="538">
        <v>0</v>
      </c>
      <c r="AT113" s="538">
        <v>0</v>
      </c>
      <c r="AU113" s="538">
        <v>0</v>
      </c>
      <c r="AV113" s="538">
        <v>0</v>
      </c>
      <c r="AW113" s="538">
        <v>0</v>
      </c>
      <c r="AX113" s="538">
        <v>0</v>
      </c>
      <c r="AY113" s="538">
        <v>0</v>
      </c>
      <c r="AZ113" s="538">
        <v>0</v>
      </c>
      <c r="BA113" s="538">
        <v>0</v>
      </c>
      <c r="BB113" s="538">
        <v>0</v>
      </c>
      <c r="BC113" s="538">
        <v>0</v>
      </c>
      <c r="BD113" s="538">
        <v>0</v>
      </c>
      <c r="BE113" s="538">
        <v>0</v>
      </c>
      <c r="BF113" s="538">
        <v>0</v>
      </c>
      <c r="BG113" s="538">
        <v>0</v>
      </c>
      <c r="BH113">
        <f t="shared" ref="BH113:BH118" si="10">COUNTIF(G113:BG113,"&gt;0")</f>
        <v>0</v>
      </c>
    </row>
    <row r="114" spans="1:60" x14ac:dyDescent="0.25">
      <c r="B114" s="813">
        <f t="shared" si="8"/>
        <v>113</v>
      </c>
      <c r="C114" s="420" t="s">
        <v>795</v>
      </c>
      <c r="D114" s="436">
        <f>HLOOKUP(ProjectData!B$13,G$2:BG$125,B114)</f>
        <v>0</v>
      </c>
      <c r="E114" s="813" t="s">
        <v>1114</v>
      </c>
      <c r="G114" s="538">
        <v>0</v>
      </c>
      <c r="H114" s="538">
        <v>0</v>
      </c>
      <c r="I114" s="538">
        <v>0</v>
      </c>
      <c r="J114" s="538">
        <v>0</v>
      </c>
      <c r="K114" s="538">
        <v>0</v>
      </c>
      <c r="L114" s="538">
        <v>0</v>
      </c>
      <c r="M114" s="538">
        <v>0</v>
      </c>
      <c r="N114" s="538">
        <v>0</v>
      </c>
      <c r="O114" s="538">
        <v>0</v>
      </c>
      <c r="P114" s="538">
        <v>0</v>
      </c>
      <c r="Q114" s="538">
        <v>0</v>
      </c>
      <c r="R114" s="538">
        <v>0</v>
      </c>
      <c r="S114" s="538">
        <v>0</v>
      </c>
      <c r="T114" s="538">
        <v>0</v>
      </c>
      <c r="U114" s="538">
        <v>0</v>
      </c>
      <c r="V114" s="538">
        <v>0</v>
      </c>
      <c r="W114" s="538">
        <v>0</v>
      </c>
      <c r="X114" s="538">
        <v>0</v>
      </c>
      <c r="Y114" s="538">
        <v>0</v>
      </c>
      <c r="Z114" s="538">
        <v>0</v>
      </c>
      <c r="AA114" s="538">
        <v>0</v>
      </c>
      <c r="AB114" s="538">
        <v>0</v>
      </c>
      <c r="AC114" s="538">
        <v>0</v>
      </c>
      <c r="AD114" s="538">
        <v>0</v>
      </c>
      <c r="AE114" s="538">
        <v>0</v>
      </c>
      <c r="AF114" s="538">
        <v>0</v>
      </c>
      <c r="AG114" s="538">
        <v>0</v>
      </c>
      <c r="AH114" s="538">
        <v>0</v>
      </c>
      <c r="AI114" s="538">
        <v>0</v>
      </c>
      <c r="AJ114" s="538">
        <v>0</v>
      </c>
      <c r="AK114" s="538">
        <v>0</v>
      </c>
      <c r="AL114" s="538">
        <v>0</v>
      </c>
      <c r="AM114" s="538">
        <v>0</v>
      </c>
      <c r="AN114" s="538">
        <v>0</v>
      </c>
      <c r="AO114" s="538">
        <v>0</v>
      </c>
      <c r="AP114" s="538">
        <v>0</v>
      </c>
      <c r="AQ114" s="538">
        <v>0</v>
      </c>
      <c r="AR114" s="538">
        <v>0</v>
      </c>
      <c r="AS114" s="538">
        <v>0</v>
      </c>
      <c r="AT114" s="538">
        <v>0</v>
      </c>
      <c r="AU114" s="538">
        <v>0</v>
      </c>
      <c r="AV114" s="538">
        <v>0</v>
      </c>
      <c r="AW114" s="538">
        <v>0</v>
      </c>
      <c r="AX114" s="538">
        <v>0</v>
      </c>
      <c r="AY114" s="538">
        <v>0</v>
      </c>
      <c r="AZ114" s="538">
        <v>0</v>
      </c>
      <c r="BA114" s="538">
        <v>0</v>
      </c>
      <c r="BB114" s="538">
        <v>0</v>
      </c>
      <c r="BC114" s="538">
        <v>0</v>
      </c>
      <c r="BD114" s="538">
        <v>0</v>
      </c>
      <c r="BE114" s="538">
        <v>0</v>
      </c>
      <c r="BF114" s="538">
        <v>0</v>
      </c>
      <c r="BG114" s="538">
        <v>0</v>
      </c>
      <c r="BH114">
        <f t="shared" si="10"/>
        <v>0</v>
      </c>
    </row>
    <row r="115" spans="1:60" x14ac:dyDescent="0.25">
      <c r="B115" s="813">
        <f t="shared" si="8"/>
        <v>114</v>
      </c>
      <c r="C115" s="99" t="s">
        <v>97</v>
      </c>
      <c r="D115" s="436">
        <f>HLOOKUP(ProjectData!B$13,G$2:BG$125,B115)</f>
        <v>0</v>
      </c>
      <c r="E115" s="813" t="s">
        <v>1114</v>
      </c>
      <c r="G115" s="538">
        <v>0</v>
      </c>
      <c r="H115" s="538">
        <v>0</v>
      </c>
      <c r="I115" s="538">
        <v>0</v>
      </c>
      <c r="J115" s="538">
        <v>0</v>
      </c>
      <c r="K115" s="538">
        <v>0</v>
      </c>
      <c r="L115" s="538">
        <v>0</v>
      </c>
      <c r="M115" s="538">
        <v>0</v>
      </c>
      <c r="N115" s="538">
        <v>0</v>
      </c>
      <c r="O115" s="538">
        <v>0</v>
      </c>
      <c r="P115" s="538">
        <v>0</v>
      </c>
      <c r="Q115" s="538">
        <v>0</v>
      </c>
      <c r="R115" s="538">
        <v>0</v>
      </c>
      <c r="S115" s="538">
        <v>0</v>
      </c>
      <c r="T115" s="538">
        <v>0</v>
      </c>
      <c r="U115" s="538">
        <v>0</v>
      </c>
      <c r="V115" s="538">
        <v>0</v>
      </c>
      <c r="W115" s="538">
        <v>0</v>
      </c>
      <c r="X115" s="538">
        <v>0</v>
      </c>
      <c r="Y115" s="538">
        <v>0</v>
      </c>
      <c r="Z115" s="538">
        <v>0</v>
      </c>
      <c r="AA115" s="538">
        <v>0</v>
      </c>
      <c r="AB115" s="538">
        <v>0</v>
      </c>
      <c r="AC115" s="538">
        <v>0</v>
      </c>
      <c r="AD115" s="538">
        <v>0</v>
      </c>
      <c r="AE115" s="538">
        <v>0</v>
      </c>
      <c r="AF115" s="538">
        <v>0</v>
      </c>
      <c r="AG115" s="538">
        <v>0</v>
      </c>
      <c r="AH115" s="538">
        <v>0</v>
      </c>
      <c r="AI115" s="538">
        <v>0</v>
      </c>
      <c r="AJ115" s="538">
        <v>0</v>
      </c>
      <c r="AK115" s="538">
        <v>0</v>
      </c>
      <c r="AL115" s="538">
        <v>0</v>
      </c>
      <c r="AM115" s="538">
        <v>0</v>
      </c>
      <c r="AN115" s="538">
        <v>0</v>
      </c>
      <c r="AO115" s="538">
        <v>0</v>
      </c>
      <c r="AP115" s="538">
        <v>0</v>
      </c>
      <c r="AQ115" s="538">
        <v>0</v>
      </c>
      <c r="AR115" s="538">
        <v>0</v>
      </c>
      <c r="AS115" s="538">
        <v>0</v>
      </c>
      <c r="AT115" s="538">
        <v>0</v>
      </c>
      <c r="AU115" s="538">
        <v>0</v>
      </c>
      <c r="AV115" s="538">
        <v>0</v>
      </c>
      <c r="AW115" s="538">
        <v>0</v>
      </c>
      <c r="AX115" s="538">
        <v>0</v>
      </c>
      <c r="AY115" s="538">
        <v>0</v>
      </c>
      <c r="AZ115" s="538">
        <v>0</v>
      </c>
      <c r="BA115" s="538">
        <v>0</v>
      </c>
      <c r="BB115" s="538">
        <v>0</v>
      </c>
      <c r="BC115" s="538">
        <v>0</v>
      </c>
      <c r="BD115" s="538">
        <v>0</v>
      </c>
      <c r="BE115" s="538">
        <v>0</v>
      </c>
      <c r="BF115" s="538">
        <v>0</v>
      </c>
      <c r="BG115" s="538">
        <v>0</v>
      </c>
      <c r="BH115">
        <f t="shared" si="10"/>
        <v>0</v>
      </c>
    </row>
    <row r="116" spans="1:60" x14ac:dyDescent="0.25">
      <c r="B116" s="813">
        <f t="shared" si="8"/>
        <v>115</v>
      </c>
      <c r="C116" s="99" t="s">
        <v>96</v>
      </c>
      <c r="D116" s="436">
        <f>HLOOKUP(ProjectData!B$13,G$2:BG$125,B116)</f>
        <v>0</v>
      </c>
      <c r="E116" s="813" t="s">
        <v>1114</v>
      </c>
      <c r="G116" s="538">
        <v>0</v>
      </c>
      <c r="H116" s="538">
        <v>0</v>
      </c>
      <c r="I116" s="538">
        <v>0</v>
      </c>
      <c r="J116" s="538">
        <v>0</v>
      </c>
      <c r="K116" s="538">
        <v>0</v>
      </c>
      <c r="L116" s="538">
        <v>0</v>
      </c>
      <c r="M116" s="538">
        <v>0</v>
      </c>
      <c r="N116" s="538">
        <v>0</v>
      </c>
      <c r="O116" s="538">
        <v>0</v>
      </c>
      <c r="P116" s="538">
        <v>0</v>
      </c>
      <c r="Q116" s="538">
        <v>0</v>
      </c>
      <c r="R116" s="538">
        <v>0</v>
      </c>
      <c r="S116" s="538">
        <v>0</v>
      </c>
      <c r="T116" s="538">
        <v>0</v>
      </c>
      <c r="U116" s="538">
        <v>0</v>
      </c>
      <c r="V116" s="538">
        <v>0</v>
      </c>
      <c r="W116" s="538">
        <v>0</v>
      </c>
      <c r="X116" s="538">
        <v>0</v>
      </c>
      <c r="Y116" s="538">
        <v>0</v>
      </c>
      <c r="Z116" s="538">
        <v>0</v>
      </c>
      <c r="AA116" s="538">
        <v>0</v>
      </c>
      <c r="AB116" s="538">
        <v>0</v>
      </c>
      <c r="AC116" s="538">
        <v>0</v>
      </c>
      <c r="AD116" s="538">
        <v>0</v>
      </c>
      <c r="AE116" s="538">
        <v>0</v>
      </c>
      <c r="AF116" s="538">
        <v>0</v>
      </c>
      <c r="AG116" s="538">
        <v>0</v>
      </c>
      <c r="AH116" s="538">
        <v>0</v>
      </c>
      <c r="AI116" s="538">
        <v>0</v>
      </c>
      <c r="AJ116" s="538">
        <v>0</v>
      </c>
      <c r="AK116" s="538">
        <v>0</v>
      </c>
      <c r="AL116" s="538">
        <v>0</v>
      </c>
      <c r="AM116" s="538">
        <v>0</v>
      </c>
      <c r="AN116" s="538">
        <v>0</v>
      </c>
      <c r="AO116" s="538">
        <v>0</v>
      </c>
      <c r="AP116" s="538">
        <v>0</v>
      </c>
      <c r="AQ116" s="538">
        <v>0</v>
      </c>
      <c r="AR116" s="538">
        <v>0</v>
      </c>
      <c r="AS116" s="538">
        <v>0</v>
      </c>
      <c r="AT116" s="538">
        <v>0</v>
      </c>
      <c r="AU116" s="538">
        <v>0</v>
      </c>
      <c r="AV116" s="538">
        <v>0</v>
      </c>
      <c r="AW116" s="538">
        <v>0</v>
      </c>
      <c r="AX116" s="538">
        <v>0</v>
      </c>
      <c r="AY116" s="538">
        <v>0</v>
      </c>
      <c r="AZ116" s="538">
        <v>0</v>
      </c>
      <c r="BA116" s="538">
        <v>0</v>
      </c>
      <c r="BB116" s="538">
        <v>0</v>
      </c>
      <c r="BC116" s="538">
        <v>0</v>
      </c>
      <c r="BD116" s="538">
        <v>0</v>
      </c>
      <c r="BE116" s="538">
        <v>0</v>
      </c>
      <c r="BF116" s="538">
        <v>0</v>
      </c>
      <c r="BG116" s="538">
        <v>0</v>
      </c>
      <c r="BH116">
        <f t="shared" si="10"/>
        <v>0</v>
      </c>
    </row>
    <row r="117" spans="1:60" x14ac:dyDescent="0.25">
      <c r="B117" s="813">
        <f t="shared" si="8"/>
        <v>116</v>
      </c>
      <c r="C117" s="99" t="s">
        <v>94</v>
      </c>
      <c r="D117" s="436">
        <f>HLOOKUP(ProjectData!B$13,G$2:BG$125,B117)</f>
        <v>0</v>
      </c>
      <c r="E117" s="813" t="s">
        <v>1114</v>
      </c>
      <c r="G117" s="538">
        <v>0</v>
      </c>
      <c r="H117" s="538">
        <v>0</v>
      </c>
      <c r="I117" s="538">
        <v>0</v>
      </c>
      <c r="J117" s="538">
        <v>0</v>
      </c>
      <c r="K117" s="538">
        <v>0</v>
      </c>
      <c r="L117" s="538">
        <v>0</v>
      </c>
      <c r="M117" s="538">
        <v>0</v>
      </c>
      <c r="N117" s="538">
        <v>0</v>
      </c>
      <c r="O117" s="538">
        <v>0</v>
      </c>
      <c r="P117" s="538">
        <v>0</v>
      </c>
      <c r="Q117" s="538">
        <v>0</v>
      </c>
      <c r="R117" s="538">
        <v>0</v>
      </c>
      <c r="S117" s="538">
        <v>0</v>
      </c>
      <c r="T117" s="538">
        <v>0</v>
      </c>
      <c r="U117" s="538">
        <v>0</v>
      </c>
      <c r="V117" s="538">
        <v>0</v>
      </c>
      <c r="W117" s="538">
        <v>0</v>
      </c>
      <c r="X117" s="538">
        <v>0</v>
      </c>
      <c r="Y117" s="538">
        <v>0</v>
      </c>
      <c r="Z117" s="538">
        <v>0</v>
      </c>
      <c r="AA117" s="538">
        <v>0</v>
      </c>
      <c r="AB117" s="538">
        <v>0</v>
      </c>
      <c r="AC117" s="538">
        <v>0</v>
      </c>
      <c r="AD117" s="538">
        <v>0</v>
      </c>
      <c r="AE117" s="538">
        <v>0</v>
      </c>
      <c r="AF117" s="538">
        <v>0</v>
      </c>
      <c r="AG117" s="538">
        <v>0</v>
      </c>
      <c r="AH117" s="538">
        <v>0</v>
      </c>
      <c r="AI117" s="538">
        <v>0</v>
      </c>
      <c r="AJ117" s="538">
        <v>0</v>
      </c>
      <c r="AK117" s="538">
        <v>0</v>
      </c>
      <c r="AL117" s="538">
        <v>0</v>
      </c>
      <c r="AM117" s="538">
        <v>0</v>
      </c>
      <c r="AN117" s="538">
        <v>0</v>
      </c>
      <c r="AO117" s="538">
        <v>0</v>
      </c>
      <c r="AP117" s="538">
        <v>0</v>
      </c>
      <c r="AQ117" s="538">
        <v>0</v>
      </c>
      <c r="AR117" s="538">
        <v>0</v>
      </c>
      <c r="AS117" s="538">
        <v>0</v>
      </c>
      <c r="AT117" s="538">
        <v>0</v>
      </c>
      <c r="AU117" s="538">
        <v>0</v>
      </c>
      <c r="AV117" s="538">
        <v>0</v>
      </c>
      <c r="AW117" s="538">
        <v>0</v>
      </c>
      <c r="AX117" s="538">
        <v>0</v>
      </c>
      <c r="AY117" s="538">
        <v>0</v>
      </c>
      <c r="AZ117" s="538">
        <v>0</v>
      </c>
      <c r="BA117" s="538">
        <v>0</v>
      </c>
      <c r="BB117" s="538">
        <v>0</v>
      </c>
      <c r="BC117" s="538">
        <v>0</v>
      </c>
      <c r="BD117" s="538">
        <v>0</v>
      </c>
      <c r="BE117" s="538">
        <v>0</v>
      </c>
      <c r="BF117" s="538">
        <v>0</v>
      </c>
      <c r="BG117" s="538">
        <v>0</v>
      </c>
      <c r="BH117">
        <f t="shared" si="10"/>
        <v>0</v>
      </c>
    </row>
    <row r="118" spans="1:60" x14ac:dyDescent="0.25">
      <c r="B118" s="813">
        <f t="shared" si="8"/>
        <v>117</v>
      </c>
      <c r="C118" s="99" t="s">
        <v>796</v>
      </c>
      <c r="D118" s="436">
        <f>HLOOKUP(ProjectData!B$13,G$2:BG$125,B118)</f>
        <v>0</v>
      </c>
      <c r="E118" s="813" t="s">
        <v>1114</v>
      </c>
      <c r="G118" s="538">
        <v>0</v>
      </c>
      <c r="H118" s="538">
        <v>0</v>
      </c>
      <c r="I118" s="538">
        <v>0</v>
      </c>
      <c r="J118" s="538">
        <v>0</v>
      </c>
      <c r="K118" s="538">
        <v>0</v>
      </c>
      <c r="L118" s="538">
        <v>0</v>
      </c>
      <c r="M118" s="538">
        <v>0</v>
      </c>
      <c r="N118" s="538">
        <v>0</v>
      </c>
      <c r="O118" s="538">
        <v>0</v>
      </c>
      <c r="P118" s="538">
        <v>0</v>
      </c>
      <c r="Q118" s="538">
        <v>0</v>
      </c>
      <c r="R118" s="538">
        <v>0</v>
      </c>
      <c r="S118" s="538">
        <v>0</v>
      </c>
      <c r="T118" s="538">
        <v>0</v>
      </c>
      <c r="U118" s="538">
        <v>0</v>
      </c>
      <c r="V118" s="538">
        <v>0</v>
      </c>
      <c r="W118" s="538">
        <v>0</v>
      </c>
      <c r="X118" s="538">
        <v>0</v>
      </c>
      <c r="Y118" s="538">
        <v>0</v>
      </c>
      <c r="Z118" s="538">
        <v>0</v>
      </c>
      <c r="AA118" s="538">
        <v>0</v>
      </c>
      <c r="AB118" s="538">
        <v>0</v>
      </c>
      <c r="AC118" s="538">
        <v>0</v>
      </c>
      <c r="AD118" s="538">
        <v>0</v>
      </c>
      <c r="AE118" s="538">
        <v>0</v>
      </c>
      <c r="AF118" s="538">
        <v>0</v>
      </c>
      <c r="AG118" s="538">
        <v>0</v>
      </c>
      <c r="AH118" s="538">
        <v>0</v>
      </c>
      <c r="AI118" s="538">
        <v>0</v>
      </c>
      <c r="AJ118" s="538">
        <v>0</v>
      </c>
      <c r="AK118" s="538">
        <v>0</v>
      </c>
      <c r="AL118" s="538">
        <v>0</v>
      </c>
      <c r="AM118" s="538">
        <v>0</v>
      </c>
      <c r="AN118" s="538">
        <v>0</v>
      </c>
      <c r="AO118" s="538">
        <v>0</v>
      </c>
      <c r="AP118" s="538">
        <v>0</v>
      </c>
      <c r="AQ118" s="538">
        <v>0</v>
      </c>
      <c r="AR118" s="538">
        <v>0</v>
      </c>
      <c r="AS118" s="538">
        <v>0</v>
      </c>
      <c r="AT118" s="538">
        <v>0</v>
      </c>
      <c r="AU118" s="538">
        <v>0</v>
      </c>
      <c r="AV118" s="538">
        <v>0</v>
      </c>
      <c r="AW118" s="538">
        <v>0</v>
      </c>
      <c r="AX118" s="538">
        <v>0</v>
      </c>
      <c r="AY118" s="538">
        <v>0</v>
      </c>
      <c r="AZ118" s="538">
        <v>0</v>
      </c>
      <c r="BA118" s="538">
        <v>0</v>
      </c>
      <c r="BB118" s="538">
        <v>0</v>
      </c>
      <c r="BC118" s="538">
        <v>0</v>
      </c>
      <c r="BD118" s="538">
        <v>0</v>
      </c>
      <c r="BE118" s="538">
        <v>0</v>
      </c>
      <c r="BF118" s="538">
        <v>0</v>
      </c>
      <c r="BG118" s="538">
        <v>0</v>
      </c>
      <c r="BH118">
        <f t="shared" si="10"/>
        <v>0</v>
      </c>
    </row>
    <row r="119" spans="1:60" x14ac:dyDescent="0.25">
      <c r="B119" s="813">
        <f t="shared" si="8"/>
        <v>118</v>
      </c>
      <c r="C119" s="420" t="s">
        <v>948</v>
      </c>
      <c r="D119" s="426"/>
      <c r="G119" s="538"/>
      <c r="H119" s="538"/>
      <c r="I119" s="538"/>
      <c r="J119" s="538"/>
      <c r="K119" s="538"/>
      <c r="L119" s="538"/>
      <c r="M119" s="538"/>
      <c r="N119" s="538"/>
      <c r="O119" s="538"/>
      <c r="P119" s="538"/>
      <c r="Q119" s="538"/>
      <c r="R119" s="538"/>
      <c r="S119" s="538"/>
      <c r="T119" s="538"/>
      <c r="U119" s="538"/>
      <c r="V119" s="538"/>
      <c r="W119" s="538"/>
      <c r="X119" s="538"/>
      <c r="Y119" s="538"/>
      <c r="Z119" s="538"/>
      <c r="AA119" s="538"/>
      <c r="AB119" s="538"/>
      <c r="AC119" s="538"/>
      <c r="AD119" s="538"/>
      <c r="AE119" s="538"/>
      <c r="AF119" s="538"/>
      <c r="AG119" s="538"/>
      <c r="AH119" s="538"/>
      <c r="AI119" s="538"/>
      <c r="AJ119" s="538"/>
      <c r="AK119" s="538"/>
      <c r="AL119" s="538"/>
      <c r="AM119" s="538"/>
      <c r="AN119" s="538"/>
      <c r="AO119" s="538"/>
      <c r="AP119" s="538"/>
      <c r="AQ119" s="538"/>
      <c r="AR119" s="538"/>
      <c r="AS119" s="538"/>
      <c r="AT119" s="538"/>
      <c r="AU119" s="538"/>
      <c r="AV119" s="538"/>
      <c r="AW119" s="538"/>
      <c r="AX119" s="538"/>
      <c r="AY119" s="538"/>
      <c r="AZ119" s="538"/>
      <c r="BA119" s="538"/>
      <c r="BB119" s="538"/>
      <c r="BC119" s="538"/>
      <c r="BD119" s="538"/>
      <c r="BE119" s="538"/>
      <c r="BF119" s="538"/>
      <c r="BG119" s="538"/>
    </row>
    <row r="120" spans="1:60" x14ac:dyDescent="0.25">
      <c r="B120" s="813">
        <f t="shared" si="8"/>
        <v>119</v>
      </c>
      <c r="C120" s="362" t="s">
        <v>799</v>
      </c>
      <c r="D120" s="362"/>
      <c r="G120" s="538"/>
      <c r="H120" s="538"/>
      <c r="I120" s="538"/>
      <c r="J120" s="538"/>
      <c r="K120" s="538"/>
      <c r="L120" s="538"/>
      <c r="M120" s="538"/>
      <c r="N120" s="538"/>
      <c r="O120" s="538"/>
      <c r="P120" s="538"/>
      <c r="Q120" s="538"/>
      <c r="R120" s="538"/>
      <c r="S120" s="538"/>
      <c r="T120" s="538"/>
      <c r="U120" s="538"/>
      <c r="V120" s="538"/>
      <c r="W120" s="538"/>
      <c r="X120" s="538"/>
      <c r="Y120" s="538"/>
      <c r="Z120" s="538"/>
      <c r="AA120" s="538"/>
      <c r="AB120" s="538"/>
      <c r="AC120" s="538"/>
      <c r="AD120" s="538"/>
      <c r="AE120" s="538"/>
      <c r="AF120" s="538"/>
      <c r="AG120" s="538"/>
      <c r="AH120" s="538"/>
      <c r="AI120" s="538"/>
      <c r="AJ120" s="538"/>
      <c r="AK120" s="538"/>
      <c r="AL120" s="538"/>
      <c r="AM120" s="538"/>
      <c r="AN120" s="538"/>
      <c r="AO120" s="538"/>
      <c r="AP120" s="538"/>
      <c r="AQ120" s="538"/>
      <c r="AR120" s="538"/>
      <c r="AS120" s="538"/>
      <c r="AT120" s="538"/>
      <c r="AU120" s="538"/>
      <c r="AV120" s="538"/>
      <c r="AW120" s="538"/>
      <c r="AX120" s="538"/>
      <c r="AY120" s="538"/>
      <c r="AZ120" s="538"/>
      <c r="BA120" s="538"/>
      <c r="BB120" s="538"/>
      <c r="BC120" s="538"/>
      <c r="BD120" s="538"/>
      <c r="BE120" s="538"/>
      <c r="BF120" s="538"/>
      <c r="BG120" s="538"/>
    </row>
    <row r="121" spans="1:60" x14ac:dyDescent="0.25">
      <c r="B121" s="813">
        <f t="shared" si="8"/>
        <v>120</v>
      </c>
      <c r="C121" s="99" t="s">
        <v>794</v>
      </c>
      <c r="D121" s="436">
        <f>HLOOKUP(ProjectData!B$13,G$2:BG$125,B121)</f>
        <v>0</v>
      </c>
      <c r="E121" s="813" t="s">
        <v>1114</v>
      </c>
      <c r="G121" s="538">
        <v>0</v>
      </c>
      <c r="H121" s="538">
        <v>0</v>
      </c>
      <c r="I121" s="538">
        <v>0</v>
      </c>
      <c r="J121" s="538">
        <v>0</v>
      </c>
      <c r="K121" s="538">
        <v>0</v>
      </c>
      <c r="L121" s="538">
        <v>0</v>
      </c>
      <c r="M121" s="538">
        <v>0</v>
      </c>
      <c r="N121" s="538">
        <v>0</v>
      </c>
      <c r="O121" s="538">
        <v>0</v>
      </c>
      <c r="P121" s="538">
        <v>0</v>
      </c>
      <c r="Q121" s="538">
        <v>0</v>
      </c>
      <c r="R121" s="538">
        <v>0</v>
      </c>
      <c r="S121" s="538">
        <v>0</v>
      </c>
      <c r="T121" s="538">
        <v>0</v>
      </c>
      <c r="U121" s="538">
        <v>0</v>
      </c>
      <c r="V121" s="538">
        <v>0</v>
      </c>
      <c r="W121" s="538">
        <v>0</v>
      </c>
      <c r="X121" s="538">
        <v>0</v>
      </c>
      <c r="Y121" s="538">
        <v>0</v>
      </c>
      <c r="Z121" s="538">
        <v>0</v>
      </c>
      <c r="AA121" s="538">
        <v>0</v>
      </c>
      <c r="AB121" s="538">
        <v>0</v>
      </c>
      <c r="AC121" s="538">
        <v>0</v>
      </c>
      <c r="AD121" s="538">
        <v>0</v>
      </c>
      <c r="AE121" s="538">
        <v>0</v>
      </c>
      <c r="AF121" s="538">
        <v>0</v>
      </c>
      <c r="AG121" s="538">
        <v>0</v>
      </c>
      <c r="AH121" s="538">
        <v>0</v>
      </c>
      <c r="AI121" s="538">
        <v>0</v>
      </c>
      <c r="AJ121" s="538">
        <v>0</v>
      </c>
      <c r="AK121" s="538">
        <v>0</v>
      </c>
      <c r="AL121" s="538">
        <v>0</v>
      </c>
      <c r="AM121" s="538">
        <v>0</v>
      </c>
      <c r="AN121" s="538">
        <v>0</v>
      </c>
      <c r="AO121" s="538">
        <v>0</v>
      </c>
      <c r="AP121" s="538">
        <v>0</v>
      </c>
      <c r="AQ121" s="538">
        <v>0</v>
      </c>
      <c r="AR121" s="538">
        <v>0</v>
      </c>
      <c r="AS121" s="538">
        <v>0</v>
      </c>
      <c r="AT121" s="538">
        <v>0</v>
      </c>
      <c r="AU121" s="538">
        <v>0</v>
      </c>
      <c r="AV121" s="538">
        <v>0</v>
      </c>
      <c r="AW121" s="538">
        <v>0</v>
      </c>
      <c r="AX121" s="538">
        <v>0</v>
      </c>
      <c r="AY121" s="538">
        <v>0</v>
      </c>
      <c r="AZ121" s="538">
        <v>0</v>
      </c>
      <c r="BA121" s="538">
        <v>0</v>
      </c>
      <c r="BB121" s="538">
        <v>0</v>
      </c>
      <c r="BC121" s="538">
        <v>0</v>
      </c>
      <c r="BD121" s="538">
        <v>0</v>
      </c>
      <c r="BE121" s="538">
        <v>0</v>
      </c>
      <c r="BF121" s="538">
        <v>0</v>
      </c>
      <c r="BG121" s="538">
        <v>0</v>
      </c>
      <c r="BH121">
        <f>COUNTIF(G121:BG121,"&gt;0")</f>
        <v>0</v>
      </c>
    </row>
    <row r="122" spans="1:60" x14ac:dyDescent="0.25">
      <c r="A122" s="218"/>
      <c r="B122" s="813">
        <f t="shared" si="8"/>
        <v>121</v>
      </c>
      <c r="C122" s="99" t="s">
        <v>795</v>
      </c>
      <c r="D122" s="436">
        <f>HLOOKUP(ProjectData!B$13,G$2:BG$125,B122)</f>
        <v>0</v>
      </c>
      <c r="E122" s="813" t="s">
        <v>1114</v>
      </c>
      <c r="G122" s="538">
        <v>0</v>
      </c>
      <c r="H122" s="538">
        <v>0</v>
      </c>
      <c r="I122" s="538">
        <v>0</v>
      </c>
      <c r="J122" s="538">
        <v>0</v>
      </c>
      <c r="K122" s="538">
        <v>0</v>
      </c>
      <c r="L122" s="538">
        <v>0</v>
      </c>
      <c r="M122" s="538">
        <v>0</v>
      </c>
      <c r="N122" s="538">
        <v>0</v>
      </c>
      <c r="O122" s="538">
        <v>0</v>
      </c>
      <c r="P122" s="538">
        <v>0</v>
      </c>
      <c r="Q122" s="538">
        <v>0</v>
      </c>
      <c r="R122" s="538">
        <v>0</v>
      </c>
      <c r="S122" s="538">
        <v>0</v>
      </c>
      <c r="T122" s="538">
        <v>0</v>
      </c>
      <c r="U122" s="538">
        <v>0</v>
      </c>
      <c r="V122" s="538">
        <v>0</v>
      </c>
      <c r="W122" s="538">
        <v>0</v>
      </c>
      <c r="X122" s="538">
        <v>0</v>
      </c>
      <c r="Y122" s="538">
        <v>0</v>
      </c>
      <c r="Z122" s="538">
        <v>0</v>
      </c>
      <c r="AA122" s="538">
        <v>0</v>
      </c>
      <c r="AB122" s="538">
        <v>0</v>
      </c>
      <c r="AC122" s="538">
        <v>0</v>
      </c>
      <c r="AD122" s="538">
        <v>0</v>
      </c>
      <c r="AE122" s="538">
        <v>0</v>
      </c>
      <c r="AF122" s="538">
        <v>0</v>
      </c>
      <c r="AG122" s="538">
        <v>0</v>
      </c>
      <c r="AH122" s="538">
        <v>0</v>
      </c>
      <c r="AI122" s="538">
        <v>0</v>
      </c>
      <c r="AJ122" s="538">
        <v>0</v>
      </c>
      <c r="AK122" s="538">
        <v>0</v>
      </c>
      <c r="AL122" s="538">
        <v>0</v>
      </c>
      <c r="AM122" s="538">
        <v>0</v>
      </c>
      <c r="AN122" s="538">
        <v>0</v>
      </c>
      <c r="AO122" s="538">
        <v>0</v>
      </c>
      <c r="AP122" s="538">
        <v>0</v>
      </c>
      <c r="AQ122" s="538">
        <v>0</v>
      </c>
      <c r="AR122" s="538">
        <v>0</v>
      </c>
      <c r="AS122" s="538">
        <v>0</v>
      </c>
      <c r="AT122" s="538">
        <v>0</v>
      </c>
      <c r="AU122" s="538">
        <v>0</v>
      </c>
      <c r="AV122" s="538">
        <v>0</v>
      </c>
      <c r="AW122" s="538">
        <v>0</v>
      </c>
      <c r="AX122" s="538">
        <v>0</v>
      </c>
      <c r="AY122" s="538">
        <v>0</v>
      </c>
      <c r="AZ122" s="538">
        <v>0</v>
      </c>
      <c r="BA122" s="538">
        <v>0</v>
      </c>
      <c r="BB122" s="538">
        <v>0</v>
      </c>
      <c r="BC122" s="538">
        <v>0</v>
      </c>
      <c r="BD122" s="538">
        <v>0</v>
      </c>
      <c r="BE122" s="538">
        <v>0</v>
      </c>
      <c r="BF122" s="538">
        <v>0</v>
      </c>
      <c r="BG122" s="538">
        <v>0</v>
      </c>
      <c r="BH122">
        <f>COUNTIF(G122:BG122,"&gt;0")</f>
        <v>0</v>
      </c>
    </row>
    <row r="123" spans="1:60" x14ac:dyDescent="0.25">
      <c r="A123" s="218"/>
      <c r="B123" s="813">
        <f t="shared" si="8"/>
        <v>122</v>
      </c>
      <c r="C123" s="367" t="s">
        <v>95</v>
      </c>
      <c r="D123" s="436">
        <f>HLOOKUP(ProjectData!B$13,G$2:BG$125,B123)</f>
        <v>0</v>
      </c>
      <c r="E123" s="813" t="s">
        <v>1114</v>
      </c>
      <c r="G123" s="538">
        <v>0</v>
      </c>
      <c r="H123" s="538">
        <v>0</v>
      </c>
      <c r="I123" s="538">
        <v>0</v>
      </c>
      <c r="J123" s="538">
        <v>0</v>
      </c>
      <c r="K123" s="538">
        <v>0</v>
      </c>
      <c r="L123" s="538">
        <v>0</v>
      </c>
      <c r="M123" s="538">
        <v>0</v>
      </c>
      <c r="N123" s="538">
        <v>0</v>
      </c>
      <c r="O123" s="538">
        <v>0</v>
      </c>
      <c r="P123" s="538">
        <v>0</v>
      </c>
      <c r="Q123" s="538">
        <v>0</v>
      </c>
      <c r="R123" s="538">
        <v>0</v>
      </c>
      <c r="S123" s="538">
        <v>0</v>
      </c>
      <c r="T123" s="538">
        <v>0</v>
      </c>
      <c r="U123" s="538">
        <v>0</v>
      </c>
      <c r="V123" s="538">
        <v>0</v>
      </c>
      <c r="W123" s="538">
        <v>0</v>
      </c>
      <c r="X123" s="538">
        <v>0</v>
      </c>
      <c r="Y123" s="538">
        <v>0</v>
      </c>
      <c r="Z123" s="538">
        <v>0</v>
      </c>
      <c r="AA123" s="538">
        <v>0</v>
      </c>
      <c r="AB123" s="538">
        <v>0</v>
      </c>
      <c r="AC123" s="538">
        <v>0</v>
      </c>
      <c r="AD123" s="538">
        <v>0</v>
      </c>
      <c r="AE123" s="538">
        <v>0</v>
      </c>
      <c r="AF123" s="538">
        <v>0</v>
      </c>
      <c r="AG123" s="538">
        <v>0</v>
      </c>
      <c r="AH123" s="538">
        <v>0</v>
      </c>
      <c r="AI123" s="538">
        <v>0</v>
      </c>
      <c r="AJ123" s="538">
        <v>0</v>
      </c>
      <c r="AK123" s="538">
        <v>0</v>
      </c>
      <c r="AL123" s="538">
        <v>0</v>
      </c>
      <c r="AM123" s="538">
        <v>0</v>
      </c>
      <c r="AN123" s="538">
        <v>0</v>
      </c>
      <c r="AO123" s="538">
        <v>0</v>
      </c>
      <c r="AP123" s="538">
        <v>0</v>
      </c>
      <c r="AQ123" s="538">
        <v>0</v>
      </c>
      <c r="AR123" s="538">
        <v>0</v>
      </c>
      <c r="AS123" s="538">
        <v>0</v>
      </c>
      <c r="AT123" s="538">
        <v>0</v>
      </c>
      <c r="AU123" s="538">
        <v>0</v>
      </c>
      <c r="AV123" s="538">
        <v>0</v>
      </c>
      <c r="AW123" s="538">
        <v>0</v>
      </c>
      <c r="AX123" s="538">
        <v>0</v>
      </c>
      <c r="AY123" s="538">
        <v>0</v>
      </c>
      <c r="AZ123" s="538">
        <v>0</v>
      </c>
      <c r="BA123" s="538">
        <v>0</v>
      </c>
      <c r="BB123" s="538">
        <v>0</v>
      </c>
      <c r="BC123" s="538">
        <v>0</v>
      </c>
      <c r="BD123" s="538">
        <v>0</v>
      </c>
      <c r="BE123" s="538">
        <v>0</v>
      </c>
      <c r="BF123" s="538">
        <v>0</v>
      </c>
      <c r="BG123" s="538">
        <v>0</v>
      </c>
      <c r="BH123">
        <f>COUNTIF(G123:BG123,"&gt;0")</f>
        <v>0</v>
      </c>
    </row>
    <row r="124" spans="1:60" x14ac:dyDescent="0.25">
      <c r="A124" s="218"/>
      <c r="B124" s="813">
        <f t="shared" si="8"/>
        <v>123</v>
      </c>
      <c r="C124" s="99" t="s">
        <v>94</v>
      </c>
      <c r="D124" s="436">
        <f>HLOOKUP(ProjectData!B$13,G$2:BG$125,B124)</f>
        <v>0</v>
      </c>
      <c r="E124" s="813" t="s">
        <v>1114</v>
      </c>
      <c r="G124" s="538">
        <v>0</v>
      </c>
      <c r="H124" s="538">
        <v>0</v>
      </c>
      <c r="I124" s="538">
        <v>0</v>
      </c>
      <c r="J124" s="538">
        <v>0</v>
      </c>
      <c r="K124" s="538">
        <v>0</v>
      </c>
      <c r="L124" s="538">
        <v>0</v>
      </c>
      <c r="M124" s="538">
        <v>0</v>
      </c>
      <c r="N124" s="538">
        <v>0</v>
      </c>
      <c r="O124" s="538">
        <v>0</v>
      </c>
      <c r="P124" s="538">
        <v>0</v>
      </c>
      <c r="Q124" s="538">
        <v>0</v>
      </c>
      <c r="R124" s="538">
        <v>0</v>
      </c>
      <c r="S124" s="538">
        <v>0</v>
      </c>
      <c r="T124" s="538">
        <v>0</v>
      </c>
      <c r="U124" s="538">
        <v>0</v>
      </c>
      <c r="V124" s="538">
        <v>0</v>
      </c>
      <c r="W124" s="538">
        <v>0</v>
      </c>
      <c r="X124" s="538">
        <v>0</v>
      </c>
      <c r="Y124" s="538">
        <v>0</v>
      </c>
      <c r="Z124" s="538">
        <v>0</v>
      </c>
      <c r="AA124" s="538">
        <v>0</v>
      </c>
      <c r="AB124" s="538">
        <v>0</v>
      </c>
      <c r="AC124" s="538">
        <v>0</v>
      </c>
      <c r="AD124" s="538">
        <v>0</v>
      </c>
      <c r="AE124" s="538">
        <v>0</v>
      </c>
      <c r="AF124" s="538">
        <v>0</v>
      </c>
      <c r="AG124" s="538">
        <v>0</v>
      </c>
      <c r="AH124" s="538">
        <v>0</v>
      </c>
      <c r="AI124" s="538">
        <v>0</v>
      </c>
      <c r="AJ124" s="538">
        <v>0</v>
      </c>
      <c r="AK124" s="538">
        <v>0</v>
      </c>
      <c r="AL124" s="538">
        <v>0</v>
      </c>
      <c r="AM124" s="538">
        <v>0</v>
      </c>
      <c r="AN124" s="538">
        <v>0</v>
      </c>
      <c r="AO124" s="538">
        <v>0</v>
      </c>
      <c r="AP124" s="538">
        <v>0</v>
      </c>
      <c r="AQ124" s="538">
        <v>0</v>
      </c>
      <c r="AR124" s="538">
        <v>0</v>
      </c>
      <c r="AS124" s="538">
        <v>0</v>
      </c>
      <c r="AT124" s="538">
        <v>0</v>
      </c>
      <c r="AU124" s="538">
        <v>0</v>
      </c>
      <c r="AV124" s="538">
        <v>0</v>
      </c>
      <c r="AW124" s="538">
        <v>0</v>
      </c>
      <c r="AX124" s="538">
        <v>0</v>
      </c>
      <c r="AY124" s="538">
        <v>0</v>
      </c>
      <c r="AZ124" s="538">
        <v>0</v>
      </c>
      <c r="BA124" s="538">
        <v>0</v>
      </c>
      <c r="BB124" s="538">
        <v>0</v>
      </c>
      <c r="BC124" s="538">
        <v>0</v>
      </c>
      <c r="BD124" s="538">
        <v>0</v>
      </c>
      <c r="BE124" s="538">
        <v>0</v>
      </c>
      <c r="BF124" s="538">
        <v>0</v>
      </c>
      <c r="BG124" s="538">
        <v>0</v>
      </c>
      <c r="BH124">
        <f>COUNTIF(G124:BG124,"&gt;0")</f>
        <v>0</v>
      </c>
    </row>
    <row r="125" spans="1:60" x14ac:dyDescent="0.25">
      <c r="A125" s="489"/>
      <c r="B125" s="813">
        <f t="shared" si="8"/>
        <v>124</v>
      </c>
      <c r="C125" s="99" t="s">
        <v>796</v>
      </c>
      <c r="D125" s="436">
        <f>HLOOKUP(ProjectData!B$13,G$2:BG$125,B125)</f>
        <v>0</v>
      </c>
      <c r="E125" s="813" t="s">
        <v>1114</v>
      </c>
      <c r="G125" s="538">
        <v>0</v>
      </c>
      <c r="H125" s="538">
        <v>0</v>
      </c>
      <c r="I125" s="538">
        <v>0</v>
      </c>
      <c r="J125" s="538">
        <v>0</v>
      </c>
      <c r="K125" s="538">
        <v>0</v>
      </c>
      <c r="L125" s="538">
        <v>0</v>
      </c>
      <c r="M125" s="538">
        <v>0</v>
      </c>
      <c r="N125" s="538">
        <v>0</v>
      </c>
      <c r="O125" s="538">
        <v>0</v>
      </c>
      <c r="P125" s="538">
        <v>0</v>
      </c>
      <c r="Q125" s="538">
        <v>0</v>
      </c>
      <c r="R125" s="538">
        <v>0</v>
      </c>
      <c r="S125" s="538">
        <v>0</v>
      </c>
      <c r="T125" s="538">
        <v>0</v>
      </c>
      <c r="U125" s="538">
        <v>0</v>
      </c>
      <c r="V125" s="538">
        <v>0</v>
      </c>
      <c r="W125" s="538">
        <v>0</v>
      </c>
      <c r="X125" s="538">
        <v>0</v>
      </c>
      <c r="Y125" s="538">
        <v>0</v>
      </c>
      <c r="Z125" s="538">
        <v>0</v>
      </c>
      <c r="AA125" s="538">
        <v>0</v>
      </c>
      <c r="AB125" s="538">
        <v>0</v>
      </c>
      <c r="AC125" s="538">
        <v>0</v>
      </c>
      <c r="AD125" s="538">
        <v>0</v>
      </c>
      <c r="AE125" s="538">
        <v>0</v>
      </c>
      <c r="AF125" s="538">
        <v>0</v>
      </c>
      <c r="AG125" s="538">
        <v>0</v>
      </c>
      <c r="AH125" s="538">
        <v>0</v>
      </c>
      <c r="AI125" s="538">
        <v>0</v>
      </c>
      <c r="AJ125" s="538">
        <v>0</v>
      </c>
      <c r="AK125" s="538">
        <v>0</v>
      </c>
      <c r="AL125" s="538">
        <v>0</v>
      </c>
      <c r="AM125" s="538">
        <v>0</v>
      </c>
      <c r="AN125" s="538">
        <v>0</v>
      </c>
      <c r="AO125" s="538">
        <v>0</v>
      </c>
      <c r="AP125" s="538">
        <v>0</v>
      </c>
      <c r="AQ125" s="538">
        <v>0</v>
      </c>
      <c r="AR125" s="538">
        <v>0</v>
      </c>
      <c r="AS125" s="538">
        <v>0</v>
      </c>
      <c r="AT125" s="538">
        <v>0</v>
      </c>
      <c r="AU125" s="538">
        <v>0</v>
      </c>
      <c r="AV125" s="538">
        <v>0</v>
      </c>
      <c r="AW125" s="538">
        <v>0</v>
      </c>
      <c r="AX125" s="538">
        <v>0</v>
      </c>
      <c r="AY125" s="538">
        <v>0</v>
      </c>
      <c r="AZ125" s="538">
        <v>0</v>
      </c>
      <c r="BA125" s="538">
        <v>0</v>
      </c>
      <c r="BB125" s="538">
        <v>0</v>
      </c>
      <c r="BC125" s="538">
        <v>0</v>
      </c>
      <c r="BD125" s="538">
        <v>0</v>
      </c>
      <c r="BE125" s="538">
        <v>0</v>
      </c>
      <c r="BF125" s="538">
        <v>0</v>
      </c>
      <c r="BG125" s="538">
        <v>0</v>
      </c>
      <c r="BH125">
        <f>COUNTIF(G125:BG125,"&gt;0")</f>
        <v>0</v>
      </c>
    </row>
    <row r="126" spans="1:60" x14ac:dyDescent="0.25">
      <c r="A126" s="489"/>
    </row>
    <row r="127" spans="1:60" x14ac:dyDescent="0.25">
      <c r="A127" s="489"/>
    </row>
    <row r="128" spans="1:60" x14ac:dyDescent="0.25">
      <c r="A128" s="489"/>
    </row>
    <row r="129" spans="1:1" x14ac:dyDescent="0.25">
      <c r="A129" s="489"/>
    </row>
    <row r="130" spans="1:1" x14ac:dyDescent="0.25">
      <c r="A130" s="489"/>
    </row>
    <row r="131" spans="1:1" x14ac:dyDescent="0.25">
      <c r="A131" s="489"/>
    </row>
    <row r="132" spans="1:1" x14ac:dyDescent="0.25">
      <c r="A132" s="489"/>
    </row>
    <row r="133" spans="1:1" x14ac:dyDescent="0.25">
      <c r="A133" s="489"/>
    </row>
    <row r="134" spans="1:1" x14ac:dyDescent="0.25">
      <c r="A134" s="489"/>
    </row>
    <row r="135" spans="1:1" x14ac:dyDescent="0.25">
      <c r="A135" s="489"/>
    </row>
    <row r="136" spans="1:1" x14ac:dyDescent="0.25">
      <c r="A136" s="489"/>
    </row>
    <row r="137" spans="1:1" x14ac:dyDescent="0.25">
      <c r="A137" s="489"/>
    </row>
    <row r="138" spans="1:1" x14ac:dyDescent="0.25">
      <c r="A138" s="489"/>
    </row>
    <row r="139" spans="1:1" x14ac:dyDescent="0.25">
      <c r="A139" s="489"/>
    </row>
    <row r="140" spans="1:1" x14ac:dyDescent="0.25">
      <c r="A140" s="489"/>
    </row>
    <row r="141" spans="1:1" x14ac:dyDescent="0.25">
      <c r="A141" s="489"/>
    </row>
    <row r="142" spans="1:1" x14ac:dyDescent="0.25">
      <c r="A142" s="219"/>
    </row>
    <row r="143" spans="1:1" x14ac:dyDescent="0.25">
      <c r="A143" s="219"/>
    </row>
    <row r="144" spans="1:1" x14ac:dyDescent="0.25">
      <c r="A144" s="219"/>
    </row>
    <row r="145" spans="1:1" x14ac:dyDescent="0.25">
      <c r="A145" s="219"/>
    </row>
    <row r="146" spans="1:1" x14ac:dyDescent="0.25">
      <c r="A146" s="219"/>
    </row>
    <row r="150" spans="1:1" x14ac:dyDescent="0.25">
      <c r="A150" s="219"/>
    </row>
    <row r="151" spans="1:1" x14ac:dyDescent="0.25">
      <c r="A151" s="219"/>
    </row>
    <row r="152" spans="1:1" x14ac:dyDescent="0.25">
      <c r="A152" s="219"/>
    </row>
    <row r="153" spans="1:1" x14ac:dyDescent="0.25">
      <c r="A153" s="219"/>
    </row>
    <row r="154" spans="1:1" x14ac:dyDescent="0.25">
      <c r="A154" s="219"/>
    </row>
    <row r="155" spans="1:1" x14ac:dyDescent="0.25">
      <c r="A155" s="219"/>
    </row>
    <row r="156" spans="1:1" x14ac:dyDescent="0.25">
      <c r="A156" s="219"/>
    </row>
    <row r="157" spans="1:1" x14ac:dyDescent="0.25">
      <c r="A157" s="219"/>
    </row>
    <row r="158" spans="1:1" x14ac:dyDescent="0.25">
      <c r="A158" s="219"/>
    </row>
    <row r="159" spans="1:1" x14ac:dyDescent="0.25">
      <c r="A159" s="219"/>
    </row>
    <row r="160" spans="1:1" x14ac:dyDescent="0.25">
      <c r="A160" s="219"/>
    </row>
    <row r="161" spans="1:1" x14ac:dyDescent="0.25">
      <c r="A161" s="219"/>
    </row>
    <row r="162" spans="1:1" x14ac:dyDescent="0.25">
      <c r="A162" s="219"/>
    </row>
    <row r="163" spans="1:1" x14ac:dyDescent="0.25">
      <c r="A163" s="219"/>
    </row>
    <row r="164" spans="1:1" x14ac:dyDescent="0.25">
      <c r="A164" s="219"/>
    </row>
    <row r="165" spans="1:1" x14ac:dyDescent="0.25">
      <c r="A165" s="219"/>
    </row>
    <row r="166" spans="1:1" x14ac:dyDescent="0.25">
      <c r="A166" s="219"/>
    </row>
    <row r="167" spans="1:1" x14ac:dyDescent="0.25">
      <c r="A167" s="219"/>
    </row>
    <row r="168" spans="1:1" x14ac:dyDescent="0.25">
      <c r="A168" s="219"/>
    </row>
    <row r="169" spans="1:1" x14ac:dyDescent="0.25">
      <c r="A169" s="219"/>
    </row>
    <row r="170" spans="1:1" x14ac:dyDescent="0.25">
      <c r="A170" s="219"/>
    </row>
    <row r="171" spans="1:1" x14ac:dyDescent="0.25">
      <c r="A171" s="219"/>
    </row>
    <row r="172" spans="1:1" x14ac:dyDescent="0.25">
      <c r="A172" s="219"/>
    </row>
    <row r="173" spans="1:1" x14ac:dyDescent="0.25">
      <c r="A173" s="219"/>
    </row>
    <row r="174" spans="1:1" x14ac:dyDescent="0.25">
      <c r="A174" s="219"/>
    </row>
    <row r="175" spans="1:1" x14ac:dyDescent="0.25">
      <c r="A175" s="219"/>
    </row>
    <row r="176" spans="1:1" x14ac:dyDescent="0.25">
      <c r="A176" s="219"/>
    </row>
    <row r="177" spans="1:1" x14ac:dyDescent="0.25">
      <c r="A177" s="219"/>
    </row>
    <row r="178" spans="1:1" x14ac:dyDescent="0.25">
      <c r="A178" s="219"/>
    </row>
    <row r="179" spans="1:1" x14ac:dyDescent="0.25">
      <c r="A179" s="219"/>
    </row>
    <row r="180" spans="1:1" x14ac:dyDescent="0.25">
      <c r="A180" s="219"/>
    </row>
    <row r="181" spans="1:1" x14ac:dyDescent="0.25">
      <c r="A181" s="219"/>
    </row>
    <row r="182" spans="1:1" x14ac:dyDescent="0.25">
      <c r="A182" s="219"/>
    </row>
    <row r="183" spans="1:1" x14ac:dyDescent="0.25">
      <c r="A183" s="219"/>
    </row>
    <row r="184" spans="1:1" x14ac:dyDescent="0.25">
      <c r="A184" s="219"/>
    </row>
    <row r="185" spans="1:1" x14ac:dyDescent="0.25">
      <c r="A185" s="219"/>
    </row>
    <row r="186" spans="1:1" x14ac:dyDescent="0.25">
      <c r="A186" s="219"/>
    </row>
    <row r="187" spans="1:1" x14ac:dyDescent="0.25">
      <c r="A187" s="219"/>
    </row>
    <row r="188" spans="1:1" x14ac:dyDescent="0.25">
      <c r="A188" s="219"/>
    </row>
    <row r="189" spans="1:1" x14ac:dyDescent="0.25">
      <c r="A189" s="219"/>
    </row>
    <row r="190" spans="1:1" x14ac:dyDescent="0.25">
      <c r="A190" s="219"/>
    </row>
    <row r="191" spans="1:1" x14ac:dyDescent="0.25">
      <c r="A191" s="219"/>
    </row>
    <row r="192" spans="1:1" x14ac:dyDescent="0.25">
      <c r="A192" s="219"/>
    </row>
    <row r="193" spans="1:1" x14ac:dyDescent="0.25">
      <c r="A193" s="219"/>
    </row>
    <row r="194" spans="1:1" x14ac:dyDescent="0.25">
      <c r="A194" s="219"/>
    </row>
    <row r="195" spans="1:1" x14ac:dyDescent="0.25">
      <c r="A195" s="219"/>
    </row>
    <row r="196" spans="1:1" x14ac:dyDescent="0.25">
      <c r="A196" s="219"/>
    </row>
    <row r="197" spans="1:1" x14ac:dyDescent="0.25">
      <c r="A197" s="219"/>
    </row>
    <row r="198" spans="1:1" x14ac:dyDescent="0.25">
      <c r="A198" s="219"/>
    </row>
    <row r="199" spans="1:1" x14ac:dyDescent="0.25">
      <c r="A199" s="219"/>
    </row>
    <row r="200" spans="1:1" x14ac:dyDescent="0.25">
      <c r="A200" s="219"/>
    </row>
    <row r="201" spans="1:1" x14ac:dyDescent="0.25">
      <c r="A201" s="219"/>
    </row>
    <row r="202" spans="1:1" x14ac:dyDescent="0.25">
      <c r="A202" s="219"/>
    </row>
    <row r="203" spans="1:1" x14ac:dyDescent="0.25">
      <c r="A203" s="219"/>
    </row>
    <row r="204" spans="1:1" x14ac:dyDescent="0.25">
      <c r="A204" s="219"/>
    </row>
    <row r="205" spans="1:1" x14ac:dyDescent="0.25">
      <c r="A205" s="219"/>
    </row>
    <row r="206" spans="1:1" x14ac:dyDescent="0.25">
      <c r="A206" s="219"/>
    </row>
    <row r="207" spans="1:1" x14ac:dyDescent="0.25">
      <c r="A207" s="219"/>
    </row>
    <row r="208" spans="1:1" x14ac:dyDescent="0.25">
      <c r="A208" s="219"/>
    </row>
    <row r="209" spans="1:1" x14ac:dyDescent="0.25">
      <c r="A209" s="219"/>
    </row>
    <row r="210" spans="1:1" x14ac:dyDescent="0.25">
      <c r="A210" s="219"/>
    </row>
    <row r="211" spans="1:1" x14ac:dyDescent="0.25">
      <c r="A211" s="219"/>
    </row>
    <row r="212" spans="1:1" x14ac:dyDescent="0.25">
      <c r="A212" s="219"/>
    </row>
    <row r="213" spans="1:1" x14ac:dyDescent="0.25">
      <c r="A213" s="219"/>
    </row>
    <row r="214" spans="1:1" x14ac:dyDescent="0.25">
      <c r="A214" s="219"/>
    </row>
    <row r="215" spans="1:1" x14ac:dyDescent="0.25">
      <c r="A215" s="219"/>
    </row>
    <row r="216" spans="1:1" x14ac:dyDescent="0.25">
      <c r="A216" s="219"/>
    </row>
    <row r="217" spans="1:1" x14ac:dyDescent="0.25">
      <c r="A217" s="219"/>
    </row>
    <row r="218" spans="1:1" x14ac:dyDescent="0.25">
      <c r="A218" s="219"/>
    </row>
    <row r="219" spans="1:1" x14ac:dyDescent="0.25">
      <c r="A219" s="219"/>
    </row>
    <row r="220" spans="1:1" x14ac:dyDescent="0.25">
      <c r="A220" s="219"/>
    </row>
    <row r="221" spans="1:1" x14ac:dyDescent="0.25">
      <c r="A221" s="219"/>
    </row>
    <row r="222" spans="1:1" x14ac:dyDescent="0.25">
      <c r="A222" s="219"/>
    </row>
    <row r="223" spans="1:1" x14ac:dyDescent="0.25">
      <c r="A223" s="219"/>
    </row>
    <row r="224" spans="1:1" x14ac:dyDescent="0.25">
      <c r="A224" s="219"/>
    </row>
    <row r="225" spans="1:1" x14ac:dyDescent="0.25">
      <c r="A225" s="219"/>
    </row>
    <row r="226" spans="1:1" x14ac:dyDescent="0.25">
      <c r="A226" s="219"/>
    </row>
    <row r="227" spans="1:1" x14ac:dyDescent="0.25">
      <c r="A227" s="219"/>
    </row>
    <row r="228" spans="1:1" x14ac:dyDescent="0.25">
      <c r="A228" s="219"/>
    </row>
    <row r="229" spans="1:1" x14ac:dyDescent="0.25">
      <c r="A229" s="219"/>
    </row>
    <row r="230" spans="1:1" x14ac:dyDescent="0.25">
      <c r="A230" s="219"/>
    </row>
    <row r="231" spans="1:1" x14ac:dyDescent="0.25">
      <c r="A231" s="219"/>
    </row>
    <row r="232" spans="1:1" x14ac:dyDescent="0.25">
      <c r="A232" s="219"/>
    </row>
    <row r="233" spans="1:1" x14ac:dyDescent="0.25">
      <c r="A233" s="219"/>
    </row>
    <row r="234" spans="1:1" x14ac:dyDescent="0.25">
      <c r="A234" s="219"/>
    </row>
    <row r="235" spans="1:1" x14ac:dyDescent="0.25">
      <c r="A235" s="219"/>
    </row>
    <row r="236" spans="1:1" x14ac:dyDescent="0.25">
      <c r="A236" s="219"/>
    </row>
    <row r="237" spans="1:1" x14ac:dyDescent="0.25">
      <c r="A237" s="219"/>
    </row>
    <row r="238" spans="1:1" x14ac:dyDescent="0.25">
      <c r="A238" s="219"/>
    </row>
    <row r="239" spans="1:1" x14ac:dyDescent="0.25">
      <c r="A239" s="219"/>
    </row>
    <row r="240" spans="1:1" x14ac:dyDescent="0.25">
      <c r="A240" s="219"/>
    </row>
    <row r="241" spans="1:1" x14ac:dyDescent="0.25">
      <c r="A241" s="219"/>
    </row>
    <row r="242" spans="1:1" x14ac:dyDescent="0.25">
      <c r="A242" s="219"/>
    </row>
    <row r="243" spans="1:1" x14ac:dyDescent="0.25">
      <c r="A243" s="219"/>
    </row>
    <row r="244" spans="1:1" x14ac:dyDescent="0.25">
      <c r="A244" s="219"/>
    </row>
    <row r="245" spans="1:1" x14ac:dyDescent="0.25">
      <c r="A245" s="219"/>
    </row>
    <row r="246" spans="1:1" x14ac:dyDescent="0.25">
      <c r="A246" s="219"/>
    </row>
    <row r="247" spans="1:1" x14ac:dyDescent="0.25">
      <c r="A247" s="219"/>
    </row>
    <row r="248" spans="1:1" x14ac:dyDescent="0.25">
      <c r="A248" s="219"/>
    </row>
    <row r="249" spans="1:1" x14ac:dyDescent="0.25">
      <c r="A249" s="219"/>
    </row>
    <row r="250" spans="1:1" x14ac:dyDescent="0.25">
      <c r="A250" s="219"/>
    </row>
    <row r="251" spans="1:1" x14ac:dyDescent="0.25">
      <c r="A251" s="219"/>
    </row>
    <row r="252" spans="1:1" x14ac:dyDescent="0.25">
      <c r="A252" s="219"/>
    </row>
    <row r="253" spans="1:1" x14ac:dyDescent="0.25">
      <c r="A253" s="219"/>
    </row>
    <row r="254" spans="1:1" x14ac:dyDescent="0.25">
      <c r="A254" s="219"/>
    </row>
    <row r="255" spans="1:1" x14ac:dyDescent="0.25">
      <c r="A255" s="219"/>
    </row>
    <row r="256" spans="1:1" x14ac:dyDescent="0.25">
      <c r="A256" s="219"/>
    </row>
    <row r="257" spans="1:1" x14ac:dyDescent="0.25">
      <c r="A257" s="219"/>
    </row>
    <row r="258" spans="1:1" x14ac:dyDescent="0.25">
      <c r="A258" s="219"/>
    </row>
    <row r="259" spans="1:1" x14ac:dyDescent="0.25">
      <c r="A259" s="219"/>
    </row>
    <row r="260" spans="1:1" x14ac:dyDescent="0.25">
      <c r="A260" s="219"/>
    </row>
    <row r="261" spans="1:1" x14ac:dyDescent="0.25">
      <c r="A261" s="219"/>
    </row>
    <row r="262" spans="1:1" x14ac:dyDescent="0.25">
      <c r="A262" s="219"/>
    </row>
    <row r="263" spans="1:1" x14ac:dyDescent="0.25">
      <c r="A263" s="219"/>
    </row>
    <row r="264" spans="1:1" x14ac:dyDescent="0.25">
      <c r="A264" s="219"/>
    </row>
    <row r="265" spans="1:1" x14ac:dyDescent="0.25">
      <c r="A265" s="219"/>
    </row>
    <row r="266" spans="1:1" x14ac:dyDescent="0.25">
      <c r="A266" s="219"/>
    </row>
    <row r="267" spans="1:1" x14ac:dyDescent="0.25">
      <c r="A267" s="219"/>
    </row>
    <row r="268" spans="1:1" x14ac:dyDescent="0.25">
      <c r="A268" s="219"/>
    </row>
    <row r="269" spans="1:1" x14ac:dyDescent="0.25">
      <c r="A269" s="219"/>
    </row>
    <row r="270" spans="1:1" x14ac:dyDescent="0.25">
      <c r="A270" s="219"/>
    </row>
    <row r="271" spans="1:1" x14ac:dyDescent="0.25">
      <c r="A271" s="219"/>
    </row>
    <row r="272" spans="1:1" x14ac:dyDescent="0.25">
      <c r="A272" s="219"/>
    </row>
    <row r="273" spans="1:1" x14ac:dyDescent="0.25">
      <c r="A273" s="219"/>
    </row>
    <row r="274" spans="1:1" x14ac:dyDescent="0.25">
      <c r="A274" s="219"/>
    </row>
    <row r="275" spans="1:1" x14ac:dyDescent="0.25">
      <c r="A275" s="219"/>
    </row>
    <row r="276" spans="1:1" x14ac:dyDescent="0.25">
      <c r="A276" s="219"/>
    </row>
    <row r="277" spans="1:1" x14ac:dyDescent="0.25">
      <c r="A277" s="219"/>
    </row>
    <row r="278" spans="1:1" x14ac:dyDescent="0.25">
      <c r="A278" s="219"/>
    </row>
    <row r="279" spans="1:1" x14ac:dyDescent="0.25">
      <c r="A279" s="219"/>
    </row>
    <row r="280" spans="1:1" x14ac:dyDescent="0.25">
      <c r="A280" s="219"/>
    </row>
    <row r="281" spans="1:1" x14ac:dyDescent="0.25">
      <c r="A281" s="219"/>
    </row>
    <row r="282" spans="1:1" x14ac:dyDescent="0.25">
      <c r="A282" s="219"/>
    </row>
    <row r="283" spans="1:1" x14ac:dyDescent="0.25">
      <c r="A283" s="219"/>
    </row>
    <row r="284" spans="1:1" x14ac:dyDescent="0.25">
      <c r="A284" s="219"/>
    </row>
    <row r="285" spans="1:1" x14ac:dyDescent="0.25">
      <c r="A285" s="219"/>
    </row>
    <row r="286" spans="1:1" x14ac:dyDescent="0.25">
      <c r="A286" s="219"/>
    </row>
    <row r="287" spans="1:1" x14ac:dyDescent="0.25">
      <c r="A287" s="219"/>
    </row>
    <row r="288" spans="1:1" x14ac:dyDescent="0.25">
      <c r="A288" s="219"/>
    </row>
    <row r="289" spans="1:1" x14ac:dyDescent="0.25">
      <c r="A289" s="219"/>
    </row>
    <row r="290" spans="1:1" x14ac:dyDescent="0.25">
      <c r="A290" s="219"/>
    </row>
  </sheetData>
  <sheetProtection password="DFD3" sheet="1" objects="1" scenarios="1"/>
  <conditionalFormatting sqref="E64 D71:D125 C66 E1:E58 F1:F3 C75:C123 D62:D68 C3:D60 E96:E121 E73:E86 E88:E94">
    <cfRule type="expression" dxfId="134" priority="135">
      <formula>$G$14="Simple"</formula>
    </cfRule>
  </conditionalFormatting>
  <conditionalFormatting sqref="C86:D92 E84:E86 E88:E90">
    <cfRule type="expression" dxfId="133" priority="133">
      <formula>$G$21="Flash"</formula>
    </cfRule>
    <cfRule type="expression" dxfId="132" priority="134">
      <formula>$G$21="Flash"</formula>
    </cfRule>
  </conditionalFormatting>
  <conditionalFormatting sqref="C94:D102 E92:E94 E96:E100">
    <cfRule type="expression" dxfId="131" priority="132">
      <formula>$G$21="Binary"</formula>
    </cfRule>
  </conditionalFormatting>
  <conditionalFormatting sqref="E59:E72 C61:D74">
    <cfRule type="expression" dxfId="130" priority="131">
      <formula>$G$14="Simple"</formula>
    </cfRule>
  </conditionalFormatting>
  <conditionalFormatting sqref="E1">
    <cfRule type="expression" dxfId="129" priority="130">
      <formula>$C$14="Simple"</formula>
    </cfRule>
  </conditionalFormatting>
  <conditionalFormatting sqref="C124:D125">
    <cfRule type="expression" dxfId="128" priority="129">
      <formula>$C$13="Simple"</formula>
    </cfRule>
  </conditionalFormatting>
  <conditionalFormatting sqref="K4">
    <cfRule type="expression" dxfId="127" priority="128">
      <formula>$G$14="Simple"</formula>
    </cfRule>
  </conditionalFormatting>
  <conditionalFormatting sqref="K5">
    <cfRule type="expression" dxfId="126" priority="127">
      <formula>$G$14="Simple"</formula>
    </cfRule>
  </conditionalFormatting>
  <conditionalFormatting sqref="L4">
    <cfRule type="expression" dxfId="125" priority="126">
      <formula>$G$14="Simple"</formula>
    </cfRule>
  </conditionalFormatting>
  <conditionalFormatting sqref="L5">
    <cfRule type="expression" dxfId="124" priority="125">
      <formula>$G$14="Simple"</formula>
    </cfRule>
  </conditionalFormatting>
  <conditionalFormatting sqref="AK4">
    <cfRule type="expression" dxfId="123" priority="124">
      <formula>$G$14="Simple"</formula>
    </cfRule>
  </conditionalFormatting>
  <conditionalFormatting sqref="AK5">
    <cfRule type="expression" dxfId="122" priority="123">
      <formula>$G$14="Simple"</formula>
    </cfRule>
  </conditionalFormatting>
  <conditionalFormatting sqref="K9:K15">
    <cfRule type="expression" dxfId="121" priority="122">
      <formula>$G$14="Simple"</formula>
    </cfRule>
  </conditionalFormatting>
  <conditionalFormatting sqref="K19:K26">
    <cfRule type="expression" dxfId="120" priority="121">
      <formula>$G$14="Simple"</formula>
    </cfRule>
  </conditionalFormatting>
  <conditionalFormatting sqref="K28:K29">
    <cfRule type="expression" dxfId="119" priority="120">
      <formula>$G$14="Simple"</formula>
    </cfRule>
  </conditionalFormatting>
  <conditionalFormatting sqref="K32:K35">
    <cfRule type="expression" dxfId="118" priority="119">
      <formula>$G$14="Simple"</formula>
    </cfRule>
  </conditionalFormatting>
  <conditionalFormatting sqref="K40:K47">
    <cfRule type="expression" dxfId="117" priority="118">
      <formula>$G$14="Simple"</formula>
    </cfRule>
  </conditionalFormatting>
  <conditionalFormatting sqref="K49:K50">
    <cfRule type="expression" dxfId="116" priority="117">
      <formula>$G$14="Simple"</formula>
    </cfRule>
  </conditionalFormatting>
  <conditionalFormatting sqref="K53:K56">
    <cfRule type="expression" dxfId="115" priority="116">
      <formula>$G$14="Simple"</formula>
    </cfRule>
  </conditionalFormatting>
  <conditionalFormatting sqref="K62:K68">
    <cfRule type="expression" dxfId="114" priority="115">
      <formula>$G$14="Simple"</formula>
    </cfRule>
  </conditionalFormatting>
  <conditionalFormatting sqref="K71:K74">
    <cfRule type="expression" dxfId="113" priority="114">
      <formula>$G$14="Simple"</formula>
    </cfRule>
  </conditionalFormatting>
  <conditionalFormatting sqref="K80:K83">
    <cfRule type="expression" dxfId="112" priority="113">
      <formula>$G$14="Simple"</formula>
    </cfRule>
  </conditionalFormatting>
  <conditionalFormatting sqref="K88:K90">
    <cfRule type="expression" dxfId="111" priority="112">
      <formula>$G$14="Simple"</formula>
    </cfRule>
  </conditionalFormatting>
  <conditionalFormatting sqref="K109:K110">
    <cfRule type="expression" dxfId="110" priority="111">
      <formula>$G$14="Simple"</formula>
    </cfRule>
  </conditionalFormatting>
  <conditionalFormatting sqref="K96:K101">
    <cfRule type="expression" dxfId="109" priority="110">
      <formula>$G$14="Simple"</formula>
    </cfRule>
  </conditionalFormatting>
  <conditionalFormatting sqref="L4">
    <cfRule type="expression" dxfId="108" priority="109">
      <formula>$G$14="Simple"</formula>
    </cfRule>
  </conditionalFormatting>
  <conditionalFormatting sqref="L5">
    <cfRule type="expression" dxfId="107" priority="108">
      <formula>$G$14="Simple"</formula>
    </cfRule>
  </conditionalFormatting>
  <conditionalFormatting sqref="L9:L15">
    <cfRule type="expression" dxfId="106" priority="107">
      <formula>$G$14="Simple"</formula>
    </cfRule>
  </conditionalFormatting>
  <conditionalFormatting sqref="L19:L26">
    <cfRule type="expression" dxfId="105" priority="106">
      <formula>$G$14="Simple"</formula>
    </cfRule>
  </conditionalFormatting>
  <conditionalFormatting sqref="L28:L29">
    <cfRule type="expression" dxfId="104" priority="105">
      <formula>$G$14="Simple"</formula>
    </cfRule>
  </conditionalFormatting>
  <conditionalFormatting sqref="L32:L35">
    <cfRule type="expression" dxfId="103" priority="104">
      <formula>$G$14="Simple"</formula>
    </cfRule>
  </conditionalFormatting>
  <conditionalFormatting sqref="L40:L47">
    <cfRule type="expression" dxfId="102" priority="103">
      <formula>$G$14="Simple"</formula>
    </cfRule>
  </conditionalFormatting>
  <conditionalFormatting sqref="L49:L50">
    <cfRule type="expression" dxfId="101" priority="102">
      <formula>$G$14="Simple"</formula>
    </cfRule>
  </conditionalFormatting>
  <conditionalFormatting sqref="L53:L56">
    <cfRule type="expression" dxfId="100" priority="101">
      <formula>$G$14="Simple"</formula>
    </cfRule>
  </conditionalFormatting>
  <conditionalFormatting sqref="L62:L68">
    <cfRule type="expression" dxfId="99" priority="100">
      <formula>$G$14="Simple"</formula>
    </cfRule>
  </conditionalFormatting>
  <conditionalFormatting sqref="AK4">
    <cfRule type="expression" dxfId="98" priority="99">
      <formula>$G$14="Simple"</formula>
    </cfRule>
  </conditionalFormatting>
  <conditionalFormatting sqref="AK5">
    <cfRule type="expression" dxfId="97" priority="98">
      <formula>$G$14="Simple"</formula>
    </cfRule>
  </conditionalFormatting>
  <conditionalFormatting sqref="AK9:AK15">
    <cfRule type="expression" dxfId="96" priority="97">
      <formula>$G$14="Simple"</formula>
    </cfRule>
  </conditionalFormatting>
  <conditionalFormatting sqref="AK19:AK26">
    <cfRule type="expression" dxfId="95" priority="96">
      <formula>$G$14="Simple"</formula>
    </cfRule>
  </conditionalFormatting>
  <conditionalFormatting sqref="AK28:AK29">
    <cfRule type="expression" dxfId="94" priority="95">
      <formula>$G$14="Simple"</formula>
    </cfRule>
  </conditionalFormatting>
  <conditionalFormatting sqref="AK32:AK35">
    <cfRule type="expression" dxfId="93" priority="94">
      <formula>$G$14="Simple"</formula>
    </cfRule>
  </conditionalFormatting>
  <conditionalFormatting sqref="AK40:AK47">
    <cfRule type="expression" dxfId="92" priority="93">
      <formula>$G$14="Simple"</formula>
    </cfRule>
  </conditionalFormatting>
  <conditionalFormatting sqref="AK49:AK50">
    <cfRule type="expression" dxfId="91" priority="92">
      <formula>$G$14="Simple"</formula>
    </cfRule>
  </conditionalFormatting>
  <conditionalFormatting sqref="AK53:AK56">
    <cfRule type="expression" dxfId="90" priority="91">
      <formula>$G$14="Simple"</formula>
    </cfRule>
  </conditionalFormatting>
  <conditionalFormatting sqref="AK62:AK68">
    <cfRule type="expression" dxfId="89" priority="90">
      <formula>$G$14="Simple"</formula>
    </cfRule>
  </conditionalFormatting>
  <conditionalFormatting sqref="BA4">
    <cfRule type="expression" dxfId="88" priority="89">
      <formula>$G$14="Simple"</formula>
    </cfRule>
  </conditionalFormatting>
  <conditionalFormatting sqref="BA5">
    <cfRule type="expression" dxfId="87" priority="88">
      <formula>$G$14="Simple"</formula>
    </cfRule>
  </conditionalFormatting>
  <conditionalFormatting sqref="BA9:BA15">
    <cfRule type="expression" dxfId="86" priority="87">
      <formula>$G$14="Simple"</formula>
    </cfRule>
  </conditionalFormatting>
  <conditionalFormatting sqref="BA19:BA26">
    <cfRule type="expression" dxfId="85" priority="86">
      <formula>$G$14="Simple"</formula>
    </cfRule>
  </conditionalFormatting>
  <conditionalFormatting sqref="BA28:BA29">
    <cfRule type="expression" dxfId="84" priority="85">
      <formula>$G$14="Simple"</formula>
    </cfRule>
  </conditionalFormatting>
  <conditionalFormatting sqref="BA32:BA35">
    <cfRule type="expression" dxfId="83" priority="84">
      <formula>$G$14="Simple"</formula>
    </cfRule>
  </conditionalFormatting>
  <conditionalFormatting sqref="BA40:BA47">
    <cfRule type="expression" dxfId="82" priority="83">
      <formula>$G$14="Simple"</formula>
    </cfRule>
  </conditionalFormatting>
  <conditionalFormatting sqref="BA49:BA50">
    <cfRule type="expression" dxfId="81" priority="82">
      <formula>$G$14="Simple"</formula>
    </cfRule>
  </conditionalFormatting>
  <conditionalFormatting sqref="BA53:BA56">
    <cfRule type="expression" dxfId="80" priority="81">
      <formula>$G$14="Simple"</formula>
    </cfRule>
  </conditionalFormatting>
  <conditionalFormatting sqref="BA62:BA68">
    <cfRule type="expression" dxfId="79" priority="80">
      <formula>$G$14="Simple"</formula>
    </cfRule>
  </conditionalFormatting>
  <conditionalFormatting sqref="G28:BG29">
    <cfRule type="expression" dxfId="78" priority="79">
      <formula>$G$14="Simple"</formula>
    </cfRule>
  </conditionalFormatting>
  <conditionalFormatting sqref="K32:K35">
    <cfRule type="expression" dxfId="77" priority="78">
      <formula>$G$14="Simple"</formula>
    </cfRule>
  </conditionalFormatting>
  <conditionalFormatting sqref="L32:L35">
    <cfRule type="expression" dxfId="76" priority="77">
      <formula>$G$14="Simple"</formula>
    </cfRule>
  </conditionalFormatting>
  <conditionalFormatting sqref="AK32:AK35">
    <cfRule type="expression" dxfId="75" priority="76">
      <formula>$G$14="Simple"</formula>
    </cfRule>
  </conditionalFormatting>
  <conditionalFormatting sqref="BA32:BA35">
    <cfRule type="expression" dxfId="74" priority="75">
      <formula>$G$14="Simple"</formula>
    </cfRule>
  </conditionalFormatting>
  <conditionalFormatting sqref="G32:BG35">
    <cfRule type="expression" dxfId="73" priority="74">
      <formula>$G$14="Simple"</formula>
    </cfRule>
  </conditionalFormatting>
  <conditionalFormatting sqref="K49:K50">
    <cfRule type="expression" dxfId="72" priority="73">
      <formula>$G$14="Simple"</formula>
    </cfRule>
  </conditionalFormatting>
  <conditionalFormatting sqref="L49:L50">
    <cfRule type="expression" dxfId="71" priority="72">
      <formula>$G$14="Simple"</formula>
    </cfRule>
  </conditionalFormatting>
  <conditionalFormatting sqref="AK49:AK50">
    <cfRule type="expression" dxfId="70" priority="71">
      <formula>$G$14="Simple"</formula>
    </cfRule>
  </conditionalFormatting>
  <conditionalFormatting sqref="BA49:BA50">
    <cfRule type="expression" dxfId="69" priority="70">
      <formula>$G$14="Simple"</formula>
    </cfRule>
  </conditionalFormatting>
  <conditionalFormatting sqref="G49:BG50">
    <cfRule type="expression" dxfId="68" priority="69">
      <formula>$G$14="Simple"</formula>
    </cfRule>
  </conditionalFormatting>
  <conditionalFormatting sqref="K53:K56">
    <cfRule type="expression" dxfId="67" priority="68">
      <formula>$G$14="Simple"</formula>
    </cfRule>
  </conditionalFormatting>
  <conditionalFormatting sqref="L53:L56">
    <cfRule type="expression" dxfId="66" priority="67">
      <formula>$G$14="Simple"</formula>
    </cfRule>
  </conditionalFormatting>
  <conditionalFormatting sqref="AK53:AK56">
    <cfRule type="expression" dxfId="65" priority="66">
      <formula>$G$14="Simple"</formula>
    </cfRule>
  </conditionalFormatting>
  <conditionalFormatting sqref="BA53:BA56">
    <cfRule type="expression" dxfId="64" priority="65">
      <formula>$G$14="Simple"</formula>
    </cfRule>
  </conditionalFormatting>
  <conditionalFormatting sqref="G53:BG56">
    <cfRule type="expression" dxfId="63" priority="64">
      <formula>$G$14="Simple"</formula>
    </cfRule>
  </conditionalFormatting>
  <conditionalFormatting sqref="K67:K68">
    <cfRule type="expression" dxfId="62" priority="63">
      <formula>$G$14="Simple"</formula>
    </cfRule>
  </conditionalFormatting>
  <conditionalFormatting sqref="L67:L68">
    <cfRule type="expression" dxfId="61" priority="62">
      <formula>$G$14="Simple"</formula>
    </cfRule>
  </conditionalFormatting>
  <conditionalFormatting sqref="AK67:AK68">
    <cfRule type="expression" dxfId="60" priority="61">
      <formula>$G$14="Simple"</formula>
    </cfRule>
  </conditionalFormatting>
  <conditionalFormatting sqref="BA67:BA68">
    <cfRule type="expression" dxfId="59" priority="60">
      <formula>$G$14="Simple"</formula>
    </cfRule>
  </conditionalFormatting>
  <conditionalFormatting sqref="G67:BG68">
    <cfRule type="expression" dxfId="58" priority="59">
      <formula>$G$14="Simple"</formula>
    </cfRule>
  </conditionalFormatting>
  <conditionalFormatting sqref="K72:K73">
    <cfRule type="expression" dxfId="57" priority="58">
      <formula>$G$14="Simple"</formula>
    </cfRule>
  </conditionalFormatting>
  <conditionalFormatting sqref="L72:L73">
    <cfRule type="expression" dxfId="56" priority="57">
      <formula>$G$14="Simple"</formula>
    </cfRule>
  </conditionalFormatting>
  <conditionalFormatting sqref="AK72:AK73">
    <cfRule type="expression" dxfId="55" priority="56">
      <formula>$G$14="Simple"</formula>
    </cfRule>
  </conditionalFormatting>
  <conditionalFormatting sqref="BA72:BA73">
    <cfRule type="expression" dxfId="54" priority="55">
      <formula>$G$14="Simple"</formula>
    </cfRule>
  </conditionalFormatting>
  <conditionalFormatting sqref="G72:BG73">
    <cfRule type="expression" dxfId="53" priority="54">
      <formula>$G$14="Simple"</formula>
    </cfRule>
  </conditionalFormatting>
  <conditionalFormatting sqref="K109:K110">
    <cfRule type="expression" dxfId="52" priority="53">
      <formula>$G$14="Simple"</formula>
    </cfRule>
  </conditionalFormatting>
  <conditionalFormatting sqref="L109:L110">
    <cfRule type="expression" dxfId="51" priority="52">
      <formula>$G$14="Simple"</formula>
    </cfRule>
  </conditionalFormatting>
  <conditionalFormatting sqref="AK109:AK110">
    <cfRule type="expression" dxfId="50" priority="51">
      <formula>$G$14="Simple"</formula>
    </cfRule>
  </conditionalFormatting>
  <conditionalFormatting sqref="BA109:BA110">
    <cfRule type="expression" dxfId="49" priority="50">
      <formula>$G$14="Simple"</formula>
    </cfRule>
  </conditionalFormatting>
  <conditionalFormatting sqref="G109:BG110">
    <cfRule type="expression" dxfId="48" priority="49">
      <formula>$G$14="Simple"</formula>
    </cfRule>
  </conditionalFormatting>
  <conditionalFormatting sqref="AZ9:AZ15">
    <cfRule type="expression" dxfId="47" priority="48">
      <formula>$G$14="Simple"</formula>
    </cfRule>
  </conditionalFormatting>
  <conditionalFormatting sqref="AZ19:AZ26">
    <cfRule type="expression" dxfId="46" priority="47">
      <formula>$G$14="Simple"</formula>
    </cfRule>
  </conditionalFormatting>
  <conditionalFormatting sqref="AZ28:AZ29">
    <cfRule type="expression" dxfId="45" priority="46">
      <formula>$G$14="Simple"</formula>
    </cfRule>
  </conditionalFormatting>
  <conditionalFormatting sqref="AZ32:AZ35">
    <cfRule type="expression" dxfId="44" priority="45">
      <formula>$G$14="Simple"</formula>
    </cfRule>
  </conditionalFormatting>
  <conditionalFormatting sqref="AZ40:AZ47">
    <cfRule type="expression" dxfId="43" priority="44">
      <formula>$G$14="Simple"</formula>
    </cfRule>
  </conditionalFormatting>
  <conditionalFormatting sqref="AZ49:AZ50">
    <cfRule type="expression" dxfId="42" priority="43">
      <formula>$G$14="Simple"</formula>
    </cfRule>
  </conditionalFormatting>
  <conditionalFormatting sqref="AZ53:AZ56">
    <cfRule type="expression" dxfId="41" priority="42">
      <formula>$G$14="Simple"</formula>
    </cfRule>
  </conditionalFormatting>
  <conditionalFormatting sqref="AZ62:AZ68">
    <cfRule type="expression" dxfId="40" priority="41">
      <formula>$G$14="Simple"</formula>
    </cfRule>
  </conditionalFormatting>
  <conditionalFormatting sqref="AZ71:AZ74">
    <cfRule type="expression" dxfId="39" priority="40">
      <formula>$G$14="Simple"</formula>
    </cfRule>
  </conditionalFormatting>
  <conditionalFormatting sqref="AZ32:AZ35">
    <cfRule type="expression" dxfId="38" priority="39">
      <formula>$G$14="Simple"</formula>
    </cfRule>
  </conditionalFormatting>
  <conditionalFormatting sqref="AZ49:AZ50">
    <cfRule type="expression" dxfId="37" priority="38">
      <formula>$G$14="Simple"</formula>
    </cfRule>
  </conditionalFormatting>
  <conditionalFormatting sqref="AZ53:AZ56">
    <cfRule type="expression" dxfId="36" priority="37">
      <formula>$G$14="Simple"</formula>
    </cfRule>
  </conditionalFormatting>
  <conditionalFormatting sqref="AZ67:AZ68">
    <cfRule type="expression" dxfId="35" priority="36">
      <formula>$G$14="Simple"</formula>
    </cfRule>
  </conditionalFormatting>
  <conditionalFormatting sqref="AZ72:AZ73">
    <cfRule type="expression" dxfId="34" priority="35">
      <formula>$G$14="Simple"</formula>
    </cfRule>
  </conditionalFormatting>
  <conditionalFormatting sqref="AN9">
    <cfRule type="expression" dxfId="33" priority="34">
      <formula>$G$14="Simple"</formula>
    </cfRule>
  </conditionalFormatting>
  <conditionalFormatting sqref="AN19:AN26">
    <cfRule type="expression" dxfId="32" priority="33">
      <formula>$G$14="Simple"</formula>
    </cfRule>
  </conditionalFormatting>
  <conditionalFormatting sqref="AN40:AN47">
    <cfRule type="expression" dxfId="31" priority="32">
      <formula>$G$14="Simple"</formula>
    </cfRule>
  </conditionalFormatting>
  <conditionalFormatting sqref="AN62:AN63">
    <cfRule type="expression" dxfId="30" priority="31">
      <formula>$G$14="Simple"</formula>
    </cfRule>
  </conditionalFormatting>
  <conditionalFormatting sqref="AN65:AN66">
    <cfRule type="expression" dxfId="29" priority="30">
      <formula>$G$14="Simple"</formula>
    </cfRule>
  </conditionalFormatting>
  <conditionalFormatting sqref="G81:BG83">
    <cfRule type="expression" dxfId="28" priority="29">
      <formula>$G$14="Simple"</formula>
    </cfRule>
  </conditionalFormatting>
  <conditionalFormatting sqref="AZ88:AZ90">
    <cfRule type="expression" dxfId="27" priority="28">
      <formula>$G$14="Simple"</formula>
    </cfRule>
  </conditionalFormatting>
  <conditionalFormatting sqref="AZ96:AZ101">
    <cfRule type="expression" dxfId="26" priority="27">
      <formula>$G$14="Simple"</formula>
    </cfRule>
  </conditionalFormatting>
  <conditionalFormatting sqref="AK96:AK101">
    <cfRule type="expression" dxfId="25" priority="26">
      <formula>$G$14="Simple"</formula>
    </cfRule>
  </conditionalFormatting>
  <conditionalFormatting sqref="BA80">
    <cfRule type="expression" dxfId="24" priority="25">
      <formula>$G$14="Simple"</formula>
    </cfRule>
  </conditionalFormatting>
  <conditionalFormatting sqref="AK80">
    <cfRule type="expression" dxfId="23" priority="24">
      <formula>$G$14="Simple"</formula>
    </cfRule>
  </conditionalFormatting>
  <conditionalFormatting sqref="S80">
    <cfRule type="expression" dxfId="22" priority="23">
      <formula>$G$14="Simple"</formula>
    </cfRule>
  </conditionalFormatting>
  <conditionalFormatting sqref="L80">
    <cfRule type="expression" dxfId="21" priority="22">
      <formula>$G$14="Simple"</formula>
    </cfRule>
  </conditionalFormatting>
  <conditionalFormatting sqref="L74">
    <cfRule type="expression" dxfId="20" priority="21">
      <formula>$G$14="Simple"</formula>
    </cfRule>
  </conditionalFormatting>
  <conditionalFormatting sqref="AT62:AT63">
    <cfRule type="expression" dxfId="19" priority="20">
      <formula>$G$14="Simple"</formula>
    </cfRule>
  </conditionalFormatting>
  <conditionalFormatting sqref="S40">
    <cfRule type="expression" dxfId="18" priority="19">
      <formula>$G$14="Simple"</formula>
    </cfRule>
  </conditionalFormatting>
  <conditionalFormatting sqref="AT40">
    <cfRule type="expression" dxfId="17" priority="18">
      <formula>$G$14="Simple"</formula>
    </cfRule>
  </conditionalFormatting>
  <conditionalFormatting sqref="AT19">
    <cfRule type="expression" dxfId="16" priority="17">
      <formula>$G$14="Simple"</formula>
    </cfRule>
  </conditionalFormatting>
  <conditionalFormatting sqref="S9">
    <cfRule type="expression" dxfId="15" priority="16">
      <formula>$G$14="Simple"</formula>
    </cfRule>
  </conditionalFormatting>
  <conditionalFormatting sqref="S19">
    <cfRule type="expression" dxfId="14" priority="15">
      <formula>$G$14="Simple"</formula>
    </cfRule>
  </conditionalFormatting>
  <conditionalFormatting sqref="AT9">
    <cfRule type="expression" dxfId="13" priority="14">
      <formula>$G$14="Simple"</formula>
    </cfRule>
  </conditionalFormatting>
  <conditionalFormatting sqref="D71:D74">
    <cfRule type="expression" dxfId="12" priority="7">
      <formula>$G$14="Simple"</formula>
    </cfRule>
  </conditionalFormatting>
  <conditionalFormatting sqref="AK88:AK90">
    <cfRule type="expression" dxfId="11" priority="6">
      <formula>$G$14="Simple"</formula>
    </cfRule>
  </conditionalFormatting>
  <conditionalFormatting sqref="AK88:AK90">
    <cfRule type="expression" dxfId="10" priority="4">
      <formula>$G$21="Flash"</formula>
    </cfRule>
    <cfRule type="expression" dxfId="9" priority="5">
      <formula>$G$21="Flash"</formula>
    </cfRule>
  </conditionalFormatting>
  <conditionalFormatting sqref="S62:S63">
    <cfRule type="expression" dxfId="8" priority="3">
      <formula>$G$14="Simple"</formula>
    </cfRule>
  </conditionalFormatting>
  <conditionalFormatting sqref="S62:S63">
    <cfRule type="expression" dxfId="7" priority="1">
      <formula>$G$21="Flash"</formula>
    </cfRule>
    <cfRule type="expression" dxfId="6" priority="2">
      <formula>$G$21="Flash"</formula>
    </cfRule>
  </conditionalFormatting>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303"/>
  <sheetViews>
    <sheetView workbookViewId="0">
      <selection activeCell="B36" sqref="B36:B37"/>
    </sheetView>
  </sheetViews>
  <sheetFormatPr defaultRowHeight="15" x14ac:dyDescent="0.25"/>
  <cols>
    <col min="1" max="1" width="139.28515625" style="225" customWidth="1"/>
    <col min="2" max="2" width="28.85546875" customWidth="1"/>
    <col min="3" max="3" width="33.5703125" customWidth="1"/>
    <col min="4" max="4" width="18.5703125" customWidth="1"/>
    <col min="5" max="5" width="17" customWidth="1"/>
    <col min="6" max="6" width="13" customWidth="1"/>
    <col min="7" max="7" width="19.140625" customWidth="1"/>
    <col min="8" max="8" width="10.5703125" bestFit="1" customWidth="1"/>
  </cols>
  <sheetData>
    <row r="1" spans="1:10" x14ac:dyDescent="0.25">
      <c r="A1" s="217"/>
    </row>
    <row r="2" spans="1:10" x14ac:dyDescent="0.25">
      <c r="A2" s="217"/>
    </row>
    <row r="3" spans="1:10" ht="15.75" thickBot="1" x14ac:dyDescent="0.3">
      <c r="A3" s="217"/>
      <c r="B3" t="s">
        <v>140</v>
      </c>
    </row>
    <row r="4" spans="1:10" x14ac:dyDescent="0.25">
      <c r="A4" s="217"/>
      <c r="B4" s="1271" t="s">
        <v>398</v>
      </c>
      <c r="C4" s="1272"/>
      <c r="D4" s="117"/>
      <c r="E4" s="117"/>
      <c r="F4" s="117"/>
      <c r="H4" s="153"/>
    </row>
    <row r="5" spans="1:10" ht="23.25" x14ac:dyDescent="0.35">
      <c r="A5" s="221" t="s">
        <v>591</v>
      </c>
      <c r="B5" s="1273" t="s">
        <v>399</v>
      </c>
      <c r="C5" s="1274"/>
      <c r="D5" s="156"/>
      <c r="E5" s="150"/>
      <c r="F5" s="137"/>
      <c r="H5" s="153"/>
    </row>
    <row r="6" spans="1:10" x14ac:dyDescent="0.25">
      <c r="A6" s="217"/>
      <c r="B6" s="35" t="s">
        <v>400</v>
      </c>
      <c r="C6" s="144">
        <v>9.4137599999999999</v>
      </c>
      <c r="D6" s="156"/>
      <c r="E6" s="150"/>
      <c r="F6" s="117"/>
      <c r="H6" s="153"/>
    </row>
    <row r="7" spans="1:10" ht="15.75" x14ac:dyDescent="0.25">
      <c r="A7" s="223" t="s">
        <v>594</v>
      </c>
      <c r="B7" s="35" t="s">
        <v>44</v>
      </c>
      <c r="C7" s="145">
        <v>-0.18254200000000001</v>
      </c>
      <c r="D7" s="156"/>
      <c r="E7" s="150"/>
      <c r="F7" s="117"/>
      <c r="H7" s="153"/>
    </row>
    <row r="8" spans="1:10" ht="15.75" x14ac:dyDescent="0.25">
      <c r="A8" s="224"/>
      <c r="B8" s="35" t="s">
        <v>45</v>
      </c>
      <c r="C8" s="146">
        <v>1.765735E-4</v>
      </c>
      <c r="D8" s="156"/>
      <c r="E8" s="150"/>
      <c r="F8" s="117"/>
      <c r="H8" s="153"/>
    </row>
    <row r="9" spans="1:10" ht="15.75" x14ac:dyDescent="0.25">
      <c r="A9" s="223" t="s">
        <v>597</v>
      </c>
      <c r="B9" s="35" t="s">
        <v>381</v>
      </c>
      <c r="C9" s="147">
        <v>1.2204486E-5</v>
      </c>
      <c r="D9" s="156"/>
      <c r="E9" s="152"/>
      <c r="F9" s="117"/>
      <c r="H9" s="153"/>
    </row>
    <row r="10" spans="1:10" ht="16.5" thickBot="1" x14ac:dyDescent="0.3">
      <c r="A10" s="223"/>
      <c r="B10" s="35" t="s">
        <v>382</v>
      </c>
      <c r="C10" s="148">
        <v>-3.3555900000000001E-8</v>
      </c>
      <c r="D10" s="156"/>
      <c r="E10" s="150"/>
      <c r="F10" s="117"/>
      <c r="H10" s="153"/>
    </row>
    <row r="11" spans="1:10" ht="15.75" x14ac:dyDescent="0.25">
      <c r="A11" s="223" t="s">
        <v>600</v>
      </c>
      <c r="B11" s="35" t="s">
        <v>401</v>
      </c>
      <c r="C11" s="157">
        <f>'Default Data'!C3</f>
        <v>200</v>
      </c>
      <c r="D11" s="117"/>
    </row>
    <row r="12" spans="1:10" x14ac:dyDescent="0.25">
      <c r="A12" s="217"/>
      <c r="B12" s="35" t="s">
        <v>402</v>
      </c>
      <c r="C12" s="158">
        <f>($C$6+($C$7*C$11)+($C$8*C$11^2)+($C$9*C$11^3)+($C$10*C$11^4))</f>
        <v>23.914747999999996</v>
      </c>
      <c r="D12" s="117"/>
    </row>
    <row r="13" spans="1:10" x14ac:dyDescent="0.25">
      <c r="A13" s="217"/>
      <c r="B13" s="155" t="s">
        <v>403</v>
      </c>
      <c r="C13" s="158">
        <f>C12*0.4545</f>
        <v>10.869252965999998</v>
      </c>
      <c r="D13" s="117"/>
      <c r="E13" s="117"/>
      <c r="F13" s="117"/>
      <c r="H13" s="153"/>
      <c r="J13" s="48"/>
    </row>
    <row r="14" spans="1:10" ht="15.75" thickBot="1" x14ac:dyDescent="0.3">
      <c r="A14" s="217"/>
      <c r="B14" s="149" t="s">
        <v>409</v>
      </c>
      <c r="C14" s="159">
        <f>C13*(1-ProjectData!B21)</f>
        <v>8.4495443491129567</v>
      </c>
      <c r="E14" s="117"/>
      <c r="H14" s="153"/>
      <c r="J14" s="48"/>
    </row>
    <row r="15" spans="1:10" x14ac:dyDescent="0.25">
      <c r="A15" s="217"/>
      <c r="E15" s="117"/>
      <c r="H15" s="153"/>
      <c r="J15" s="48"/>
    </row>
    <row r="16" spans="1:10" x14ac:dyDescent="0.25">
      <c r="A16" s="217"/>
      <c r="E16" s="117"/>
      <c r="F16" s="151"/>
      <c r="H16" s="153"/>
      <c r="J16" s="48"/>
    </row>
    <row r="17" spans="1:10" ht="15.75" thickBot="1" x14ac:dyDescent="0.3">
      <c r="A17" s="217"/>
      <c r="B17" t="s">
        <v>47</v>
      </c>
      <c r="E17" s="117"/>
      <c r="F17" s="151"/>
      <c r="H17" s="153"/>
      <c r="J17" s="48"/>
    </row>
    <row r="18" spans="1:10" x14ac:dyDescent="0.25">
      <c r="A18" s="217"/>
      <c r="B18" s="1271" t="s">
        <v>404</v>
      </c>
      <c r="C18" s="1272"/>
      <c r="E18" s="117"/>
      <c r="F18" s="151"/>
      <c r="H18" s="153"/>
      <c r="J18" s="48"/>
    </row>
    <row r="19" spans="1:10" x14ac:dyDescent="0.25">
      <c r="A19" s="217"/>
      <c r="B19" s="41" t="s">
        <v>405</v>
      </c>
      <c r="C19" s="37"/>
      <c r="E19" s="117"/>
      <c r="F19" s="151"/>
      <c r="H19" s="153"/>
      <c r="J19" s="48"/>
    </row>
    <row r="20" spans="1:10" ht="15.75" x14ac:dyDescent="0.25">
      <c r="A20" s="223" t="s">
        <v>608</v>
      </c>
      <c r="B20" s="35" t="s">
        <v>400</v>
      </c>
      <c r="C20" s="37">
        <v>2.6718000000000002</v>
      </c>
      <c r="E20" s="117"/>
      <c r="F20" s="151"/>
      <c r="H20" s="153"/>
      <c r="J20" s="48"/>
    </row>
    <row r="21" spans="1:10" x14ac:dyDescent="0.25">
      <c r="A21" s="217"/>
      <c r="B21" s="35" t="s">
        <v>44</v>
      </c>
      <c r="C21" s="37">
        <v>-2.7827999999999999E-2</v>
      </c>
      <c r="E21" s="117"/>
      <c r="F21" s="151"/>
      <c r="H21" s="153"/>
      <c r="J21" s="48"/>
    </row>
    <row r="22" spans="1:10" x14ac:dyDescent="0.25">
      <c r="A22" s="217"/>
      <c r="B22" s="35" t="s">
        <v>45</v>
      </c>
      <c r="C22" s="37">
        <v>1.0399999999999999E-4</v>
      </c>
      <c r="E22" s="117"/>
      <c r="F22" s="151"/>
      <c r="H22" s="153"/>
      <c r="J22" s="48"/>
    </row>
    <row r="23" spans="1:10" x14ac:dyDescent="0.25">
      <c r="A23" s="217"/>
      <c r="B23" s="35" t="s">
        <v>406</v>
      </c>
      <c r="C23" s="160">
        <f>C11*1.8+32</f>
        <v>392</v>
      </c>
      <c r="E23" s="117"/>
      <c r="F23" s="151"/>
      <c r="H23" s="153"/>
      <c r="J23" s="48"/>
    </row>
    <row r="24" spans="1:10" x14ac:dyDescent="0.25">
      <c r="A24" s="217"/>
      <c r="B24" s="35" t="s">
        <v>410</v>
      </c>
      <c r="C24" s="161">
        <f>$C$20+$C$21*C$23+$C$22*C$23^2</f>
        <v>7.7442799999999998</v>
      </c>
      <c r="E24" s="117"/>
      <c r="F24" s="151"/>
      <c r="H24" s="153"/>
    </row>
    <row r="25" spans="1:10" ht="15.75" thickBot="1" x14ac:dyDescent="0.3">
      <c r="A25" s="217"/>
      <c r="B25" s="149" t="s">
        <v>409</v>
      </c>
      <c r="C25" s="162">
        <f>C24*(1-ProjectData!B21)</f>
        <v>6.0202515772369143</v>
      </c>
      <c r="E25" s="117"/>
      <c r="F25" s="151"/>
      <c r="H25" s="153"/>
    </row>
    <row r="26" spans="1:10" x14ac:dyDescent="0.25">
      <c r="A26" s="217"/>
    </row>
    <row r="27" spans="1:10" x14ac:dyDescent="0.25">
      <c r="A27" s="217"/>
    </row>
    <row r="28" spans="1:10" x14ac:dyDescent="0.25">
      <c r="A28" s="217"/>
    </row>
    <row r="29" spans="1:10" x14ac:dyDescent="0.25">
      <c r="A29" s="217"/>
    </row>
    <row r="30" spans="1:10" x14ac:dyDescent="0.25">
      <c r="A30" s="217"/>
    </row>
    <row r="31" spans="1:10" x14ac:dyDescent="0.25">
      <c r="A31" s="217"/>
    </row>
    <row r="32" spans="1:10" x14ac:dyDescent="0.25">
      <c r="A32" s="217"/>
    </row>
    <row r="33" spans="1:1" x14ac:dyDescent="0.25">
      <c r="A33" s="217"/>
    </row>
    <row r="34" spans="1:1" x14ac:dyDescent="0.25">
      <c r="A34" s="217"/>
    </row>
    <row r="35" spans="1:1" x14ac:dyDescent="0.25">
      <c r="A35" s="217"/>
    </row>
    <row r="36" spans="1:1" x14ac:dyDescent="0.25">
      <c r="A36" s="217"/>
    </row>
    <row r="37" spans="1:1" x14ac:dyDescent="0.25">
      <c r="A37" s="217"/>
    </row>
    <row r="38" spans="1:1" x14ac:dyDescent="0.25">
      <c r="A38" s="217"/>
    </row>
    <row r="39" spans="1:1" x14ac:dyDescent="0.25">
      <c r="A39" s="217"/>
    </row>
    <row r="40" spans="1:1" x14ac:dyDescent="0.25">
      <c r="A40" s="217"/>
    </row>
    <row r="41" spans="1:1" x14ac:dyDescent="0.25">
      <c r="A41" s="217"/>
    </row>
    <row r="42" spans="1:1" x14ac:dyDescent="0.25">
      <c r="A42" s="217"/>
    </row>
    <row r="43" spans="1:1" x14ac:dyDescent="0.25">
      <c r="A43" s="217"/>
    </row>
    <row r="44" spans="1:1" x14ac:dyDescent="0.25">
      <c r="A44" s="217"/>
    </row>
    <row r="45" spans="1:1" x14ac:dyDescent="0.25">
      <c r="A45" s="217"/>
    </row>
    <row r="46" spans="1:1" x14ac:dyDescent="0.25">
      <c r="A46" s="217"/>
    </row>
    <row r="47" spans="1:1" x14ac:dyDescent="0.25">
      <c r="A47" s="217"/>
    </row>
    <row r="48" spans="1:1" x14ac:dyDescent="0.25">
      <c r="A48" s="217"/>
    </row>
    <row r="49" spans="1:1" x14ac:dyDescent="0.25">
      <c r="A49" s="217"/>
    </row>
    <row r="50" spans="1:1" x14ac:dyDescent="0.25">
      <c r="A50" s="217"/>
    </row>
    <row r="51" spans="1:1" x14ac:dyDescent="0.25">
      <c r="A51" s="217"/>
    </row>
    <row r="139" spans="1:1" x14ac:dyDescent="0.25">
      <c r="A139" s="218"/>
    </row>
    <row r="140" spans="1:1" x14ac:dyDescent="0.25">
      <c r="A140" s="473"/>
    </row>
    <row r="141" spans="1:1" x14ac:dyDescent="0.25">
      <c r="A141" s="473"/>
    </row>
    <row r="142" spans="1:1" x14ac:dyDescent="0.25">
      <c r="A142" s="473"/>
    </row>
    <row r="143" spans="1:1" x14ac:dyDescent="0.25">
      <c r="A143" s="473"/>
    </row>
    <row r="144" spans="1:1" x14ac:dyDescent="0.25">
      <c r="A144" s="473"/>
    </row>
    <row r="145" spans="1:1" x14ac:dyDescent="0.25">
      <c r="A145" s="473"/>
    </row>
    <row r="146" spans="1:1" x14ac:dyDescent="0.25">
      <c r="A146" s="473"/>
    </row>
    <row r="147" spans="1:1" x14ac:dyDescent="0.25">
      <c r="A147" s="473"/>
    </row>
    <row r="148" spans="1:1" x14ac:dyDescent="0.25">
      <c r="A148" s="473"/>
    </row>
    <row r="149" spans="1:1" x14ac:dyDescent="0.25">
      <c r="A149" s="473"/>
    </row>
    <row r="150" spans="1:1" x14ac:dyDescent="0.25">
      <c r="A150" s="473"/>
    </row>
    <row r="151" spans="1:1" x14ac:dyDescent="0.25">
      <c r="A151" s="473"/>
    </row>
    <row r="152" spans="1:1" x14ac:dyDescent="0.25">
      <c r="A152" s="473"/>
    </row>
    <row r="153" spans="1:1" x14ac:dyDescent="0.25">
      <c r="A153" s="473"/>
    </row>
    <row r="154" spans="1:1" x14ac:dyDescent="0.25">
      <c r="A154" s="473"/>
    </row>
    <row r="155" spans="1:1" x14ac:dyDescent="0.25">
      <c r="A155" s="473"/>
    </row>
    <row r="156" spans="1:1" x14ac:dyDescent="0.25">
      <c r="A156" s="473"/>
    </row>
    <row r="157" spans="1:1" x14ac:dyDescent="0.25">
      <c r="A157" s="219"/>
    </row>
    <row r="158" spans="1:1" x14ac:dyDescent="0.25">
      <c r="A158" s="219"/>
    </row>
    <row r="159" spans="1:1" x14ac:dyDescent="0.25">
      <c r="A159" s="219"/>
    </row>
    <row r="160" spans="1:1" x14ac:dyDescent="0.25">
      <c r="A160" s="219"/>
    </row>
    <row r="161" spans="1:1" x14ac:dyDescent="0.25">
      <c r="A161" s="219"/>
    </row>
    <row r="165" spans="1:1" x14ac:dyDescent="0.25">
      <c r="A165" s="219"/>
    </row>
    <row r="166" spans="1:1" x14ac:dyDescent="0.25">
      <c r="A166" s="219"/>
    </row>
    <row r="167" spans="1:1" x14ac:dyDescent="0.25">
      <c r="A167" s="219"/>
    </row>
    <row r="168" spans="1:1" x14ac:dyDescent="0.25">
      <c r="A168" s="219"/>
    </row>
    <row r="169" spans="1:1" x14ac:dyDescent="0.25">
      <c r="A169" s="219"/>
    </row>
    <row r="170" spans="1:1" x14ac:dyDescent="0.25">
      <c r="A170" s="219"/>
    </row>
    <row r="171" spans="1:1" x14ac:dyDescent="0.25">
      <c r="A171" s="219"/>
    </row>
    <row r="172" spans="1:1" x14ac:dyDescent="0.25">
      <c r="A172" s="219"/>
    </row>
    <row r="173" spans="1:1" x14ac:dyDescent="0.25">
      <c r="A173" s="219"/>
    </row>
    <row r="174" spans="1:1" x14ac:dyDescent="0.25">
      <c r="A174" s="219"/>
    </row>
    <row r="175" spans="1:1" x14ac:dyDescent="0.25">
      <c r="A175" s="219"/>
    </row>
    <row r="176" spans="1:1" x14ac:dyDescent="0.25">
      <c r="A176" s="219"/>
    </row>
    <row r="177" spans="1:1" x14ac:dyDescent="0.25">
      <c r="A177" s="219"/>
    </row>
    <row r="178" spans="1:1" x14ac:dyDescent="0.25">
      <c r="A178" s="219"/>
    </row>
    <row r="179" spans="1:1" x14ac:dyDescent="0.25">
      <c r="A179" s="219"/>
    </row>
    <row r="180" spans="1:1" x14ac:dyDescent="0.25">
      <c r="A180" s="219"/>
    </row>
    <row r="181" spans="1:1" x14ac:dyDescent="0.25">
      <c r="A181" s="219"/>
    </row>
    <row r="182" spans="1:1" x14ac:dyDescent="0.25">
      <c r="A182" s="219"/>
    </row>
    <row r="183" spans="1:1" x14ac:dyDescent="0.25">
      <c r="A183" s="219"/>
    </row>
    <row r="184" spans="1:1" x14ac:dyDescent="0.25">
      <c r="A184" s="219"/>
    </row>
    <row r="185" spans="1:1" x14ac:dyDescent="0.25">
      <c r="A185" s="219"/>
    </row>
    <row r="186" spans="1:1" x14ac:dyDescent="0.25">
      <c r="A186" s="219"/>
    </row>
    <row r="187" spans="1:1" x14ac:dyDescent="0.25">
      <c r="A187" s="219"/>
    </row>
    <row r="188" spans="1:1" x14ac:dyDescent="0.25">
      <c r="A188" s="219"/>
    </row>
    <row r="189" spans="1:1" x14ac:dyDescent="0.25">
      <c r="A189" s="219"/>
    </row>
    <row r="190" spans="1:1" x14ac:dyDescent="0.25">
      <c r="A190" s="219"/>
    </row>
    <row r="191" spans="1:1" x14ac:dyDescent="0.25">
      <c r="A191" s="219"/>
    </row>
    <row r="192" spans="1:1" x14ac:dyDescent="0.25">
      <c r="A192" s="219"/>
    </row>
    <row r="193" spans="1:1" x14ac:dyDescent="0.25">
      <c r="A193" s="219"/>
    </row>
    <row r="194" spans="1:1" x14ac:dyDescent="0.25">
      <c r="A194" s="219"/>
    </row>
    <row r="195" spans="1:1" x14ac:dyDescent="0.25">
      <c r="A195" s="219"/>
    </row>
    <row r="196" spans="1:1" x14ac:dyDescent="0.25">
      <c r="A196" s="219"/>
    </row>
    <row r="197" spans="1:1" x14ac:dyDescent="0.25">
      <c r="A197" s="219"/>
    </row>
    <row r="198" spans="1:1" x14ac:dyDescent="0.25">
      <c r="A198" s="219"/>
    </row>
    <row r="199" spans="1:1" x14ac:dyDescent="0.25">
      <c r="A199" s="219"/>
    </row>
    <row r="200" spans="1:1" x14ac:dyDescent="0.25">
      <c r="A200" s="219"/>
    </row>
    <row r="201" spans="1:1" x14ac:dyDescent="0.25">
      <c r="A201" s="219"/>
    </row>
    <row r="202" spans="1:1" x14ac:dyDescent="0.25">
      <c r="A202" s="219"/>
    </row>
    <row r="203" spans="1:1" x14ac:dyDescent="0.25">
      <c r="A203" s="219"/>
    </row>
    <row r="204" spans="1:1" x14ac:dyDescent="0.25">
      <c r="A204" s="219"/>
    </row>
    <row r="205" spans="1:1" x14ac:dyDescent="0.25">
      <c r="A205" s="219"/>
    </row>
    <row r="206" spans="1:1" x14ac:dyDescent="0.25">
      <c r="A206" s="219"/>
    </row>
    <row r="207" spans="1:1" x14ac:dyDescent="0.25">
      <c r="A207" s="219"/>
    </row>
    <row r="208" spans="1:1" x14ac:dyDescent="0.25">
      <c r="A208" s="219"/>
    </row>
    <row r="209" spans="1:1" x14ac:dyDescent="0.25">
      <c r="A209" s="219"/>
    </row>
    <row r="210" spans="1:1" x14ac:dyDescent="0.25">
      <c r="A210" s="219"/>
    </row>
    <row r="211" spans="1:1" x14ac:dyDescent="0.25">
      <c r="A211" s="219"/>
    </row>
    <row r="212" spans="1:1" x14ac:dyDescent="0.25">
      <c r="A212" s="219"/>
    </row>
    <row r="213" spans="1:1" x14ac:dyDescent="0.25">
      <c r="A213" s="219"/>
    </row>
    <row r="214" spans="1:1" x14ac:dyDescent="0.25">
      <c r="A214" s="219"/>
    </row>
    <row r="215" spans="1:1" x14ac:dyDescent="0.25">
      <c r="A215" s="219"/>
    </row>
    <row r="216" spans="1:1" x14ac:dyDescent="0.25">
      <c r="A216" s="219"/>
    </row>
    <row r="217" spans="1:1" x14ac:dyDescent="0.25">
      <c r="A217" s="219"/>
    </row>
    <row r="218" spans="1:1" x14ac:dyDescent="0.25">
      <c r="A218" s="219"/>
    </row>
    <row r="219" spans="1:1" x14ac:dyDescent="0.25">
      <c r="A219" s="219"/>
    </row>
    <row r="220" spans="1:1" x14ac:dyDescent="0.25">
      <c r="A220" s="219"/>
    </row>
    <row r="221" spans="1:1" x14ac:dyDescent="0.25">
      <c r="A221" s="219"/>
    </row>
    <row r="222" spans="1:1" x14ac:dyDescent="0.25">
      <c r="A222" s="219"/>
    </row>
    <row r="223" spans="1:1" x14ac:dyDescent="0.25">
      <c r="A223" s="219"/>
    </row>
    <row r="224" spans="1:1" x14ac:dyDescent="0.25">
      <c r="A224" s="219"/>
    </row>
    <row r="225" spans="1:1" x14ac:dyDescent="0.25">
      <c r="A225" s="219"/>
    </row>
    <row r="226" spans="1:1" x14ac:dyDescent="0.25">
      <c r="A226" s="219"/>
    </row>
    <row r="227" spans="1:1" x14ac:dyDescent="0.25">
      <c r="A227" s="219"/>
    </row>
    <row r="228" spans="1:1" x14ac:dyDescent="0.25">
      <c r="A228" s="219"/>
    </row>
    <row r="229" spans="1:1" x14ac:dyDescent="0.25">
      <c r="A229" s="219"/>
    </row>
    <row r="230" spans="1:1" x14ac:dyDescent="0.25">
      <c r="A230" s="219"/>
    </row>
    <row r="231" spans="1:1" x14ac:dyDescent="0.25">
      <c r="A231" s="219"/>
    </row>
    <row r="232" spans="1:1" x14ac:dyDescent="0.25">
      <c r="A232" s="219"/>
    </row>
    <row r="233" spans="1:1" x14ac:dyDescent="0.25">
      <c r="A233" s="219"/>
    </row>
    <row r="234" spans="1:1" x14ac:dyDescent="0.25">
      <c r="A234" s="219"/>
    </row>
    <row r="235" spans="1:1" x14ac:dyDescent="0.25">
      <c r="A235" s="219"/>
    </row>
    <row r="236" spans="1:1" x14ac:dyDescent="0.25">
      <c r="A236" s="219"/>
    </row>
    <row r="237" spans="1:1" x14ac:dyDescent="0.25">
      <c r="A237" s="219"/>
    </row>
    <row r="238" spans="1:1" x14ac:dyDescent="0.25">
      <c r="A238" s="219"/>
    </row>
    <row r="239" spans="1:1" x14ac:dyDescent="0.25">
      <c r="A239" s="219"/>
    </row>
    <row r="240" spans="1:1" x14ac:dyDescent="0.25">
      <c r="A240" s="219"/>
    </row>
    <row r="241" spans="1:1" x14ac:dyDescent="0.25">
      <c r="A241" s="219"/>
    </row>
    <row r="242" spans="1:1" x14ac:dyDescent="0.25">
      <c r="A242" s="219"/>
    </row>
    <row r="243" spans="1:1" x14ac:dyDescent="0.25">
      <c r="A243" s="219"/>
    </row>
    <row r="244" spans="1:1" x14ac:dyDescent="0.25">
      <c r="A244" s="219"/>
    </row>
    <row r="245" spans="1:1" x14ac:dyDescent="0.25">
      <c r="A245" s="219"/>
    </row>
    <row r="246" spans="1:1" x14ac:dyDescent="0.25">
      <c r="A246" s="219"/>
    </row>
    <row r="247" spans="1:1" x14ac:dyDescent="0.25">
      <c r="A247" s="219"/>
    </row>
    <row r="248" spans="1:1" x14ac:dyDescent="0.25">
      <c r="A248" s="219"/>
    </row>
    <row r="249" spans="1:1" x14ac:dyDescent="0.25">
      <c r="A249" s="219"/>
    </row>
    <row r="250" spans="1:1" x14ac:dyDescent="0.25">
      <c r="A250" s="219"/>
    </row>
    <row r="251" spans="1:1" x14ac:dyDescent="0.25">
      <c r="A251" s="219"/>
    </row>
    <row r="252" spans="1:1" x14ac:dyDescent="0.25">
      <c r="A252" s="219"/>
    </row>
    <row r="253" spans="1:1" x14ac:dyDescent="0.25">
      <c r="A253" s="219"/>
    </row>
    <row r="254" spans="1:1" x14ac:dyDescent="0.25">
      <c r="A254" s="219"/>
    </row>
    <row r="255" spans="1:1" x14ac:dyDescent="0.25">
      <c r="A255" s="219"/>
    </row>
    <row r="256" spans="1:1" x14ac:dyDescent="0.25">
      <c r="A256" s="219"/>
    </row>
    <row r="257" spans="1:1" x14ac:dyDescent="0.25">
      <c r="A257" s="219"/>
    </row>
    <row r="258" spans="1:1" x14ac:dyDescent="0.25">
      <c r="A258" s="219"/>
    </row>
    <row r="259" spans="1:1" x14ac:dyDescent="0.25">
      <c r="A259" s="219"/>
    </row>
    <row r="260" spans="1:1" x14ac:dyDescent="0.25">
      <c r="A260" s="219"/>
    </row>
    <row r="261" spans="1:1" x14ac:dyDescent="0.25">
      <c r="A261" s="219"/>
    </row>
    <row r="262" spans="1:1" x14ac:dyDescent="0.25">
      <c r="A262" s="219"/>
    </row>
    <row r="263" spans="1:1" x14ac:dyDescent="0.25">
      <c r="A263" s="219"/>
    </row>
    <row r="264" spans="1:1" x14ac:dyDescent="0.25">
      <c r="A264" s="219"/>
    </row>
    <row r="265" spans="1:1" x14ac:dyDescent="0.25">
      <c r="A265" s="219"/>
    </row>
    <row r="266" spans="1:1" x14ac:dyDescent="0.25">
      <c r="A266" s="219"/>
    </row>
    <row r="267" spans="1:1" x14ac:dyDescent="0.25">
      <c r="A267" s="219"/>
    </row>
    <row r="268" spans="1:1" x14ac:dyDescent="0.25">
      <c r="A268" s="219"/>
    </row>
    <row r="269" spans="1:1" x14ac:dyDescent="0.25">
      <c r="A269" s="219"/>
    </row>
    <row r="270" spans="1:1" x14ac:dyDescent="0.25">
      <c r="A270" s="219"/>
    </row>
    <row r="271" spans="1:1" x14ac:dyDescent="0.25">
      <c r="A271" s="219"/>
    </row>
    <row r="272" spans="1:1" x14ac:dyDescent="0.25">
      <c r="A272" s="219"/>
    </row>
    <row r="273" spans="1:1" x14ac:dyDescent="0.25">
      <c r="A273" s="219"/>
    </row>
    <row r="274" spans="1:1" x14ac:dyDescent="0.25">
      <c r="A274" s="219"/>
    </row>
    <row r="275" spans="1:1" x14ac:dyDescent="0.25">
      <c r="A275" s="219"/>
    </row>
    <row r="276" spans="1:1" x14ac:dyDescent="0.25">
      <c r="A276" s="219"/>
    </row>
    <row r="277" spans="1:1" x14ac:dyDescent="0.25">
      <c r="A277" s="219"/>
    </row>
    <row r="278" spans="1:1" x14ac:dyDescent="0.25">
      <c r="A278" s="219"/>
    </row>
    <row r="279" spans="1:1" x14ac:dyDescent="0.25">
      <c r="A279" s="219"/>
    </row>
    <row r="280" spans="1:1" x14ac:dyDescent="0.25">
      <c r="A280" s="219"/>
    </row>
    <row r="281" spans="1:1" x14ac:dyDescent="0.25">
      <c r="A281" s="219"/>
    </row>
    <row r="282" spans="1:1" x14ac:dyDescent="0.25">
      <c r="A282" s="219"/>
    </row>
    <row r="283" spans="1:1" x14ac:dyDescent="0.25">
      <c r="A283" s="219"/>
    </row>
    <row r="284" spans="1:1" x14ac:dyDescent="0.25">
      <c r="A284" s="219"/>
    </row>
    <row r="285" spans="1:1" x14ac:dyDescent="0.25">
      <c r="A285" s="219"/>
    </row>
    <row r="286" spans="1:1" x14ac:dyDescent="0.25">
      <c r="A286" s="219"/>
    </row>
    <row r="287" spans="1:1" x14ac:dyDescent="0.25">
      <c r="A287" s="219"/>
    </row>
    <row r="288" spans="1:1" x14ac:dyDescent="0.25">
      <c r="A288" s="219"/>
    </row>
    <row r="289" spans="1:1" x14ac:dyDescent="0.25">
      <c r="A289" s="219"/>
    </row>
    <row r="290" spans="1:1" x14ac:dyDescent="0.25">
      <c r="A290" s="219"/>
    </row>
    <row r="291" spans="1:1" x14ac:dyDescent="0.25">
      <c r="A291" s="219"/>
    </row>
    <row r="292" spans="1:1" x14ac:dyDescent="0.25">
      <c r="A292" s="219"/>
    </row>
    <row r="293" spans="1:1" x14ac:dyDescent="0.25">
      <c r="A293" s="219"/>
    </row>
    <row r="294" spans="1:1" x14ac:dyDescent="0.25">
      <c r="A294" s="219"/>
    </row>
    <row r="295" spans="1:1" x14ac:dyDescent="0.25">
      <c r="A295" s="219"/>
    </row>
    <row r="296" spans="1:1" x14ac:dyDescent="0.25">
      <c r="A296" s="219"/>
    </row>
    <row r="297" spans="1:1" x14ac:dyDescent="0.25">
      <c r="A297" s="219"/>
    </row>
    <row r="298" spans="1:1" x14ac:dyDescent="0.25">
      <c r="A298" s="219"/>
    </row>
    <row r="299" spans="1:1" x14ac:dyDescent="0.25">
      <c r="A299" s="219"/>
    </row>
    <row r="300" spans="1:1" x14ac:dyDescent="0.25">
      <c r="A300" s="219"/>
    </row>
    <row r="301" spans="1:1" x14ac:dyDescent="0.25">
      <c r="A301" s="219"/>
    </row>
    <row r="302" spans="1:1" x14ac:dyDescent="0.25">
      <c r="A302" s="219"/>
    </row>
    <row r="303" spans="1:1" x14ac:dyDescent="0.25">
      <c r="A303" s="219"/>
    </row>
  </sheetData>
  <sheetProtection password="DFD3" sheet="1" objects="1" scenarios="1"/>
  <mergeCells count="3">
    <mergeCell ref="B4:C4"/>
    <mergeCell ref="B5:C5"/>
    <mergeCell ref="B18:C18"/>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AC290"/>
  <sheetViews>
    <sheetView workbookViewId="0">
      <selection activeCell="D1" sqref="D1"/>
    </sheetView>
  </sheetViews>
  <sheetFormatPr defaultRowHeight="15" x14ac:dyDescent="0.25"/>
  <cols>
    <col min="1" max="1" width="140.42578125" style="225" customWidth="1"/>
    <col min="2" max="2" width="59.28515625" customWidth="1"/>
    <col min="3" max="3" width="15.28515625" customWidth="1"/>
    <col min="4" max="4" width="16.28515625" customWidth="1"/>
    <col min="5" max="5" width="12.7109375" customWidth="1"/>
    <col min="6" max="6" width="48.42578125" customWidth="1"/>
    <col min="8" max="8" width="10.85546875" customWidth="1"/>
    <col min="9" max="9" width="10.140625" bestFit="1" customWidth="1"/>
    <col min="12" max="12" width="10.140625" bestFit="1" customWidth="1"/>
  </cols>
  <sheetData>
    <row r="1" spans="1:14" x14ac:dyDescent="0.25">
      <c r="A1" s="217"/>
    </row>
    <row r="2" spans="1:14" x14ac:dyDescent="0.25">
      <c r="A2" s="217"/>
      <c r="B2" s="96" t="s">
        <v>942</v>
      </c>
      <c r="C2" s="590">
        <f>365*24</f>
        <v>8760</v>
      </c>
    </row>
    <row r="3" spans="1:14" ht="14.25" customHeight="1" x14ac:dyDescent="0.25">
      <c r="A3" s="217"/>
      <c r="B3" s="96"/>
      <c r="C3" s="423"/>
    </row>
    <row r="4" spans="1:14" x14ac:dyDescent="0.25">
      <c r="A4" s="217"/>
      <c r="B4" s="96" t="s">
        <v>940</v>
      </c>
      <c r="C4" s="590">
        <v>2080</v>
      </c>
    </row>
    <row r="5" spans="1:14" ht="19.5" customHeight="1" x14ac:dyDescent="0.35">
      <c r="A5" s="221" t="s">
        <v>591</v>
      </c>
      <c r="B5" s="36"/>
      <c r="C5" s="423"/>
    </row>
    <row r="6" spans="1:14" ht="18" customHeight="1" x14ac:dyDescent="0.25">
      <c r="A6" s="217"/>
      <c r="B6" s="651" t="s">
        <v>944</v>
      </c>
      <c r="C6" s="652">
        <v>0.05</v>
      </c>
    </row>
    <row r="7" spans="1:14" ht="15" customHeight="1" x14ac:dyDescent="0.25">
      <c r="A7" s="223" t="s">
        <v>594</v>
      </c>
      <c r="C7" s="653"/>
    </row>
    <row r="8" spans="1:14" ht="14.25" customHeight="1" x14ac:dyDescent="0.25">
      <c r="A8" s="224"/>
      <c r="B8" s="362" t="s">
        <v>943</v>
      </c>
      <c r="C8" s="652">
        <v>0.02</v>
      </c>
    </row>
    <row r="9" spans="1:14" ht="14.25" customHeight="1" x14ac:dyDescent="0.25">
      <c r="A9" s="223" t="s">
        <v>597</v>
      </c>
      <c r="B9" s="362"/>
      <c r="C9" s="653"/>
    </row>
    <row r="10" spans="1:14" ht="14.25" customHeight="1" x14ac:dyDescent="0.25">
      <c r="A10" s="223"/>
      <c r="B10" s="362" t="s">
        <v>967</v>
      </c>
      <c r="C10" s="677">
        <v>1.5</v>
      </c>
      <c r="G10" s="1116"/>
    </row>
    <row r="11" spans="1:14" ht="14.25" customHeight="1" x14ac:dyDescent="0.25">
      <c r="A11" s="223" t="s">
        <v>600</v>
      </c>
      <c r="B11" s="362"/>
      <c r="C11" s="607"/>
    </row>
    <row r="12" spans="1:14" ht="18" customHeight="1" x14ac:dyDescent="0.25">
      <c r="A12" s="217"/>
      <c r="B12" s="362" t="s">
        <v>938</v>
      </c>
      <c r="C12" s="677">
        <v>2.5</v>
      </c>
    </row>
    <row r="13" spans="1:14" ht="15.75" customHeight="1" x14ac:dyDescent="0.25">
      <c r="A13" s="217"/>
      <c r="B13" s="362"/>
      <c r="C13" s="653"/>
    </row>
    <row r="14" spans="1:14" ht="14.25" customHeight="1" x14ac:dyDescent="0.25">
      <c r="A14" s="217"/>
      <c r="B14" s="362" t="s">
        <v>941</v>
      </c>
      <c r="C14" s="652">
        <v>0.16</v>
      </c>
    </row>
    <row r="15" spans="1:14" ht="14.25" customHeight="1" x14ac:dyDescent="0.25">
      <c r="A15" s="217"/>
      <c r="B15" s="362"/>
      <c r="C15" s="653"/>
      <c r="H15">
        <v>10</v>
      </c>
      <c r="I15">
        <v>100</v>
      </c>
      <c r="K15" t="s">
        <v>1081</v>
      </c>
    </row>
    <row r="16" spans="1:14" ht="14.25" customHeight="1" x14ac:dyDescent="0.25">
      <c r="A16" s="217"/>
      <c r="B16" s="362" t="s">
        <v>1080</v>
      </c>
      <c r="C16" s="635">
        <f>N16</f>
        <v>18.3002130443294</v>
      </c>
      <c r="H16">
        <v>17</v>
      </c>
      <c r="I16">
        <v>33</v>
      </c>
      <c r="K16">
        <f>(I16/H16)^(1/(I15-H15))</f>
        <v>1.0073971605660963</v>
      </c>
      <c r="M16">
        <f>H16*(K16^(ProjectData!B16))</f>
        <v>18.3002130443294</v>
      </c>
      <c r="N16">
        <f>IF(ProjectData!B16&lt;'Rates &amp; Misc'!H15,'Rates &amp; Misc'!H16,IF(ProjectData!B16&gt;'Rates &amp; Misc'!I15,'Rates &amp; Misc'!I16,'Rates &amp; Misc'!M16))</f>
        <v>18.3002130443294</v>
      </c>
    </row>
    <row r="17" spans="1:16" x14ac:dyDescent="0.25">
      <c r="A17" s="217"/>
      <c r="B17" s="362"/>
      <c r="C17" s="653"/>
    </row>
    <row r="18" spans="1:16" x14ac:dyDescent="0.25">
      <c r="A18" s="217"/>
      <c r="B18" s="362" t="s">
        <v>1050</v>
      </c>
      <c r="C18" s="653"/>
    </row>
    <row r="19" spans="1:16" ht="15.95" customHeight="1" x14ac:dyDescent="0.25">
      <c r="A19" s="217"/>
      <c r="B19" s="389" t="s">
        <v>125</v>
      </c>
      <c r="C19" s="770" t="s">
        <v>964</v>
      </c>
      <c r="D19" t="s">
        <v>966</v>
      </c>
      <c r="F19" s="390" t="s">
        <v>965</v>
      </c>
      <c r="G19" s="96" t="s">
        <v>1021</v>
      </c>
      <c r="H19" s="96" t="s">
        <v>1138</v>
      </c>
      <c r="I19" s="834" t="s">
        <v>1137</v>
      </c>
    </row>
    <row r="20" spans="1:16" ht="15.95" customHeight="1" x14ac:dyDescent="0.25">
      <c r="A20" s="223" t="s">
        <v>608</v>
      </c>
      <c r="B20" s="99" t="s">
        <v>124</v>
      </c>
      <c r="C20" s="595">
        <v>50</v>
      </c>
      <c r="D20" s="554">
        <f>IF(ProjectData!B$11="Simple",C20*C$10,C20*ProjectData!B$190)</f>
        <v>75</v>
      </c>
      <c r="F20" s="391" t="s">
        <v>119</v>
      </c>
      <c r="G20" s="592">
        <v>700</v>
      </c>
      <c r="H20" s="835">
        <f>G20/I20</f>
        <v>58.333333333333336</v>
      </c>
      <c r="I20" s="590">
        <v>12</v>
      </c>
    </row>
    <row r="21" spans="1:16" ht="15.95" customHeight="1" x14ac:dyDescent="0.25">
      <c r="A21" s="217"/>
      <c r="B21" s="99" t="s">
        <v>123</v>
      </c>
      <c r="C21" s="595">
        <v>50</v>
      </c>
      <c r="D21" s="554">
        <f>IF(ProjectData!B$11="Simple",C21*C$10,C21*ProjectData!B$190)</f>
        <v>75</v>
      </c>
      <c r="F21" s="391" t="s">
        <v>326</v>
      </c>
      <c r="G21" s="592">
        <v>800</v>
      </c>
      <c r="H21" s="835">
        <f>G21/I21</f>
        <v>66.666666666666671</v>
      </c>
      <c r="I21" s="590">
        <v>12</v>
      </c>
      <c r="K21" t="s">
        <v>1091</v>
      </c>
    </row>
    <row r="22" spans="1:16" ht="15.95" customHeight="1" x14ac:dyDescent="0.25">
      <c r="A22" s="217"/>
      <c r="B22" s="99"/>
      <c r="C22" s="782"/>
      <c r="F22" s="99" t="s">
        <v>936</v>
      </c>
      <c r="G22" s="592">
        <v>5950</v>
      </c>
      <c r="J22" t="s">
        <v>1088</v>
      </c>
      <c r="K22" s="628">
        <v>2650</v>
      </c>
      <c r="L22" s="475">
        <f>K22/K$26</f>
        <v>0.25218880852683667</v>
      </c>
      <c r="M22" t="s">
        <v>1082</v>
      </c>
      <c r="P22" t="s">
        <v>1086</v>
      </c>
    </row>
    <row r="23" spans="1:16" ht="15.95" customHeight="1" x14ac:dyDescent="0.25">
      <c r="A23" s="217"/>
      <c r="B23" s="390" t="s">
        <v>120</v>
      </c>
      <c r="C23" s="450"/>
      <c r="F23" s="99" t="s">
        <v>755</v>
      </c>
      <c r="G23" s="355">
        <f>L22*K26</f>
        <v>2649.9999999999995</v>
      </c>
      <c r="H23" s="835">
        <f>G23/I23</f>
        <v>55.208333333333321</v>
      </c>
      <c r="I23" s="590">
        <f>24*2</f>
        <v>48</v>
      </c>
      <c r="J23" t="s">
        <v>1089</v>
      </c>
      <c r="K23" s="628">
        <v>2500</v>
      </c>
      <c r="L23" s="475">
        <f>K23/K$26</f>
        <v>0.2379139703083365</v>
      </c>
      <c r="M23" s="396">
        <f>K26</f>
        <v>10508</v>
      </c>
      <c r="P23" s="584">
        <v>24</v>
      </c>
    </row>
    <row r="24" spans="1:16" ht="15.95" customHeight="1" x14ac:dyDescent="0.25">
      <c r="A24" s="217"/>
      <c r="B24" s="99" t="s">
        <v>119</v>
      </c>
      <c r="C24" s="595">
        <v>39.58</v>
      </c>
      <c r="D24" s="554">
        <f>IF(ProjectData!$B$11="Simple",C24*C$10,C24*ProjectData!$B$190)</f>
        <v>59.37</v>
      </c>
      <c r="E24" s="629"/>
      <c r="F24" s="99" t="s">
        <v>1020</v>
      </c>
      <c r="G24" s="300">
        <f>K26-K22</f>
        <v>7858</v>
      </c>
      <c r="J24" t="s">
        <v>1090</v>
      </c>
      <c r="K24" s="628">
        <f>135*15</f>
        <v>2025</v>
      </c>
      <c r="L24" s="475">
        <f>K24/K$26</f>
        <v>0.19271031594975258</v>
      </c>
      <c r="M24" t="s">
        <v>1083</v>
      </c>
      <c r="P24" t="s">
        <v>1087</v>
      </c>
    </row>
    <row r="25" spans="1:16" ht="15.95" customHeight="1" x14ac:dyDescent="0.25">
      <c r="A25" s="217"/>
      <c r="B25" s="99" t="s">
        <v>118</v>
      </c>
      <c r="C25" s="595">
        <v>39.58</v>
      </c>
      <c r="D25" s="554">
        <f>IF(ProjectData!B$11="Simple",C25*C$10,C25*ProjectData!B$190)</f>
        <v>59.37</v>
      </c>
      <c r="F25" s="99" t="s">
        <v>111</v>
      </c>
      <c r="G25" s="592">
        <v>1400</v>
      </c>
      <c r="H25" s="835">
        <f>G25/I25</f>
        <v>58.333333333333336</v>
      </c>
      <c r="I25" s="590">
        <v>24</v>
      </c>
      <c r="J25" t="s">
        <v>952</v>
      </c>
      <c r="K25" s="628">
        <v>3333</v>
      </c>
      <c r="L25" s="475">
        <f>K25/K$26</f>
        <v>0.31718690521507426</v>
      </c>
      <c r="M25" s="807">
        <v>0.6</v>
      </c>
      <c r="P25" s="584">
        <v>2</v>
      </c>
    </row>
    <row r="26" spans="1:16" ht="15.95" customHeight="1" x14ac:dyDescent="0.25">
      <c r="A26" s="217"/>
      <c r="B26" s="99" t="s">
        <v>117</v>
      </c>
      <c r="C26" s="595">
        <v>39.58</v>
      </c>
      <c r="D26" s="554">
        <f>IF(ProjectData!B$11="Simple",C26*C$10,C26*ProjectData!B$190)</f>
        <v>59.37</v>
      </c>
      <c r="F26" s="99" t="s">
        <v>332</v>
      </c>
      <c r="G26" s="785">
        <v>15000</v>
      </c>
      <c r="J26" t="s">
        <v>624</v>
      </c>
      <c r="K26" s="300">
        <f>SUM(K22:K25)</f>
        <v>10508</v>
      </c>
      <c r="L26" s="475">
        <f>SUM(L22:L25)</f>
        <v>1</v>
      </c>
    </row>
    <row r="27" spans="1:16" ht="15.95" customHeight="1" x14ac:dyDescent="0.25">
      <c r="A27" s="217"/>
      <c r="B27" s="99" t="s">
        <v>116</v>
      </c>
      <c r="C27" s="595">
        <v>39.58</v>
      </c>
      <c r="D27" s="554">
        <f>IF(ProjectData!B$11="Simple",C27*C$10,C27*ProjectData!B$190)</f>
        <v>59.37</v>
      </c>
      <c r="F27" s="390" t="s">
        <v>965</v>
      </c>
      <c r="G27" s="786" t="s">
        <v>964</v>
      </c>
      <c r="H27" s="96" t="s">
        <v>966</v>
      </c>
    </row>
    <row r="28" spans="1:16" ht="15.95" customHeight="1" x14ac:dyDescent="0.25">
      <c r="A28" s="217"/>
      <c r="B28" s="99" t="s">
        <v>115</v>
      </c>
      <c r="C28" s="595">
        <v>20</v>
      </c>
      <c r="D28" s="554">
        <f>IF(ProjectData!B$11="Simple",C28*C$10,C28*ProjectData!B$190)</f>
        <v>30</v>
      </c>
      <c r="F28" s="99" t="s">
        <v>98</v>
      </c>
      <c r="G28" s="680">
        <v>40</v>
      </c>
      <c r="H28" s="1040">
        <f>IF(ProjectData!$B$11="Simple",G28*C$10,ProjectData!B192*ProjectData!$B$190)</f>
        <v>60</v>
      </c>
    </row>
    <row r="29" spans="1:16" ht="15.95" customHeight="1" x14ac:dyDescent="0.25">
      <c r="A29" s="217"/>
      <c r="B29" s="99" t="s">
        <v>98</v>
      </c>
      <c r="C29" s="680">
        <v>40</v>
      </c>
      <c r="D29" s="554">
        <f>IF(ProjectData!B$11="Simple",C29*C$10,C29*ProjectData!B$190)</f>
        <v>60</v>
      </c>
      <c r="F29" s="99" t="s">
        <v>334</v>
      </c>
      <c r="G29" s="680">
        <v>13.7</v>
      </c>
      <c r="H29" s="1040">
        <f>IF(ProjectData!$B$11="Simple",G29*C$10,ProjectData!B193*ProjectData!$B$190)</f>
        <v>20.549999999999997</v>
      </c>
    </row>
    <row r="30" spans="1:16" ht="15.95" customHeight="1" x14ac:dyDescent="0.25">
      <c r="A30" s="217"/>
      <c r="F30" s="99" t="s">
        <v>387</v>
      </c>
      <c r="G30" s="680">
        <v>16.87</v>
      </c>
      <c r="H30" s="1040">
        <f>IF(ProjectData!$B$11="Simple",G30*C$10,ProjectData!B194*ProjectData!$B$190)</f>
        <v>25.305</v>
      </c>
    </row>
    <row r="31" spans="1:16" x14ac:dyDescent="0.25">
      <c r="A31" s="217"/>
      <c r="B31" s="362"/>
      <c r="C31" s="653"/>
      <c r="F31" s="99" t="s">
        <v>1047</v>
      </c>
      <c r="G31" s="680">
        <v>50</v>
      </c>
      <c r="H31" s="1040">
        <f>IF(ProjectData!$B$11="Simple",G31,ProjectData!B195)</f>
        <v>50</v>
      </c>
    </row>
    <row r="32" spans="1:16" x14ac:dyDescent="0.25">
      <c r="A32" s="217"/>
      <c r="B32" s="641"/>
      <c r="F32" s="99" t="s">
        <v>336</v>
      </c>
      <c r="G32" s="680">
        <v>13.7</v>
      </c>
      <c r="H32" s="1040">
        <f>IF(ProjectData!$B$11="Simple",G32*C$10,ProjectData!B196*ProjectData!$B$190)</f>
        <v>20.549999999999997</v>
      </c>
    </row>
    <row r="33" spans="1:9" x14ac:dyDescent="0.25">
      <c r="A33" s="217"/>
      <c r="B33" s="644" t="s">
        <v>932</v>
      </c>
      <c r="C33" s="364" t="s">
        <v>140</v>
      </c>
      <c r="D33" s="364" t="s">
        <v>273</v>
      </c>
      <c r="F33" s="99" t="s">
        <v>339</v>
      </c>
      <c r="G33" s="680">
        <v>13.7</v>
      </c>
      <c r="H33" s="1040">
        <f>IF(ProjectData!$B$11="Simple",G33*C$10,ProjectData!B197*ProjectData!$B$190)</f>
        <v>20.549999999999997</v>
      </c>
    </row>
    <row r="34" spans="1:9" x14ac:dyDescent="0.25">
      <c r="A34" s="217"/>
      <c r="B34" s="644" t="s">
        <v>933</v>
      </c>
      <c r="C34" s="645" t="s">
        <v>880</v>
      </c>
      <c r="D34" s="645" t="s">
        <v>881</v>
      </c>
      <c r="F34" s="99" t="s">
        <v>29</v>
      </c>
      <c r="G34" s="680">
        <v>17.920000000000002</v>
      </c>
      <c r="H34" s="1040">
        <f>IF(ProjectData!$B$11="Simple",G34*C$10,ProjectData!B198*ProjectData!$B$190)</f>
        <v>26.880000000000003</v>
      </c>
    </row>
    <row r="35" spans="1:9" x14ac:dyDescent="0.25">
      <c r="A35" s="217"/>
      <c r="B35" s="96" t="s">
        <v>939</v>
      </c>
      <c r="C35" s="1275">
        <v>2004</v>
      </c>
      <c r="D35" s="1276"/>
      <c r="F35" s="99" t="s">
        <v>340</v>
      </c>
      <c r="G35" s="680">
        <v>13.7</v>
      </c>
      <c r="H35" s="1040">
        <f>IF(ProjectData!$B$11="Simple",G35*C$10,ProjectData!B199*ProjectData!$B$190)</f>
        <v>20.549999999999997</v>
      </c>
    </row>
    <row r="36" spans="1:9" x14ac:dyDescent="0.25">
      <c r="A36" s="217"/>
      <c r="B36" s="362" t="s">
        <v>102</v>
      </c>
      <c r="C36" s="425" t="s">
        <v>368</v>
      </c>
      <c r="D36" s="425" t="s">
        <v>368</v>
      </c>
      <c r="G36" s="681"/>
    </row>
    <row r="37" spans="1:9" x14ac:dyDescent="0.25">
      <c r="A37" s="217"/>
      <c r="B37" s="426" t="s">
        <v>90</v>
      </c>
      <c r="C37" s="646">
        <f>20</f>
        <v>20</v>
      </c>
      <c r="D37" s="646">
        <f>20</f>
        <v>20</v>
      </c>
      <c r="F37" s="362" t="s">
        <v>963</v>
      </c>
      <c r="G37" s="681"/>
      <c r="I37" t="s">
        <v>1085</v>
      </c>
    </row>
    <row r="38" spans="1:9" x14ac:dyDescent="0.25">
      <c r="A38" s="217"/>
      <c r="B38" s="426" t="s">
        <v>105</v>
      </c>
      <c r="C38" s="646">
        <v>24</v>
      </c>
      <c r="D38" s="646">
        <v>24</v>
      </c>
      <c r="F38" s="99" t="s">
        <v>109</v>
      </c>
      <c r="G38" s="682">
        <v>42.5</v>
      </c>
      <c r="H38" s="1040">
        <f>IF(ProjectData!$B$11="Simple",G38*C$10,ProjectData!F192*ProjectData!$B$190)</f>
        <v>63.75</v>
      </c>
      <c r="I38" s="604">
        <v>0.1</v>
      </c>
    </row>
    <row r="39" spans="1:9" x14ac:dyDescent="0.25">
      <c r="A39" s="217"/>
      <c r="B39" s="426" t="s">
        <v>91</v>
      </c>
      <c r="C39" s="646">
        <v>24</v>
      </c>
      <c r="D39" s="646">
        <v>24</v>
      </c>
      <c r="F39" s="99" t="s">
        <v>99</v>
      </c>
      <c r="G39" s="682">
        <v>13.71</v>
      </c>
      <c r="H39" s="1040">
        <f>IF(ProjectData!$B$11="Simple",G39*C$10,ProjectData!F193*ProjectData!$B$190)</f>
        <v>20.565000000000001</v>
      </c>
      <c r="I39" s="604">
        <v>0.2</v>
      </c>
    </row>
    <row r="40" spans="1:9" x14ac:dyDescent="0.25">
      <c r="A40" s="217"/>
      <c r="B40" s="426" t="s">
        <v>104</v>
      </c>
      <c r="C40" s="646">
        <v>17.5</v>
      </c>
      <c r="D40" s="646">
        <v>17.5</v>
      </c>
      <c r="F40" s="99" t="s">
        <v>107</v>
      </c>
      <c r="G40" s="682">
        <v>17.5</v>
      </c>
      <c r="H40" s="1040">
        <f>IF(ProjectData!$B$11="Simple",G40*C$10,ProjectData!F194*ProjectData!$B$190)</f>
        <v>26.25</v>
      </c>
      <c r="I40" s="604">
        <v>0.2</v>
      </c>
    </row>
    <row r="41" spans="1:9" x14ac:dyDescent="0.25">
      <c r="A41" s="217"/>
      <c r="B41" s="426" t="s">
        <v>103</v>
      </c>
      <c r="C41" s="646">
        <v>40</v>
      </c>
      <c r="D41" s="646">
        <v>40</v>
      </c>
      <c r="F41" s="99" t="s">
        <v>83</v>
      </c>
      <c r="G41" s="682">
        <v>22.32</v>
      </c>
      <c r="H41" s="1040">
        <f>IF(ProjectData!$B$11="Simple",G41*C$10,ProjectData!F195*ProjectData!$B$190)</f>
        <v>33.480000000000004</v>
      </c>
      <c r="I41" s="604">
        <v>0.2</v>
      </c>
    </row>
    <row r="42" spans="1:9" x14ac:dyDescent="0.25">
      <c r="A42" s="217"/>
      <c r="B42" s="426" t="s">
        <v>92</v>
      </c>
      <c r="C42" s="646">
        <v>30</v>
      </c>
      <c r="D42" s="646">
        <v>30</v>
      </c>
      <c r="F42" s="99" t="s">
        <v>98</v>
      </c>
      <c r="G42" s="682">
        <v>40</v>
      </c>
      <c r="H42" s="1040">
        <f>IF(ProjectData!$B$11="Simple",G42*C$10,ProjectData!F196*ProjectData!$B$190)</f>
        <v>60</v>
      </c>
      <c r="I42" s="604">
        <v>0.3</v>
      </c>
    </row>
    <row r="43" spans="1:9" x14ac:dyDescent="0.25">
      <c r="A43" s="217"/>
      <c r="B43" s="426" t="s">
        <v>93</v>
      </c>
      <c r="C43" s="646">
        <v>12</v>
      </c>
      <c r="D43" s="646">
        <v>12</v>
      </c>
    </row>
    <row r="44" spans="1:9" x14ac:dyDescent="0.25">
      <c r="A44" s="217"/>
      <c r="B44" s="99"/>
      <c r="C44" s="99"/>
      <c r="D44" s="99"/>
    </row>
    <row r="45" spans="1:9" x14ac:dyDescent="0.25">
      <c r="A45" s="217"/>
      <c r="B45" s="99"/>
      <c r="C45" s="99"/>
      <c r="D45" s="99"/>
    </row>
    <row r="46" spans="1:9" x14ac:dyDescent="0.25">
      <c r="A46" s="217"/>
      <c r="B46" s="470" t="s">
        <v>1044</v>
      </c>
      <c r="C46" s="99"/>
      <c r="D46" s="99"/>
    </row>
    <row r="47" spans="1:9" x14ac:dyDescent="0.25">
      <c r="A47" s="217"/>
      <c r="B47" s="426" t="s">
        <v>905</v>
      </c>
      <c r="C47" s="584">
        <v>2</v>
      </c>
      <c r="D47" s="99"/>
    </row>
    <row r="48" spans="1:9" x14ac:dyDescent="0.25">
      <c r="A48" s="217"/>
      <c r="B48" s="426" t="s">
        <v>906</v>
      </c>
      <c r="C48" s="584">
        <v>6</v>
      </c>
      <c r="D48" s="99"/>
    </row>
    <row r="49" spans="1:6" x14ac:dyDescent="0.25">
      <c r="A49" s="217"/>
      <c r="B49" s="426" t="s">
        <v>904</v>
      </c>
      <c r="C49" s="584">
        <v>12</v>
      </c>
      <c r="D49" s="99"/>
    </row>
    <row r="50" spans="1:6" x14ac:dyDescent="0.25">
      <c r="A50" s="217"/>
      <c r="B50" s="426" t="s">
        <v>902</v>
      </c>
      <c r="C50" s="625">
        <v>16</v>
      </c>
      <c r="D50" s="99"/>
    </row>
    <row r="51" spans="1:6" x14ac:dyDescent="0.25">
      <c r="A51" s="217"/>
      <c r="B51" s="426" t="s">
        <v>903</v>
      </c>
      <c r="C51" s="396">
        <f>(C47*C48*C49)*C50</f>
        <v>2304</v>
      </c>
      <c r="D51" s="99"/>
    </row>
    <row r="52" spans="1:6" x14ac:dyDescent="0.25">
      <c r="A52" s="217"/>
    </row>
    <row r="53" spans="1:6" x14ac:dyDescent="0.25">
      <c r="A53" s="217"/>
      <c r="D53" s="511"/>
      <c r="E53" s="511"/>
      <c r="F53" s="511"/>
    </row>
    <row r="54" spans="1:6" x14ac:dyDescent="0.25">
      <c r="B54" s="364" t="s">
        <v>900</v>
      </c>
      <c r="C54" s="99" t="s">
        <v>920</v>
      </c>
      <c r="D54" s="634">
        <v>400000</v>
      </c>
      <c r="E54" s="634">
        <v>700000</v>
      </c>
      <c r="F54" s="634">
        <v>1000000</v>
      </c>
    </row>
    <row r="55" spans="1:6" x14ac:dyDescent="0.25">
      <c r="B55" s="530">
        <f>D54</f>
        <v>400000</v>
      </c>
      <c r="C55" s="99" t="s">
        <v>955</v>
      </c>
      <c r="D55" s="635">
        <v>3.3700000000630435</v>
      </c>
      <c r="E55" s="635">
        <v>18.369999999948003</v>
      </c>
      <c r="F55" s="635">
        <v>33.369999999995294</v>
      </c>
    </row>
    <row r="56" spans="1:6" x14ac:dyDescent="0.25">
      <c r="B56" s="530">
        <f>E54</f>
        <v>700000</v>
      </c>
      <c r="C56" s="99" t="s">
        <v>924</v>
      </c>
      <c r="D56" s="511">
        <f>HLOOKUP('Default Data'!C24,D54:F55,2)</f>
        <v>18.369999999948003</v>
      </c>
      <c r="E56" s="99"/>
    </row>
    <row r="57" spans="1:6" x14ac:dyDescent="0.25">
      <c r="B57" s="530">
        <f>F54</f>
        <v>1000000</v>
      </c>
      <c r="C57" t="s">
        <v>919</v>
      </c>
      <c r="D57" s="99"/>
      <c r="E57" s="99"/>
      <c r="F57" s="836">
        <v>20000000</v>
      </c>
    </row>
    <row r="58" spans="1:6" x14ac:dyDescent="0.25">
      <c r="B58" s="530"/>
      <c r="D58" s="99"/>
      <c r="E58" s="99"/>
      <c r="F58" s="369"/>
    </row>
    <row r="59" spans="1:6" x14ac:dyDescent="0.25">
      <c r="B59" s="96" t="s">
        <v>1040</v>
      </c>
      <c r="C59" s="770" t="s">
        <v>1041</v>
      </c>
      <c r="D59" s="770" t="s">
        <v>758</v>
      </c>
      <c r="E59" t="s">
        <v>1141</v>
      </c>
    </row>
    <row r="60" spans="1:6" x14ac:dyDescent="0.25">
      <c r="B60" t="s">
        <v>908</v>
      </c>
      <c r="C60" s="628">
        <v>1600</v>
      </c>
      <c r="E60" s="590">
        <v>24</v>
      </c>
    </row>
    <row r="61" spans="1:6" x14ac:dyDescent="0.25">
      <c r="B61" t="s">
        <v>909</v>
      </c>
      <c r="C61" s="592">
        <v>700</v>
      </c>
      <c r="E61" s="423">
        <f>I20</f>
        <v>12</v>
      </c>
    </row>
    <row r="62" spans="1:6" x14ac:dyDescent="0.25">
      <c r="B62" t="s">
        <v>910</v>
      </c>
      <c r="C62" s="628">
        <v>700</v>
      </c>
      <c r="E62" s="590">
        <v>12</v>
      </c>
    </row>
    <row r="63" spans="1:6" x14ac:dyDescent="0.25">
      <c r="B63" s="99" t="s">
        <v>911</v>
      </c>
      <c r="C63" s="628">
        <v>15000</v>
      </c>
    </row>
    <row r="64" spans="1:6" x14ac:dyDescent="0.25">
      <c r="B64" s="99" t="s">
        <v>1042</v>
      </c>
      <c r="C64" s="396">
        <f>C51</f>
        <v>2304</v>
      </c>
    </row>
    <row r="65" spans="2:4" x14ac:dyDescent="0.25">
      <c r="B65" t="s">
        <v>912</v>
      </c>
      <c r="C65" s="628">
        <v>0</v>
      </c>
    </row>
    <row r="66" spans="2:4" x14ac:dyDescent="0.25">
      <c r="B66" t="s">
        <v>29</v>
      </c>
      <c r="C66" s="628">
        <v>2000</v>
      </c>
    </row>
    <row r="67" spans="2:4" x14ac:dyDescent="0.25">
      <c r="B67" t="s">
        <v>914</v>
      </c>
      <c r="D67" s="633">
        <v>25000</v>
      </c>
    </row>
    <row r="68" spans="2:4" x14ac:dyDescent="0.25">
      <c r="B68" t="s">
        <v>915</v>
      </c>
      <c r="D68" s="633">
        <v>250000</v>
      </c>
    </row>
    <row r="69" spans="2:4" x14ac:dyDescent="0.25">
      <c r="B69" t="s">
        <v>1043</v>
      </c>
      <c r="C69" s="625">
        <v>1.38</v>
      </c>
      <c r="D69" s="396">
        <f>C69*(F57/1000)</f>
        <v>27599.999999999996</v>
      </c>
    </row>
    <row r="70" spans="2:4" x14ac:dyDescent="0.25">
      <c r="B70" t="s">
        <v>916</v>
      </c>
      <c r="D70" s="633">
        <v>30000</v>
      </c>
    </row>
    <row r="71" spans="2:4" x14ac:dyDescent="0.25">
      <c r="B71" s="99"/>
      <c r="D71" s="396"/>
    </row>
    <row r="72" spans="2:4" x14ac:dyDescent="0.25">
      <c r="B72" s="362" t="s">
        <v>1008</v>
      </c>
      <c r="D72" s="396"/>
    </row>
    <row r="73" spans="2:4" x14ac:dyDescent="0.25">
      <c r="B73" s="99" t="s">
        <v>1103</v>
      </c>
      <c r="C73" s="618">
        <v>2420</v>
      </c>
      <c r="D73" s="396"/>
    </row>
    <row r="74" spans="2:4" x14ac:dyDescent="0.25">
      <c r="B74" s="502" t="s">
        <v>1127</v>
      </c>
      <c r="C74" s="633">
        <v>319</v>
      </c>
      <c r="D74" s="396"/>
    </row>
    <row r="75" spans="2:4" x14ac:dyDescent="0.25">
      <c r="B75" s="502" t="s">
        <v>1128</v>
      </c>
      <c r="C75" s="818">
        <f>C74*C73</f>
        <v>771980</v>
      </c>
      <c r="D75" s="396"/>
    </row>
    <row r="76" spans="2:4" x14ac:dyDescent="0.25">
      <c r="B76" s="99" t="s">
        <v>1104</v>
      </c>
      <c r="C76" s="628">
        <v>5</v>
      </c>
      <c r="D76" s="396"/>
    </row>
    <row r="77" spans="2:4" x14ac:dyDescent="0.25">
      <c r="B77" s="99" t="s">
        <v>1124</v>
      </c>
      <c r="C77" s="300">
        <f>C73*C76</f>
        <v>12100</v>
      </c>
      <c r="D77" s="396"/>
    </row>
    <row r="78" spans="2:4" x14ac:dyDescent="0.25">
      <c r="B78" s="99" t="s">
        <v>1125</v>
      </c>
      <c r="D78" s="396"/>
    </row>
    <row r="79" spans="2:4" x14ac:dyDescent="0.25">
      <c r="B79" s="99" t="s">
        <v>1126</v>
      </c>
      <c r="D79" s="396"/>
    </row>
    <row r="80" spans="2:4" x14ac:dyDescent="0.25">
      <c r="B80" s="99"/>
      <c r="D80" s="396"/>
    </row>
    <row r="81" spans="2:29" x14ac:dyDescent="0.25">
      <c r="B81" s="99"/>
      <c r="D81" s="396"/>
    </row>
    <row r="82" spans="2:29" x14ac:dyDescent="0.25">
      <c r="B82" s="99"/>
      <c r="D82" s="396"/>
    </row>
    <row r="83" spans="2:29" x14ac:dyDescent="0.25">
      <c r="B83" s="99"/>
      <c r="D83" s="396"/>
    </row>
    <row r="84" spans="2:29" x14ac:dyDescent="0.25">
      <c r="B84" s="99"/>
      <c r="D84" s="396"/>
    </row>
    <row r="86" spans="2:29" x14ac:dyDescent="0.25">
      <c r="B86" s="99" t="s">
        <v>766</v>
      </c>
      <c r="C86" s="277"/>
      <c r="D86" s="277"/>
      <c r="E86" s="277"/>
      <c r="F86" s="277"/>
      <c r="G86" s="277"/>
      <c r="H86" s="277"/>
      <c r="I86" s="277"/>
      <c r="J86" s="277"/>
      <c r="K86" s="277"/>
      <c r="L86" s="277"/>
      <c r="M86" s="277"/>
      <c r="N86" s="277"/>
      <c r="O86" s="277"/>
      <c r="P86" s="277"/>
      <c r="Q86" s="277"/>
      <c r="R86" s="277"/>
      <c r="S86" s="277"/>
      <c r="T86" s="277"/>
      <c r="U86" s="277"/>
      <c r="V86" s="277"/>
      <c r="W86" s="277"/>
      <c r="X86" s="277"/>
      <c r="Y86" s="277"/>
      <c r="Z86" s="277"/>
      <c r="AA86" s="277"/>
      <c r="AB86" s="277"/>
      <c r="AC86" s="277"/>
    </row>
    <row r="87" spans="2:29" x14ac:dyDescent="0.25">
      <c r="B87" s="99"/>
      <c r="C87" s="99">
        <v>2004</v>
      </c>
      <c r="D87" s="99">
        <v>2005</v>
      </c>
      <c r="E87" s="99">
        <v>2006</v>
      </c>
      <c r="F87" s="99">
        <v>2007</v>
      </c>
      <c r="G87" s="99">
        <v>2008</v>
      </c>
      <c r="H87" s="99">
        <v>2009</v>
      </c>
      <c r="I87" s="99">
        <v>2010</v>
      </c>
      <c r="J87" s="99">
        <v>2011</v>
      </c>
      <c r="K87" s="99">
        <v>2012</v>
      </c>
      <c r="L87" s="99">
        <v>2013</v>
      </c>
      <c r="M87" s="99">
        <v>2014</v>
      </c>
      <c r="N87" s="99">
        <v>2015</v>
      </c>
      <c r="O87" s="99">
        <v>2016</v>
      </c>
      <c r="P87" s="99">
        <v>2017</v>
      </c>
      <c r="Q87" s="99">
        <v>2018</v>
      </c>
      <c r="R87" s="99">
        <v>2019</v>
      </c>
      <c r="S87" s="99">
        <v>2020</v>
      </c>
      <c r="T87" s="99">
        <v>2021</v>
      </c>
      <c r="U87" s="99">
        <v>2022</v>
      </c>
      <c r="V87" s="99">
        <v>2023</v>
      </c>
      <c r="W87" s="99">
        <v>2024</v>
      </c>
      <c r="X87" s="99">
        <v>2025</v>
      </c>
      <c r="Y87" s="99">
        <v>2026</v>
      </c>
      <c r="Z87" s="99">
        <v>2027</v>
      </c>
      <c r="AA87" s="99">
        <v>2028</v>
      </c>
      <c r="AB87" s="99">
        <v>2029</v>
      </c>
      <c r="AC87" s="99">
        <v>2030</v>
      </c>
    </row>
    <row r="88" spans="2:29" x14ac:dyDescent="0.25">
      <c r="C88" s="584">
        <v>97.4</v>
      </c>
      <c r="D88" s="584">
        <v>100</v>
      </c>
      <c r="E88" s="584">
        <v>103.7</v>
      </c>
      <c r="F88" s="584">
        <v>107.7</v>
      </c>
      <c r="G88" s="584">
        <v>111.3</v>
      </c>
      <c r="H88" s="584">
        <v>112.7</v>
      </c>
      <c r="I88" s="584">
        <v>113.9</v>
      </c>
      <c r="J88" s="591">
        <f t="shared" ref="J88:AC88" si="0">I88*$C94</f>
        <v>115.22268837144696</v>
      </c>
      <c r="K88" s="591">
        <f t="shared" si="0"/>
        <v>116.56073674752922</v>
      </c>
      <c r="L88" s="591">
        <f t="shared" si="0"/>
        <v>117.91432349962093</v>
      </c>
      <c r="M88" s="591">
        <f t="shared" si="0"/>
        <v>119.28362907047241</v>
      </c>
      <c r="N88" s="591">
        <f t="shared" si="0"/>
        <v>120.66883599826438</v>
      </c>
      <c r="O88" s="591">
        <f t="shared" si="0"/>
        <v>122.07012894094169</v>
      </c>
      <c r="P88" s="591">
        <f t="shared" si="0"/>
        <v>123.48769470082944</v>
      </c>
      <c r="Q88" s="591">
        <f t="shared" si="0"/>
        <v>124.92172224953514</v>
      </c>
      <c r="R88" s="591">
        <f t="shared" si="0"/>
        <v>126.37240275313994</v>
      </c>
      <c r="S88" s="591">
        <f t="shared" si="0"/>
        <v>127.83992959768243</v>
      </c>
      <c r="T88" s="591">
        <f t="shared" si="0"/>
        <v>129.32449841493838</v>
      </c>
      <c r="U88" s="591">
        <f t="shared" si="0"/>
        <v>130.82630710849983</v>
      </c>
      <c r="V88" s="591">
        <f t="shared" si="0"/>
        <v>132.34555588015709</v>
      </c>
      <c r="W88" s="591">
        <f t="shared" si="0"/>
        <v>133.882447256587</v>
      </c>
      <c r="X88" s="591">
        <f t="shared" si="0"/>
        <v>135.43718611635126</v>
      </c>
      <c r="Y88" s="591">
        <f t="shared" si="0"/>
        <v>137.0099797172081</v>
      </c>
      <c r="Z88" s="591">
        <f t="shared" si="0"/>
        <v>138.60103772374131</v>
      </c>
      <c r="AA88" s="591">
        <f t="shared" si="0"/>
        <v>140.21057223531</v>
      </c>
      <c r="AB88" s="591">
        <f t="shared" si="0"/>
        <v>141.83879781432287</v>
      </c>
      <c r="AC88" s="591">
        <f t="shared" si="0"/>
        <v>143.48593151484104</v>
      </c>
    </row>
    <row r="89" spans="2:29" x14ac:dyDescent="0.25">
      <c r="B89" s="99" t="s">
        <v>882</v>
      </c>
      <c r="C89" s="375">
        <f t="shared" ref="C89:AC89" si="1">C88/$C88</f>
        <v>1</v>
      </c>
      <c r="D89" s="375">
        <f t="shared" si="1"/>
        <v>1.0266940451745379</v>
      </c>
      <c r="E89" s="375">
        <f t="shared" si="1"/>
        <v>1.0646817248459959</v>
      </c>
      <c r="F89" s="375">
        <f t="shared" si="1"/>
        <v>1.1057494866529773</v>
      </c>
      <c r="G89" s="375">
        <f t="shared" si="1"/>
        <v>1.1427104722792607</v>
      </c>
      <c r="H89" s="375">
        <f t="shared" si="1"/>
        <v>1.1570841889117043</v>
      </c>
      <c r="I89" s="375">
        <f t="shared" si="1"/>
        <v>1.1694045174537988</v>
      </c>
      <c r="J89" s="375">
        <f t="shared" si="1"/>
        <v>1.1829844801996607</v>
      </c>
      <c r="K89" s="375">
        <f t="shared" si="1"/>
        <v>1.1967221431984518</v>
      </c>
      <c r="L89" s="375">
        <f t="shared" si="1"/>
        <v>1.2106193377784489</v>
      </c>
      <c r="M89" s="375">
        <f t="shared" si="1"/>
        <v>1.2246779165346242</v>
      </c>
      <c r="N89" s="375">
        <f t="shared" si="1"/>
        <v>1.2388997535756097</v>
      </c>
      <c r="O89" s="375">
        <f t="shared" si="1"/>
        <v>1.2532867447735285</v>
      </c>
      <c r="P89" s="375">
        <f t="shared" si="1"/>
        <v>1.2678408080167292</v>
      </c>
      <c r="Q89" s="375">
        <f t="shared" si="1"/>
        <v>1.2825638834654531</v>
      </c>
      <c r="R89" s="375">
        <f t="shared" si="1"/>
        <v>1.2974579338104715</v>
      </c>
      <c r="S89" s="375">
        <f t="shared" si="1"/>
        <v>1.3125249445347271</v>
      </c>
      <c r="T89" s="375">
        <f t="shared" si="1"/>
        <v>1.3277669241780119</v>
      </c>
      <c r="U89" s="375">
        <f t="shared" si="1"/>
        <v>1.343185904604721</v>
      </c>
      <c r="V89" s="375">
        <f t="shared" si="1"/>
        <v>1.3587839412747134</v>
      </c>
      <c r="W89" s="375">
        <f t="shared" si="1"/>
        <v>1.3745631135173202</v>
      </c>
      <c r="X89" s="375">
        <f t="shared" si="1"/>
        <v>1.3905255248085344</v>
      </c>
      <c r="Y89" s="375">
        <f t="shared" si="1"/>
        <v>1.4066733030514178</v>
      </c>
      <c r="Z89" s="375">
        <f t="shared" si="1"/>
        <v>1.4230086008597671</v>
      </c>
      <c r="AA89" s="375">
        <f t="shared" si="1"/>
        <v>1.4395335958450717</v>
      </c>
      <c r="AB89" s="375">
        <f t="shared" si="1"/>
        <v>1.4562504909068057</v>
      </c>
      <c r="AC89" s="375">
        <f t="shared" si="1"/>
        <v>1.4731615145260886</v>
      </c>
    </row>
    <row r="90" spans="2:29" x14ac:dyDescent="0.25">
      <c r="B90" s="99"/>
      <c r="C90" s="375"/>
      <c r="D90" s="375"/>
      <c r="E90" s="375"/>
      <c r="F90" s="375"/>
      <c r="G90" s="375"/>
      <c r="H90" s="375"/>
      <c r="I90" s="375"/>
      <c r="J90" s="375"/>
      <c r="K90" s="375"/>
      <c r="L90" s="375"/>
      <c r="M90" s="375"/>
      <c r="N90" s="375"/>
      <c r="O90" s="375"/>
      <c r="P90" s="375"/>
      <c r="Q90" s="375"/>
      <c r="R90" s="375"/>
      <c r="S90" s="375"/>
      <c r="T90" s="375"/>
      <c r="U90" s="375"/>
      <c r="V90" s="375"/>
      <c r="W90" s="375"/>
      <c r="X90" s="375"/>
      <c r="Y90" s="375"/>
      <c r="Z90" s="375"/>
      <c r="AA90" s="375"/>
      <c r="AB90" s="375"/>
      <c r="AC90" s="375"/>
    </row>
    <row r="91" spans="2:29" x14ac:dyDescent="0.25">
      <c r="B91" s="99" t="s">
        <v>764</v>
      </c>
      <c r="C91" s="375"/>
      <c r="D91" s="375"/>
      <c r="E91" s="375"/>
      <c r="F91" s="375"/>
      <c r="G91" s="375"/>
      <c r="H91" s="375"/>
      <c r="I91" s="375"/>
      <c r="J91" s="375"/>
      <c r="K91" s="375"/>
      <c r="L91" s="375"/>
      <c r="M91" s="375"/>
      <c r="N91" s="375"/>
      <c r="O91" s="375"/>
      <c r="P91" s="375"/>
      <c r="Q91" s="375"/>
      <c r="R91" s="375"/>
      <c r="S91" s="375"/>
      <c r="T91" s="375"/>
      <c r="U91" s="375"/>
      <c r="V91" s="375"/>
      <c r="W91" s="375"/>
      <c r="X91" s="375"/>
      <c r="Y91" s="375"/>
      <c r="Z91" s="375"/>
      <c r="AA91" s="375"/>
      <c r="AB91" s="375"/>
      <c r="AC91" s="375"/>
    </row>
    <row r="92" spans="2:29" x14ac:dyDescent="0.25">
      <c r="B92" s="99" t="s">
        <v>765</v>
      </c>
      <c r="C92" s="375"/>
      <c r="D92" s="375"/>
      <c r="E92" s="375"/>
      <c r="F92" s="375"/>
      <c r="G92" s="375"/>
      <c r="H92" s="375"/>
      <c r="I92" s="375"/>
      <c r="J92" s="375"/>
      <c r="K92" s="375"/>
      <c r="L92" s="375"/>
      <c r="M92" s="375"/>
      <c r="N92" s="375"/>
      <c r="O92" s="375"/>
      <c r="P92" s="375"/>
      <c r="Q92" s="375"/>
      <c r="R92" s="375"/>
      <c r="S92" s="375"/>
      <c r="T92" s="375"/>
      <c r="U92" s="375"/>
      <c r="V92" s="375"/>
      <c r="W92" s="375"/>
      <c r="X92" s="375"/>
      <c r="Y92" s="375"/>
      <c r="Z92" s="375"/>
      <c r="AA92" s="375"/>
      <c r="AB92" s="375"/>
      <c r="AC92" s="375"/>
    </row>
    <row r="93" spans="2:29" x14ac:dyDescent="0.25">
      <c r="B93" s="99"/>
      <c r="C93" s="375"/>
      <c r="D93" s="375"/>
      <c r="E93" s="375"/>
      <c r="F93" s="375"/>
      <c r="G93" s="375"/>
      <c r="H93" s="375"/>
      <c r="I93" s="375"/>
      <c r="J93" s="375"/>
      <c r="K93" s="375"/>
      <c r="L93" s="375"/>
      <c r="M93" s="375"/>
      <c r="N93" s="375"/>
      <c r="O93" s="375"/>
      <c r="P93" s="375"/>
      <c r="Q93" s="375"/>
      <c r="R93" s="375"/>
      <c r="S93" s="375"/>
      <c r="T93" s="375"/>
      <c r="U93" s="375"/>
      <c r="V93" s="375"/>
      <c r="W93" s="375"/>
      <c r="X93" s="375"/>
      <c r="Y93" s="375"/>
      <c r="Z93" s="375"/>
      <c r="AA93" s="375"/>
      <c r="AB93" s="375"/>
      <c r="AC93" s="375"/>
    </row>
    <row r="94" spans="2:29" x14ac:dyDescent="0.25">
      <c r="B94" s="99" t="s">
        <v>802</v>
      </c>
      <c r="C94" s="465">
        <f>(I88/G88)^(1/(I87-G87))</f>
        <v>1.0116127161672253</v>
      </c>
    </row>
    <row r="95" spans="2:29" x14ac:dyDescent="0.25">
      <c r="B95" s="99"/>
      <c r="E95" s="465"/>
    </row>
    <row r="96" spans="2:29" x14ac:dyDescent="0.25">
      <c r="B96" t="s">
        <v>883</v>
      </c>
      <c r="C96">
        <f>'Rates &amp; Misc'!C35</f>
        <v>2004</v>
      </c>
      <c r="E96" s="465"/>
    </row>
    <row r="97" spans="2:3" x14ac:dyDescent="0.25">
      <c r="B97" t="s">
        <v>1150</v>
      </c>
      <c r="C97">
        <f>ProjectData!B14</f>
        <v>2010</v>
      </c>
    </row>
    <row r="98" spans="2:3" x14ac:dyDescent="0.25">
      <c r="B98" t="s">
        <v>801</v>
      </c>
      <c r="C98" s="153">
        <f>HLOOKUP(C97,'Rates &amp; Misc'!C87:AC89,3)</f>
        <v>1.1694045174537988</v>
      </c>
    </row>
    <row r="122" spans="1:1" x14ac:dyDescent="0.25">
      <c r="A122" s="218"/>
    </row>
    <row r="123" spans="1:1" x14ac:dyDescent="0.25">
      <c r="A123" s="218"/>
    </row>
    <row r="124" spans="1:1" x14ac:dyDescent="0.25">
      <c r="A124" s="218"/>
    </row>
    <row r="125" spans="1:1" x14ac:dyDescent="0.25">
      <c r="A125" s="489"/>
    </row>
    <row r="126" spans="1:1" x14ac:dyDescent="0.25">
      <c r="A126" s="489"/>
    </row>
    <row r="127" spans="1:1" x14ac:dyDescent="0.25">
      <c r="A127" s="489"/>
    </row>
    <row r="128" spans="1:1" x14ac:dyDescent="0.25">
      <c r="A128" s="489"/>
    </row>
    <row r="129" spans="1:1" x14ac:dyDescent="0.25">
      <c r="A129" s="489"/>
    </row>
    <row r="130" spans="1:1" x14ac:dyDescent="0.25">
      <c r="A130" s="489"/>
    </row>
    <row r="131" spans="1:1" x14ac:dyDescent="0.25">
      <c r="A131" s="489"/>
    </row>
    <row r="132" spans="1:1" x14ac:dyDescent="0.25">
      <c r="A132" s="489"/>
    </row>
    <row r="133" spans="1:1" x14ac:dyDescent="0.25">
      <c r="A133" s="489"/>
    </row>
    <row r="134" spans="1:1" x14ac:dyDescent="0.25">
      <c r="A134" s="489"/>
    </row>
    <row r="135" spans="1:1" x14ac:dyDescent="0.25">
      <c r="A135" s="489"/>
    </row>
    <row r="136" spans="1:1" x14ac:dyDescent="0.25">
      <c r="A136" s="489"/>
    </row>
    <row r="137" spans="1:1" x14ac:dyDescent="0.25">
      <c r="A137" s="489"/>
    </row>
    <row r="138" spans="1:1" x14ac:dyDescent="0.25">
      <c r="A138" s="489"/>
    </row>
    <row r="139" spans="1:1" x14ac:dyDescent="0.25">
      <c r="A139" s="489"/>
    </row>
    <row r="140" spans="1:1" x14ac:dyDescent="0.25">
      <c r="A140" s="489"/>
    </row>
    <row r="141" spans="1:1" x14ac:dyDescent="0.25">
      <c r="A141" s="489"/>
    </row>
    <row r="142" spans="1:1" x14ac:dyDescent="0.25">
      <c r="A142" s="219"/>
    </row>
    <row r="143" spans="1:1" x14ac:dyDescent="0.25">
      <c r="A143" s="219"/>
    </row>
    <row r="144" spans="1:1" x14ac:dyDescent="0.25">
      <c r="A144" s="219"/>
    </row>
    <row r="145" spans="1:1" x14ac:dyDescent="0.25">
      <c r="A145" s="219"/>
    </row>
    <row r="146" spans="1:1" x14ac:dyDescent="0.25">
      <c r="A146" s="219"/>
    </row>
    <row r="150" spans="1:1" x14ac:dyDescent="0.25">
      <c r="A150" s="219"/>
    </row>
    <row r="151" spans="1:1" x14ac:dyDescent="0.25">
      <c r="A151" s="219"/>
    </row>
    <row r="152" spans="1:1" x14ac:dyDescent="0.25">
      <c r="A152" s="219"/>
    </row>
    <row r="153" spans="1:1" x14ac:dyDescent="0.25">
      <c r="A153" s="219"/>
    </row>
    <row r="154" spans="1:1" x14ac:dyDescent="0.25">
      <c r="A154" s="219"/>
    </row>
    <row r="155" spans="1:1" x14ac:dyDescent="0.25">
      <c r="A155" s="219"/>
    </row>
    <row r="156" spans="1:1" x14ac:dyDescent="0.25">
      <c r="A156" s="219"/>
    </row>
    <row r="157" spans="1:1" x14ac:dyDescent="0.25">
      <c r="A157" s="219"/>
    </row>
    <row r="158" spans="1:1" x14ac:dyDescent="0.25">
      <c r="A158" s="219"/>
    </row>
    <row r="159" spans="1:1" x14ac:dyDescent="0.25">
      <c r="A159" s="219"/>
    </row>
    <row r="160" spans="1:1" x14ac:dyDescent="0.25">
      <c r="A160" s="219"/>
    </row>
    <row r="161" spans="1:1" x14ac:dyDescent="0.25">
      <c r="A161" s="219"/>
    </row>
    <row r="162" spans="1:1" x14ac:dyDescent="0.25">
      <c r="A162" s="219"/>
    </row>
    <row r="163" spans="1:1" x14ac:dyDescent="0.25">
      <c r="A163" s="219"/>
    </row>
    <row r="164" spans="1:1" x14ac:dyDescent="0.25">
      <c r="A164" s="219"/>
    </row>
    <row r="165" spans="1:1" x14ac:dyDescent="0.25">
      <c r="A165" s="219"/>
    </row>
    <row r="166" spans="1:1" x14ac:dyDescent="0.25">
      <c r="A166" s="219"/>
    </row>
    <row r="167" spans="1:1" x14ac:dyDescent="0.25">
      <c r="A167" s="219"/>
    </row>
    <row r="168" spans="1:1" x14ac:dyDescent="0.25">
      <c r="A168" s="219"/>
    </row>
    <row r="169" spans="1:1" x14ac:dyDescent="0.25">
      <c r="A169" s="219"/>
    </row>
    <row r="170" spans="1:1" x14ac:dyDescent="0.25">
      <c r="A170" s="219"/>
    </row>
    <row r="171" spans="1:1" x14ac:dyDescent="0.25">
      <c r="A171" s="219"/>
    </row>
    <row r="172" spans="1:1" x14ac:dyDescent="0.25">
      <c r="A172" s="219"/>
    </row>
    <row r="173" spans="1:1" x14ac:dyDescent="0.25">
      <c r="A173" s="219"/>
    </row>
    <row r="174" spans="1:1" x14ac:dyDescent="0.25">
      <c r="A174" s="219"/>
    </row>
    <row r="175" spans="1:1" x14ac:dyDescent="0.25">
      <c r="A175" s="219"/>
    </row>
    <row r="176" spans="1:1" x14ac:dyDescent="0.25">
      <c r="A176" s="219"/>
    </row>
    <row r="177" spans="1:1" x14ac:dyDescent="0.25">
      <c r="A177" s="219"/>
    </row>
    <row r="178" spans="1:1" x14ac:dyDescent="0.25">
      <c r="A178" s="219"/>
    </row>
    <row r="179" spans="1:1" x14ac:dyDescent="0.25">
      <c r="A179" s="219"/>
    </row>
    <row r="180" spans="1:1" x14ac:dyDescent="0.25">
      <c r="A180" s="219"/>
    </row>
    <row r="181" spans="1:1" x14ac:dyDescent="0.25">
      <c r="A181" s="219"/>
    </row>
    <row r="182" spans="1:1" x14ac:dyDescent="0.25">
      <c r="A182" s="219"/>
    </row>
    <row r="183" spans="1:1" x14ac:dyDescent="0.25">
      <c r="A183" s="219"/>
    </row>
    <row r="184" spans="1:1" x14ac:dyDescent="0.25">
      <c r="A184" s="219"/>
    </row>
    <row r="185" spans="1:1" x14ac:dyDescent="0.25">
      <c r="A185" s="219"/>
    </row>
    <row r="186" spans="1:1" x14ac:dyDescent="0.25">
      <c r="A186" s="219"/>
    </row>
    <row r="187" spans="1:1" x14ac:dyDescent="0.25">
      <c r="A187" s="219"/>
    </row>
    <row r="188" spans="1:1" x14ac:dyDescent="0.25">
      <c r="A188" s="219"/>
    </row>
    <row r="189" spans="1:1" x14ac:dyDescent="0.25">
      <c r="A189" s="219"/>
    </row>
    <row r="190" spans="1:1" x14ac:dyDescent="0.25">
      <c r="A190" s="219"/>
    </row>
    <row r="191" spans="1:1" x14ac:dyDescent="0.25">
      <c r="A191" s="219"/>
    </row>
    <row r="192" spans="1:1" x14ac:dyDescent="0.25">
      <c r="A192" s="219"/>
    </row>
    <row r="193" spans="1:1" x14ac:dyDescent="0.25">
      <c r="A193" s="219"/>
    </row>
    <row r="194" spans="1:1" x14ac:dyDescent="0.25">
      <c r="A194" s="219"/>
    </row>
    <row r="195" spans="1:1" x14ac:dyDescent="0.25">
      <c r="A195" s="219"/>
    </row>
    <row r="196" spans="1:1" x14ac:dyDescent="0.25">
      <c r="A196" s="219"/>
    </row>
    <row r="197" spans="1:1" x14ac:dyDescent="0.25">
      <c r="A197" s="219"/>
    </row>
    <row r="198" spans="1:1" x14ac:dyDescent="0.25">
      <c r="A198" s="219"/>
    </row>
    <row r="199" spans="1:1" x14ac:dyDescent="0.25">
      <c r="A199" s="219"/>
    </row>
    <row r="200" spans="1:1" x14ac:dyDescent="0.25">
      <c r="A200" s="219"/>
    </row>
    <row r="201" spans="1:1" x14ac:dyDescent="0.25">
      <c r="A201" s="219"/>
    </row>
    <row r="202" spans="1:1" x14ac:dyDescent="0.25">
      <c r="A202" s="219"/>
    </row>
    <row r="203" spans="1:1" x14ac:dyDescent="0.25">
      <c r="A203" s="219"/>
    </row>
    <row r="204" spans="1:1" x14ac:dyDescent="0.25">
      <c r="A204" s="219"/>
    </row>
    <row r="205" spans="1:1" x14ac:dyDescent="0.25">
      <c r="A205" s="219"/>
    </row>
    <row r="206" spans="1:1" x14ac:dyDescent="0.25">
      <c r="A206" s="219"/>
    </row>
    <row r="207" spans="1:1" x14ac:dyDescent="0.25">
      <c r="A207" s="219"/>
    </row>
    <row r="208" spans="1:1" x14ac:dyDescent="0.25">
      <c r="A208" s="219"/>
    </row>
    <row r="209" spans="1:1" x14ac:dyDescent="0.25">
      <c r="A209" s="219"/>
    </row>
    <row r="210" spans="1:1" x14ac:dyDescent="0.25">
      <c r="A210" s="219"/>
    </row>
    <row r="211" spans="1:1" x14ac:dyDescent="0.25">
      <c r="A211" s="219"/>
    </row>
    <row r="212" spans="1:1" x14ac:dyDescent="0.25">
      <c r="A212" s="219"/>
    </row>
    <row r="213" spans="1:1" x14ac:dyDescent="0.25">
      <c r="A213" s="219"/>
    </row>
    <row r="214" spans="1:1" x14ac:dyDescent="0.25">
      <c r="A214" s="219"/>
    </row>
    <row r="215" spans="1:1" x14ac:dyDescent="0.25">
      <c r="A215" s="219"/>
    </row>
    <row r="216" spans="1:1" x14ac:dyDescent="0.25">
      <c r="A216" s="219"/>
    </row>
    <row r="217" spans="1:1" x14ac:dyDescent="0.25">
      <c r="A217" s="219"/>
    </row>
    <row r="218" spans="1:1" x14ac:dyDescent="0.25">
      <c r="A218" s="219"/>
    </row>
    <row r="219" spans="1:1" x14ac:dyDescent="0.25">
      <c r="A219" s="219"/>
    </row>
    <row r="220" spans="1:1" x14ac:dyDescent="0.25">
      <c r="A220" s="219"/>
    </row>
    <row r="221" spans="1:1" x14ac:dyDescent="0.25">
      <c r="A221" s="219"/>
    </row>
    <row r="222" spans="1:1" x14ac:dyDescent="0.25">
      <c r="A222" s="219"/>
    </row>
    <row r="223" spans="1:1" x14ac:dyDescent="0.25">
      <c r="A223" s="219"/>
    </row>
    <row r="224" spans="1:1" x14ac:dyDescent="0.25">
      <c r="A224" s="219"/>
    </row>
    <row r="225" spans="1:1" x14ac:dyDescent="0.25">
      <c r="A225" s="219"/>
    </row>
    <row r="226" spans="1:1" x14ac:dyDescent="0.25">
      <c r="A226" s="219"/>
    </row>
    <row r="227" spans="1:1" x14ac:dyDescent="0.25">
      <c r="A227" s="219"/>
    </row>
    <row r="228" spans="1:1" x14ac:dyDescent="0.25">
      <c r="A228" s="219"/>
    </row>
    <row r="229" spans="1:1" x14ac:dyDescent="0.25">
      <c r="A229" s="219"/>
    </row>
    <row r="230" spans="1:1" x14ac:dyDescent="0.25">
      <c r="A230" s="219"/>
    </row>
    <row r="231" spans="1:1" x14ac:dyDescent="0.25">
      <c r="A231" s="219"/>
    </row>
    <row r="232" spans="1:1" x14ac:dyDescent="0.25">
      <c r="A232" s="219"/>
    </row>
    <row r="233" spans="1:1" x14ac:dyDescent="0.25">
      <c r="A233" s="219"/>
    </row>
    <row r="234" spans="1:1" x14ac:dyDescent="0.25">
      <c r="A234" s="219"/>
    </row>
    <row r="235" spans="1:1" x14ac:dyDescent="0.25">
      <c r="A235" s="219"/>
    </row>
    <row r="236" spans="1:1" x14ac:dyDescent="0.25">
      <c r="A236" s="219"/>
    </row>
    <row r="237" spans="1:1" x14ac:dyDescent="0.25">
      <c r="A237" s="219"/>
    </row>
    <row r="238" spans="1:1" x14ac:dyDescent="0.25">
      <c r="A238" s="219"/>
    </row>
    <row r="239" spans="1:1" x14ac:dyDescent="0.25">
      <c r="A239" s="219"/>
    </row>
    <row r="240" spans="1:1" x14ac:dyDescent="0.25">
      <c r="A240" s="219"/>
    </row>
    <row r="241" spans="1:1" x14ac:dyDescent="0.25">
      <c r="A241" s="219"/>
    </row>
    <row r="242" spans="1:1" x14ac:dyDescent="0.25">
      <c r="A242" s="219"/>
    </row>
    <row r="243" spans="1:1" x14ac:dyDescent="0.25">
      <c r="A243" s="219"/>
    </row>
    <row r="244" spans="1:1" x14ac:dyDescent="0.25">
      <c r="A244" s="219"/>
    </row>
    <row r="245" spans="1:1" x14ac:dyDescent="0.25">
      <c r="A245" s="219"/>
    </row>
    <row r="246" spans="1:1" x14ac:dyDescent="0.25">
      <c r="A246" s="219"/>
    </row>
    <row r="247" spans="1:1" x14ac:dyDescent="0.25">
      <c r="A247" s="219"/>
    </row>
    <row r="248" spans="1:1" x14ac:dyDescent="0.25">
      <c r="A248" s="219"/>
    </row>
    <row r="249" spans="1:1" x14ac:dyDescent="0.25">
      <c r="A249" s="219"/>
    </row>
    <row r="250" spans="1:1" x14ac:dyDescent="0.25">
      <c r="A250" s="219"/>
    </row>
    <row r="251" spans="1:1" x14ac:dyDescent="0.25">
      <c r="A251" s="219"/>
    </row>
    <row r="252" spans="1:1" x14ac:dyDescent="0.25">
      <c r="A252" s="219"/>
    </row>
    <row r="253" spans="1:1" x14ac:dyDescent="0.25">
      <c r="A253" s="219"/>
    </row>
    <row r="254" spans="1:1" x14ac:dyDescent="0.25">
      <c r="A254" s="219"/>
    </row>
    <row r="255" spans="1:1" x14ac:dyDescent="0.25">
      <c r="A255" s="219"/>
    </row>
    <row r="256" spans="1:1" x14ac:dyDescent="0.25">
      <c r="A256" s="219"/>
    </row>
    <row r="257" spans="1:1" x14ac:dyDescent="0.25">
      <c r="A257" s="219"/>
    </row>
    <row r="258" spans="1:1" x14ac:dyDescent="0.25">
      <c r="A258" s="219"/>
    </row>
    <row r="259" spans="1:1" x14ac:dyDescent="0.25">
      <c r="A259" s="219"/>
    </row>
    <row r="260" spans="1:1" x14ac:dyDescent="0.25">
      <c r="A260" s="219"/>
    </row>
    <row r="261" spans="1:1" x14ac:dyDescent="0.25">
      <c r="A261" s="219"/>
    </row>
    <row r="262" spans="1:1" x14ac:dyDescent="0.25">
      <c r="A262" s="219"/>
    </row>
    <row r="263" spans="1:1" x14ac:dyDescent="0.25">
      <c r="A263" s="219"/>
    </row>
    <row r="264" spans="1:1" x14ac:dyDescent="0.25">
      <c r="A264" s="219"/>
    </row>
    <row r="265" spans="1:1" x14ac:dyDescent="0.25">
      <c r="A265" s="219"/>
    </row>
    <row r="266" spans="1:1" x14ac:dyDescent="0.25">
      <c r="A266" s="219"/>
    </row>
    <row r="267" spans="1:1" x14ac:dyDescent="0.25">
      <c r="A267" s="219"/>
    </row>
    <row r="268" spans="1:1" x14ac:dyDescent="0.25">
      <c r="A268" s="219"/>
    </row>
    <row r="269" spans="1:1" x14ac:dyDescent="0.25">
      <c r="A269" s="219"/>
    </row>
    <row r="270" spans="1:1" x14ac:dyDescent="0.25">
      <c r="A270" s="219"/>
    </row>
    <row r="271" spans="1:1" x14ac:dyDescent="0.25">
      <c r="A271" s="219"/>
    </row>
    <row r="272" spans="1:1" x14ac:dyDescent="0.25">
      <c r="A272" s="219"/>
    </row>
    <row r="273" spans="1:1" x14ac:dyDescent="0.25">
      <c r="A273" s="219"/>
    </row>
    <row r="274" spans="1:1" x14ac:dyDescent="0.25">
      <c r="A274" s="219"/>
    </row>
    <row r="275" spans="1:1" x14ac:dyDescent="0.25">
      <c r="A275" s="219"/>
    </row>
    <row r="276" spans="1:1" x14ac:dyDescent="0.25">
      <c r="A276" s="219"/>
    </row>
    <row r="277" spans="1:1" x14ac:dyDescent="0.25">
      <c r="A277" s="219"/>
    </row>
    <row r="278" spans="1:1" x14ac:dyDescent="0.25">
      <c r="A278" s="219"/>
    </row>
    <row r="279" spans="1:1" x14ac:dyDescent="0.25">
      <c r="A279" s="219"/>
    </row>
    <row r="280" spans="1:1" x14ac:dyDescent="0.25">
      <c r="A280" s="219"/>
    </row>
    <row r="281" spans="1:1" x14ac:dyDescent="0.25">
      <c r="A281" s="219"/>
    </row>
    <row r="282" spans="1:1" x14ac:dyDescent="0.25">
      <c r="A282" s="219"/>
    </row>
    <row r="283" spans="1:1" x14ac:dyDescent="0.25">
      <c r="A283" s="219"/>
    </row>
    <row r="284" spans="1:1" x14ac:dyDescent="0.25">
      <c r="A284" s="219"/>
    </row>
    <row r="285" spans="1:1" x14ac:dyDescent="0.25">
      <c r="A285" s="219"/>
    </row>
    <row r="286" spans="1:1" x14ac:dyDescent="0.25">
      <c r="A286" s="219"/>
    </row>
    <row r="287" spans="1:1" x14ac:dyDescent="0.25">
      <c r="A287" s="219"/>
    </row>
    <row r="288" spans="1:1" x14ac:dyDescent="0.25">
      <c r="A288" s="219"/>
    </row>
    <row r="289" spans="1:1" x14ac:dyDescent="0.25">
      <c r="A289" s="219"/>
    </row>
    <row r="290" spans="1:1" x14ac:dyDescent="0.25">
      <c r="A290" s="219"/>
    </row>
  </sheetData>
  <sheetProtection password="DFD3" sheet="1" objects="1" scenarios="1"/>
  <mergeCells count="1">
    <mergeCell ref="C35:D35"/>
  </mergeCells>
  <conditionalFormatting sqref="B11 B8:B9 B13:B18 B31">
    <cfRule type="expression" dxfId="5" priority="7">
      <formula>$B$37="Simple"</formula>
    </cfRule>
  </conditionalFormatting>
  <conditionalFormatting sqref="M25 G20:G23 G25:G26 C61">
    <cfRule type="expression" dxfId="4" priority="4">
      <formula>$C$13="Simple"</formula>
    </cfRule>
  </conditionalFormatting>
  <conditionalFormatting sqref="B74:B75">
    <cfRule type="expression" dxfId="3" priority="2">
      <formula>$B$13="Simple"</formula>
    </cfRule>
  </conditionalFormatting>
  <pageMargins left="0.7" right="0.7" top="0.75" bottom="0.75" header="0.3" footer="0.3"/>
  <pageSetup orientation="portrait" horizontalDpi="4294967293" verticalDpi="0"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L303"/>
  <sheetViews>
    <sheetView workbookViewId="0">
      <selection activeCell="C1" sqref="C1"/>
    </sheetView>
  </sheetViews>
  <sheetFormatPr defaultColWidth="12.5703125" defaultRowHeight="12.75" x14ac:dyDescent="0.2"/>
  <cols>
    <col min="1" max="1" width="139.28515625" style="225" customWidth="1"/>
    <col min="2" max="2" width="32.42578125" style="109" customWidth="1"/>
    <col min="3" max="4" width="12.5703125" style="109"/>
    <col min="5" max="5" width="16.85546875" style="109" customWidth="1"/>
    <col min="6" max="8" width="12.5703125" style="109"/>
    <col min="9" max="9" width="13.5703125" style="109" customWidth="1"/>
    <col min="10" max="16384" width="12.5703125" style="109"/>
  </cols>
  <sheetData>
    <row r="1" spans="1:10" x14ac:dyDescent="0.2">
      <c r="A1" s="217"/>
      <c r="B1" s="109" t="s">
        <v>203</v>
      </c>
      <c r="C1" s="109" t="s">
        <v>427</v>
      </c>
      <c r="D1" s="109" t="s">
        <v>202</v>
      </c>
      <c r="E1" s="109" t="s">
        <v>210</v>
      </c>
      <c r="F1" s="109" t="s">
        <v>201</v>
      </c>
    </row>
    <row r="2" spans="1:10" x14ac:dyDescent="0.2">
      <c r="A2" s="217"/>
      <c r="B2" s="139" t="s">
        <v>379</v>
      </c>
      <c r="I2" s="138" t="s">
        <v>380</v>
      </c>
    </row>
    <row r="3" spans="1:10" x14ac:dyDescent="0.2">
      <c r="A3" s="217"/>
      <c r="B3" s="139" t="s">
        <v>488</v>
      </c>
      <c r="I3" s="138"/>
    </row>
    <row r="4" spans="1:10" ht="15" x14ac:dyDescent="0.25">
      <c r="A4" s="217"/>
      <c r="B4" s="193" t="s">
        <v>487</v>
      </c>
      <c r="C4" s="194" t="s">
        <v>427</v>
      </c>
      <c r="D4" s="194" t="s">
        <v>493</v>
      </c>
      <c r="E4" s="194" t="s">
        <v>210</v>
      </c>
      <c r="I4" s="190" t="s">
        <v>1401</v>
      </c>
    </row>
    <row r="5" spans="1:10" ht="23.25" x14ac:dyDescent="0.35">
      <c r="A5" s="221" t="s">
        <v>591</v>
      </c>
      <c r="B5" s="109" t="s">
        <v>167</v>
      </c>
      <c r="C5" s="187">
        <f>E5/2000</f>
        <v>39.58</v>
      </c>
      <c r="E5" s="187">
        <v>79160</v>
      </c>
      <c r="F5" s="112" t="s">
        <v>216</v>
      </c>
      <c r="I5" s="187" t="s">
        <v>1402</v>
      </c>
    </row>
    <row r="6" spans="1:10" ht="15" x14ac:dyDescent="0.25">
      <c r="A6" s="217"/>
      <c r="B6" s="191" t="s">
        <v>200</v>
      </c>
      <c r="C6" s="192">
        <f t="shared" ref="C6:C12" si="0">E6/2000</f>
        <v>28.25</v>
      </c>
      <c r="D6" s="191"/>
      <c r="E6" s="192">
        <v>56500</v>
      </c>
      <c r="I6" s="189" t="s">
        <v>1403</v>
      </c>
    </row>
    <row r="7" spans="1:10" ht="15.75" x14ac:dyDescent="0.25">
      <c r="A7" s="223" t="s">
        <v>594</v>
      </c>
      <c r="B7" s="109" t="s">
        <v>199</v>
      </c>
      <c r="C7" s="187">
        <f t="shared" si="0"/>
        <v>26.954999999999998</v>
      </c>
      <c r="E7" s="187">
        <v>53910</v>
      </c>
      <c r="F7" s="115">
        <v>39569</v>
      </c>
    </row>
    <row r="8" spans="1:10" ht="15.75" x14ac:dyDescent="0.25">
      <c r="A8" s="224"/>
      <c r="B8" s="191" t="s">
        <v>198</v>
      </c>
      <c r="C8" s="192">
        <f t="shared" si="0"/>
        <v>35.725000000000001</v>
      </c>
      <c r="D8" s="191"/>
      <c r="E8" s="192">
        <v>71450</v>
      </c>
      <c r="F8" s="113" t="s">
        <v>211</v>
      </c>
    </row>
    <row r="9" spans="1:10" ht="15.75" x14ac:dyDescent="0.25">
      <c r="A9" s="223" t="s">
        <v>597</v>
      </c>
      <c r="B9" s="109" t="s">
        <v>197</v>
      </c>
      <c r="C9" s="187">
        <f t="shared" si="0"/>
        <v>43.81</v>
      </c>
      <c r="E9" s="187">
        <v>87620</v>
      </c>
      <c r="F9" s="115">
        <v>39934</v>
      </c>
    </row>
    <row r="10" spans="1:10" ht="15.75" x14ac:dyDescent="0.25">
      <c r="A10" s="223"/>
      <c r="B10" s="191" t="s">
        <v>196</v>
      </c>
      <c r="C10" s="192"/>
      <c r="D10" s="191"/>
      <c r="E10" s="192"/>
    </row>
    <row r="11" spans="1:10" ht="15.75" x14ac:dyDescent="0.25">
      <c r="A11" s="223" t="s">
        <v>600</v>
      </c>
      <c r="B11" s="109" t="s">
        <v>195</v>
      </c>
      <c r="C11" s="187">
        <f t="shared" si="0"/>
        <v>58.274999999999999</v>
      </c>
      <c r="E11" s="187">
        <v>116550</v>
      </c>
      <c r="F11" s="109" t="s">
        <v>218</v>
      </c>
      <c r="J11" s="109" t="s">
        <v>212</v>
      </c>
    </row>
    <row r="12" spans="1:10" ht="15" x14ac:dyDescent="0.25">
      <c r="A12" s="217"/>
      <c r="B12" s="191" t="s">
        <v>194</v>
      </c>
      <c r="C12" s="192">
        <f t="shared" si="0"/>
        <v>23.06</v>
      </c>
      <c r="D12" s="191"/>
      <c r="E12" s="192">
        <v>46120</v>
      </c>
      <c r="F12" s="115">
        <v>39569</v>
      </c>
    </row>
    <row r="13" spans="1:10" ht="15" x14ac:dyDescent="0.25">
      <c r="A13" s="217"/>
      <c r="C13" s="187"/>
      <c r="E13" s="187"/>
    </row>
    <row r="14" spans="1:10" ht="15" x14ac:dyDescent="0.25">
      <c r="A14" s="217"/>
      <c r="B14" s="139" t="s">
        <v>489</v>
      </c>
      <c r="C14" s="187"/>
      <c r="E14" s="187"/>
    </row>
    <row r="15" spans="1:10" x14ac:dyDescent="0.2">
      <c r="A15" s="217"/>
      <c r="B15" s="193" t="s">
        <v>487</v>
      </c>
      <c r="C15" s="194" t="s">
        <v>427</v>
      </c>
      <c r="D15" s="194" t="s">
        <v>493</v>
      </c>
      <c r="E15" s="194" t="s">
        <v>210</v>
      </c>
    </row>
    <row r="16" spans="1:10" ht="15" x14ac:dyDescent="0.25">
      <c r="A16" s="217"/>
      <c r="B16" s="109" t="s">
        <v>167</v>
      </c>
      <c r="C16" s="187"/>
      <c r="D16" s="197">
        <v>700</v>
      </c>
      <c r="E16" s="187">
        <v>79160</v>
      </c>
      <c r="F16" s="112" t="s">
        <v>191</v>
      </c>
    </row>
    <row r="17" spans="1:6" ht="15" x14ac:dyDescent="0.25">
      <c r="A17" s="217"/>
      <c r="B17" s="191" t="s">
        <v>193</v>
      </c>
      <c r="C17" s="192">
        <f>79160/2000</f>
        <v>39.58</v>
      </c>
      <c r="D17" s="198"/>
      <c r="E17" s="192">
        <v>79160</v>
      </c>
      <c r="F17" s="112" t="s">
        <v>191</v>
      </c>
    </row>
    <row r="18" spans="1:6" ht="15" x14ac:dyDescent="0.25">
      <c r="A18" s="217"/>
      <c r="B18" s="109" t="s">
        <v>192</v>
      </c>
      <c r="C18" s="187">
        <f>79160/2000</f>
        <v>39.58</v>
      </c>
      <c r="D18" s="197"/>
      <c r="E18" s="187">
        <v>79160</v>
      </c>
      <c r="F18" s="112" t="s">
        <v>191</v>
      </c>
    </row>
    <row r="19" spans="1:6" ht="15" x14ac:dyDescent="0.25">
      <c r="A19" s="217"/>
      <c r="B19" s="191" t="s">
        <v>152</v>
      </c>
      <c r="C19" s="192"/>
      <c r="D19" s="198"/>
      <c r="E19" s="192" t="s">
        <v>499</v>
      </c>
    </row>
    <row r="20" spans="1:6" ht="15.75" x14ac:dyDescent="0.25">
      <c r="A20" s="223" t="s">
        <v>608</v>
      </c>
      <c r="B20" s="109" t="s">
        <v>190</v>
      </c>
      <c r="C20" s="187">
        <v>34.33</v>
      </c>
      <c r="D20" s="197"/>
      <c r="E20" s="187">
        <v>71420</v>
      </c>
    </row>
    <row r="21" spans="1:6" ht="15" x14ac:dyDescent="0.25">
      <c r="A21" s="217"/>
      <c r="B21" s="191" t="s">
        <v>189</v>
      </c>
      <c r="C21" s="192"/>
      <c r="D21" s="198" t="s">
        <v>498</v>
      </c>
      <c r="E21" s="192"/>
      <c r="F21" s="109" t="s">
        <v>204</v>
      </c>
    </row>
    <row r="22" spans="1:6" ht="15" x14ac:dyDescent="0.25">
      <c r="A22" s="217"/>
      <c r="B22" s="109" t="s">
        <v>188</v>
      </c>
      <c r="C22" s="187"/>
      <c r="E22" s="187"/>
    </row>
    <row r="23" spans="1:6" ht="15" x14ac:dyDescent="0.25">
      <c r="A23" s="217"/>
      <c r="B23" s="191" t="s">
        <v>187</v>
      </c>
      <c r="C23" s="192"/>
      <c r="D23" s="191"/>
      <c r="E23" s="192"/>
    </row>
    <row r="24" spans="1:6" ht="15" x14ac:dyDescent="0.25">
      <c r="A24" s="217"/>
      <c r="B24" s="109" t="s">
        <v>186</v>
      </c>
      <c r="C24" s="187"/>
      <c r="D24" s="188"/>
      <c r="E24" s="187"/>
    </row>
    <row r="25" spans="1:6" ht="15" x14ac:dyDescent="0.25">
      <c r="A25" s="217"/>
      <c r="B25" s="191" t="s">
        <v>185</v>
      </c>
      <c r="C25" s="192"/>
      <c r="D25" s="191"/>
      <c r="E25" s="192"/>
    </row>
    <row r="26" spans="1:6" ht="15" x14ac:dyDescent="0.25">
      <c r="A26" s="217"/>
      <c r="C26" s="187"/>
      <c r="D26" s="188"/>
      <c r="E26" s="187"/>
    </row>
    <row r="27" spans="1:6" ht="15" x14ac:dyDescent="0.25">
      <c r="A27" s="217"/>
      <c r="C27" s="187"/>
      <c r="D27" s="188"/>
      <c r="E27" s="187"/>
    </row>
    <row r="28" spans="1:6" ht="15" x14ac:dyDescent="0.25">
      <c r="A28" s="217"/>
      <c r="C28" s="187"/>
      <c r="D28" s="188"/>
      <c r="E28" s="187"/>
    </row>
    <row r="29" spans="1:6" ht="15" x14ac:dyDescent="0.25">
      <c r="A29" s="217"/>
      <c r="B29" s="139" t="s">
        <v>490</v>
      </c>
      <c r="C29" s="187"/>
      <c r="D29" s="188"/>
      <c r="E29" s="187"/>
    </row>
    <row r="30" spans="1:6" x14ac:dyDescent="0.2">
      <c r="A30" s="217"/>
      <c r="B30" s="193" t="s">
        <v>487</v>
      </c>
      <c r="C30" s="194" t="s">
        <v>427</v>
      </c>
      <c r="D30" s="194" t="s">
        <v>493</v>
      </c>
      <c r="E30" s="194" t="s">
        <v>210</v>
      </c>
    </row>
    <row r="31" spans="1:6" ht="15" x14ac:dyDescent="0.25">
      <c r="A31" s="217"/>
      <c r="B31" s="109" t="s">
        <v>184</v>
      </c>
      <c r="C31" s="187"/>
      <c r="D31" s="197">
        <v>1400</v>
      </c>
      <c r="E31" s="187"/>
    </row>
    <row r="32" spans="1:6" ht="15" x14ac:dyDescent="0.25">
      <c r="A32" s="217"/>
      <c r="B32" s="191" t="s">
        <v>183</v>
      </c>
      <c r="C32" s="192">
        <v>20.22</v>
      </c>
      <c r="D32" s="198"/>
      <c r="E32" s="192" t="s">
        <v>213</v>
      </c>
      <c r="F32" s="112" t="s">
        <v>182</v>
      </c>
    </row>
    <row r="33" spans="1:12" ht="15" x14ac:dyDescent="0.25">
      <c r="A33" s="217"/>
      <c r="B33" s="109" t="s">
        <v>181</v>
      </c>
      <c r="C33" s="187"/>
      <c r="D33" s="197"/>
      <c r="E33" s="187"/>
      <c r="F33" s="111" t="s">
        <v>206</v>
      </c>
    </row>
    <row r="34" spans="1:12" ht="15" x14ac:dyDescent="0.25">
      <c r="A34" s="217"/>
      <c r="B34" s="191" t="s">
        <v>180</v>
      </c>
      <c r="C34" s="192"/>
      <c r="D34" s="198" t="s">
        <v>179</v>
      </c>
      <c r="E34" s="192"/>
    </row>
    <row r="35" spans="1:12" ht="15" x14ac:dyDescent="0.25">
      <c r="A35" s="217"/>
      <c r="B35" s="109" t="s">
        <v>178</v>
      </c>
      <c r="C35" s="187">
        <v>20.66</v>
      </c>
      <c r="D35" s="197"/>
      <c r="E35" s="187">
        <v>42970</v>
      </c>
      <c r="F35" s="109" t="s">
        <v>214</v>
      </c>
    </row>
    <row r="36" spans="1:12" ht="15" x14ac:dyDescent="0.25">
      <c r="A36" s="217"/>
      <c r="B36" s="191" t="s">
        <v>177</v>
      </c>
      <c r="C36" s="192">
        <v>16.87</v>
      </c>
      <c r="D36" s="198"/>
      <c r="E36" s="192"/>
      <c r="F36" s="109" t="s">
        <v>215</v>
      </c>
    </row>
    <row r="37" spans="1:12" ht="15" x14ac:dyDescent="0.25">
      <c r="A37" s="217"/>
      <c r="B37" s="109" t="s">
        <v>176</v>
      </c>
      <c r="C37" s="187"/>
      <c r="D37" s="197"/>
      <c r="E37" s="187"/>
      <c r="F37" s="109" t="s">
        <v>205</v>
      </c>
    </row>
    <row r="38" spans="1:12" ht="15" x14ac:dyDescent="0.25">
      <c r="A38" s="217"/>
      <c r="B38" s="191" t="s">
        <v>175</v>
      </c>
      <c r="C38" s="192"/>
      <c r="D38" s="198" t="s">
        <v>174</v>
      </c>
      <c r="E38" s="192"/>
    </row>
    <row r="39" spans="1:12" ht="15" x14ac:dyDescent="0.25">
      <c r="A39" s="217"/>
      <c r="B39" s="109" t="s">
        <v>173</v>
      </c>
      <c r="C39" s="187"/>
      <c r="D39" s="188"/>
      <c r="E39" s="187"/>
      <c r="F39" s="110" t="s">
        <v>172</v>
      </c>
    </row>
    <row r="40" spans="1:12" ht="15" x14ac:dyDescent="0.25">
      <c r="A40" s="217"/>
      <c r="B40" s="191" t="s">
        <v>171</v>
      </c>
      <c r="C40" s="192">
        <v>17.920000000000002</v>
      </c>
      <c r="D40" s="198"/>
      <c r="E40" s="192"/>
      <c r="F40" s="109" t="s">
        <v>219</v>
      </c>
    </row>
    <row r="41" spans="1:12" ht="15" x14ac:dyDescent="0.25">
      <c r="A41" s="217"/>
      <c r="B41" s="109" t="s">
        <v>170</v>
      </c>
      <c r="C41" s="196">
        <v>17.600000000000001</v>
      </c>
      <c r="D41" s="197"/>
      <c r="E41" s="187"/>
      <c r="F41" s="110" t="s">
        <v>169</v>
      </c>
    </row>
    <row r="42" spans="1:12" ht="15" x14ac:dyDescent="0.25">
      <c r="A42" s="217"/>
      <c r="B42" s="191" t="s">
        <v>168</v>
      </c>
      <c r="C42" s="192"/>
      <c r="D42" s="198"/>
      <c r="E42" s="192">
        <v>45360</v>
      </c>
      <c r="F42" s="115">
        <v>39569</v>
      </c>
    </row>
    <row r="43" spans="1:12" ht="15" x14ac:dyDescent="0.25">
      <c r="A43" s="217"/>
      <c r="B43" s="109" t="s">
        <v>167</v>
      </c>
      <c r="C43" s="187"/>
      <c r="D43" s="197">
        <v>700</v>
      </c>
      <c r="E43" s="187"/>
    </row>
    <row r="44" spans="1:12" ht="15" x14ac:dyDescent="0.25">
      <c r="A44" s="217"/>
      <c r="B44" s="191" t="s">
        <v>497</v>
      </c>
      <c r="C44" s="192">
        <v>13.71</v>
      </c>
      <c r="D44" s="191"/>
      <c r="E44" s="192"/>
      <c r="F44" s="109" t="s">
        <v>205</v>
      </c>
      <c r="L44" s="109" t="s">
        <v>212</v>
      </c>
    </row>
    <row r="45" spans="1:12" ht="15" x14ac:dyDescent="0.25">
      <c r="A45" s="217"/>
      <c r="C45" s="187"/>
      <c r="D45" s="188"/>
      <c r="E45" s="187"/>
    </row>
    <row r="46" spans="1:12" ht="15" x14ac:dyDescent="0.25">
      <c r="A46" s="217"/>
      <c r="B46" s="139" t="s">
        <v>491</v>
      </c>
      <c r="C46" s="187"/>
      <c r="D46" s="188"/>
      <c r="E46" s="187"/>
    </row>
    <row r="47" spans="1:12" x14ac:dyDescent="0.2">
      <c r="A47" s="217"/>
      <c r="B47" s="193" t="s">
        <v>487</v>
      </c>
      <c r="C47" s="194" t="s">
        <v>427</v>
      </c>
      <c r="D47" s="194" t="s">
        <v>493</v>
      </c>
      <c r="E47" s="194" t="s">
        <v>210</v>
      </c>
    </row>
    <row r="48" spans="1:12" ht="15" x14ac:dyDescent="0.25">
      <c r="A48" s="217"/>
      <c r="B48" s="109" t="s">
        <v>152</v>
      </c>
      <c r="C48" s="187"/>
      <c r="E48" s="187">
        <v>80560</v>
      </c>
      <c r="F48" s="113" t="s">
        <v>207</v>
      </c>
    </row>
    <row r="49" spans="1:12" ht="15" x14ac:dyDescent="0.25">
      <c r="A49" s="217"/>
      <c r="B49" s="191" t="s">
        <v>166</v>
      </c>
      <c r="C49" s="195">
        <f>75111/2000</f>
        <v>37.555500000000002</v>
      </c>
      <c r="D49" s="191"/>
      <c r="E49" s="192">
        <v>75110</v>
      </c>
      <c r="F49" t="s">
        <v>496</v>
      </c>
      <c r="H49" s="187"/>
      <c r="I49" s="188"/>
      <c r="J49" s="187"/>
    </row>
    <row r="50" spans="1:12" ht="15" x14ac:dyDescent="0.25">
      <c r="A50" s="217"/>
      <c r="B50" s="109" t="s">
        <v>165</v>
      </c>
      <c r="C50" s="187"/>
      <c r="E50" s="187"/>
      <c r="F50" s="14"/>
      <c r="H50" s="187"/>
      <c r="I50" s="188"/>
      <c r="J50" s="187"/>
    </row>
    <row r="51" spans="1:12" ht="15" x14ac:dyDescent="0.25">
      <c r="A51" s="217"/>
      <c r="B51" s="191" t="s">
        <v>164</v>
      </c>
      <c r="C51" s="192"/>
      <c r="D51" s="191"/>
      <c r="E51" s="192">
        <v>87120</v>
      </c>
      <c r="H51" s="187"/>
      <c r="I51" s="188"/>
      <c r="J51" s="187"/>
    </row>
    <row r="52" spans="1:12" ht="15" x14ac:dyDescent="0.25">
      <c r="B52" s="109" t="s">
        <v>163</v>
      </c>
      <c r="C52" s="187"/>
      <c r="E52" s="187"/>
      <c r="H52" s="187"/>
      <c r="I52" s="188"/>
      <c r="J52" s="187"/>
    </row>
    <row r="53" spans="1:12" ht="15" x14ac:dyDescent="0.25">
      <c r="B53" s="191" t="s">
        <v>162</v>
      </c>
      <c r="C53" s="192"/>
      <c r="D53" s="191"/>
      <c r="E53" s="192">
        <v>93290</v>
      </c>
      <c r="H53" s="187"/>
      <c r="I53" s="188"/>
      <c r="J53" s="187"/>
    </row>
    <row r="54" spans="1:12" ht="15" x14ac:dyDescent="0.25">
      <c r="B54" s="109" t="s">
        <v>161</v>
      </c>
      <c r="C54" s="187"/>
      <c r="E54" s="187">
        <v>89000</v>
      </c>
      <c r="H54" s="187"/>
      <c r="I54" s="188"/>
      <c r="J54" s="187"/>
    </row>
    <row r="55" spans="1:12" ht="15" x14ac:dyDescent="0.25">
      <c r="B55" s="191" t="s">
        <v>160</v>
      </c>
      <c r="C55" s="192"/>
      <c r="D55" s="191"/>
      <c r="E55" s="192"/>
      <c r="H55" s="187"/>
      <c r="I55" s="188"/>
      <c r="J55" s="187"/>
    </row>
    <row r="56" spans="1:12" ht="15" x14ac:dyDescent="0.25">
      <c r="B56" s="109" t="s">
        <v>159</v>
      </c>
      <c r="C56" s="187"/>
      <c r="D56" s="188"/>
      <c r="E56" s="187">
        <v>74080</v>
      </c>
      <c r="F56" s="113" t="s">
        <v>208</v>
      </c>
      <c r="H56" s="187"/>
      <c r="I56" s="188"/>
      <c r="J56" s="187"/>
    </row>
    <row r="57" spans="1:12" ht="15" x14ac:dyDescent="0.25">
      <c r="B57" s="191" t="s">
        <v>158</v>
      </c>
      <c r="C57" s="195">
        <v>17.600000000000001</v>
      </c>
      <c r="D57" s="191"/>
      <c r="E57" s="192"/>
      <c r="F57"/>
      <c r="H57" s="187"/>
      <c r="I57" s="188"/>
      <c r="J57" s="187"/>
    </row>
    <row r="58" spans="1:12" ht="15" x14ac:dyDescent="0.25">
      <c r="B58" s="109" t="s">
        <v>157</v>
      </c>
      <c r="C58" s="187"/>
      <c r="E58" s="187"/>
      <c r="F58" s="14"/>
      <c r="H58" s="187"/>
      <c r="I58" s="188"/>
      <c r="J58" s="187"/>
    </row>
    <row r="59" spans="1:12" ht="15" x14ac:dyDescent="0.25">
      <c r="B59" s="191" t="s">
        <v>156</v>
      </c>
      <c r="C59" s="192">
        <v>16.87</v>
      </c>
      <c r="D59" s="191"/>
      <c r="E59" s="192"/>
      <c r="F59" s="115">
        <v>39569</v>
      </c>
      <c r="H59" s="187"/>
      <c r="I59" s="188"/>
      <c r="J59" s="187"/>
    </row>
    <row r="60" spans="1:12" ht="15" x14ac:dyDescent="0.25">
      <c r="B60" s="109" t="s">
        <v>155</v>
      </c>
      <c r="C60" s="187"/>
      <c r="E60" s="187">
        <v>29320</v>
      </c>
      <c r="F60" s="112">
        <v>29320</v>
      </c>
      <c r="H60" s="187"/>
      <c r="I60" s="188"/>
      <c r="J60" s="187"/>
    </row>
    <row r="61" spans="1:12" ht="15" x14ac:dyDescent="0.25">
      <c r="B61" s="191" t="s">
        <v>154</v>
      </c>
      <c r="C61" s="192"/>
      <c r="D61" s="191"/>
      <c r="E61" s="192">
        <v>37500</v>
      </c>
      <c r="F61" s="113" t="s">
        <v>209</v>
      </c>
      <c r="H61" s="187"/>
      <c r="J61" s="187"/>
    </row>
    <row r="62" spans="1:12" ht="15" x14ac:dyDescent="0.25">
      <c r="B62" s="109" t="s">
        <v>495</v>
      </c>
      <c r="C62" s="187">
        <v>13.71</v>
      </c>
      <c r="E62" s="187"/>
      <c r="F62" s="114">
        <v>39569</v>
      </c>
      <c r="H62" s="187"/>
      <c r="J62" s="187"/>
    </row>
    <row r="63" spans="1:12" ht="15" x14ac:dyDescent="0.25">
      <c r="B63" s="191" t="s">
        <v>494</v>
      </c>
      <c r="C63" s="192">
        <v>22.32</v>
      </c>
      <c r="D63" s="191"/>
      <c r="E63" s="192"/>
      <c r="F63" s="14"/>
      <c r="H63" s="187"/>
    </row>
    <row r="64" spans="1:12" ht="15" x14ac:dyDescent="0.25">
      <c r="H64" s="187"/>
      <c r="L64" s="109" t="s">
        <v>212</v>
      </c>
    </row>
    <row r="70" spans="2:6" x14ac:dyDescent="0.2">
      <c r="B70" s="139" t="s">
        <v>492</v>
      </c>
    </row>
    <row r="71" spans="2:6" x14ac:dyDescent="0.2">
      <c r="B71" s="193" t="s">
        <v>487</v>
      </c>
      <c r="C71" s="194" t="s">
        <v>427</v>
      </c>
      <c r="D71" s="109" t="s">
        <v>202</v>
      </c>
      <c r="E71" s="109" t="s">
        <v>210</v>
      </c>
    </row>
    <row r="72" spans="2:6" ht="15" x14ac:dyDescent="0.25">
      <c r="B72" s="191" t="s">
        <v>153</v>
      </c>
      <c r="C72" s="189">
        <v>30</v>
      </c>
      <c r="E72" s="112" t="s">
        <v>217</v>
      </c>
      <c r="F72" s="116">
        <v>2004</v>
      </c>
    </row>
    <row r="73" spans="2:6" ht="15" x14ac:dyDescent="0.25">
      <c r="B73" s="109" t="s">
        <v>152</v>
      </c>
      <c r="C73" s="189">
        <v>40</v>
      </c>
      <c r="F73" s="116">
        <v>2004</v>
      </c>
    </row>
    <row r="74" spans="2:6" ht="15" x14ac:dyDescent="0.25">
      <c r="B74" s="191" t="s">
        <v>151</v>
      </c>
      <c r="C74" s="189">
        <v>24</v>
      </c>
      <c r="F74" s="116">
        <v>2004</v>
      </c>
    </row>
    <row r="75" spans="2:6" ht="15" x14ac:dyDescent="0.25">
      <c r="B75" s="109" t="s">
        <v>150</v>
      </c>
      <c r="C75" s="189">
        <v>20</v>
      </c>
      <c r="F75" s="116">
        <v>2004</v>
      </c>
    </row>
    <row r="76" spans="2:6" ht="15" x14ac:dyDescent="0.25">
      <c r="B76" s="191" t="s">
        <v>149</v>
      </c>
      <c r="C76" s="189">
        <v>17.5</v>
      </c>
      <c r="F76" s="116">
        <v>2004</v>
      </c>
    </row>
    <row r="139" spans="1:1" x14ac:dyDescent="0.2">
      <c r="A139" s="218"/>
    </row>
    <row r="140" spans="1:1" ht="15" x14ac:dyDescent="0.25">
      <c r="A140" s="473"/>
    </row>
    <row r="141" spans="1:1" ht="15" x14ac:dyDescent="0.25">
      <c r="A141" s="473"/>
    </row>
    <row r="142" spans="1:1" ht="15" x14ac:dyDescent="0.25">
      <c r="A142" s="473"/>
    </row>
    <row r="143" spans="1:1" ht="15" x14ac:dyDescent="0.25">
      <c r="A143" s="473"/>
    </row>
    <row r="144" spans="1:1" ht="15" x14ac:dyDescent="0.25">
      <c r="A144" s="473"/>
    </row>
    <row r="145" spans="1:1" ht="15" x14ac:dyDescent="0.25">
      <c r="A145" s="473"/>
    </row>
    <row r="146" spans="1:1" ht="15" x14ac:dyDescent="0.25">
      <c r="A146" s="473"/>
    </row>
    <row r="147" spans="1:1" ht="15" x14ac:dyDescent="0.25">
      <c r="A147" s="473"/>
    </row>
    <row r="148" spans="1:1" ht="15" x14ac:dyDescent="0.25">
      <c r="A148" s="473"/>
    </row>
    <row r="149" spans="1:1" ht="15" x14ac:dyDescent="0.25">
      <c r="A149" s="473"/>
    </row>
    <row r="150" spans="1:1" ht="15" x14ac:dyDescent="0.25">
      <c r="A150" s="473"/>
    </row>
    <row r="151" spans="1:1" ht="15" x14ac:dyDescent="0.25">
      <c r="A151" s="473"/>
    </row>
    <row r="152" spans="1:1" ht="15" x14ac:dyDescent="0.25">
      <c r="A152" s="473"/>
    </row>
    <row r="153" spans="1:1" ht="15" x14ac:dyDescent="0.25">
      <c r="A153" s="473"/>
    </row>
    <row r="154" spans="1:1" ht="15" x14ac:dyDescent="0.25">
      <c r="A154" s="473"/>
    </row>
    <row r="155" spans="1:1" ht="15" x14ac:dyDescent="0.25">
      <c r="A155" s="473"/>
    </row>
    <row r="156" spans="1:1" ht="15" x14ac:dyDescent="0.25">
      <c r="A156" s="473"/>
    </row>
    <row r="157" spans="1:1" ht="15" x14ac:dyDescent="0.25">
      <c r="A157" s="219"/>
    </row>
    <row r="158" spans="1:1" ht="15" x14ac:dyDescent="0.25">
      <c r="A158" s="219"/>
    </row>
    <row r="159" spans="1:1" ht="15" x14ac:dyDescent="0.25">
      <c r="A159" s="219"/>
    </row>
    <row r="160" spans="1:1" ht="15" x14ac:dyDescent="0.25">
      <c r="A160" s="219"/>
    </row>
    <row r="161" spans="1:1" ht="15" x14ac:dyDescent="0.25">
      <c r="A161" s="219"/>
    </row>
    <row r="165" spans="1:1" ht="15" x14ac:dyDescent="0.25">
      <c r="A165" s="219"/>
    </row>
    <row r="166" spans="1:1" ht="15" x14ac:dyDescent="0.25">
      <c r="A166" s="219"/>
    </row>
    <row r="167" spans="1:1" ht="15" x14ac:dyDescent="0.25">
      <c r="A167" s="219"/>
    </row>
    <row r="168" spans="1:1" ht="15" x14ac:dyDescent="0.25">
      <c r="A168" s="219"/>
    </row>
    <row r="169" spans="1:1" ht="15" x14ac:dyDescent="0.25">
      <c r="A169" s="219"/>
    </row>
    <row r="170" spans="1:1" ht="15" x14ac:dyDescent="0.25">
      <c r="A170" s="219"/>
    </row>
    <row r="171" spans="1:1" ht="15" x14ac:dyDescent="0.25">
      <c r="A171" s="219"/>
    </row>
    <row r="172" spans="1:1" ht="15" x14ac:dyDescent="0.25">
      <c r="A172" s="219"/>
    </row>
    <row r="173" spans="1:1" ht="15" x14ac:dyDescent="0.25">
      <c r="A173" s="219"/>
    </row>
    <row r="174" spans="1:1" ht="15" x14ac:dyDescent="0.25">
      <c r="A174" s="219"/>
    </row>
    <row r="175" spans="1:1" ht="15" x14ac:dyDescent="0.25">
      <c r="A175" s="219"/>
    </row>
    <row r="176" spans="1:1" ht="15" x14ac:dyDescent="0.25">
      <c r="A176" s="219"/>
    </row>
    <row r="177" spans="1:1" ht="15" x14ac:dyDescent="0.25">
      <c r="A177" s="219"/>
    </row>
    <row r="178" spans="1:1" ht="15" x14ac:dyDescent="0.25">
      <c r="A178" s="219"/>
    </row>
    <row r="179" spans="1:1" ht="15" x14ac:dyDescent="0.25">
      <c r="A179" s="219"/>
    </row>
    <row r="180" spans="1:1" ht="15" x14ac:dyDescent="0.25">
      <c r="A180" s="219"/>
    </row>
    <row r="181" spans="1:1" ht="15" x14ac:dyDescent="0.25">
      <c r="A181" s="219"/>
    </row>
    <row r="182" spans="1:1" ht="15" x14ac:dyDescent="0.25">
      <c r="A182" s="219"/>
    </row>
    <row r="183" spans="1:1" ht="15" x14ac:dyDescent="0.25">
      <c r="A183" s="219"/>
    </row>
    <row r="184" spans="1:1" ht="15" x14ac:dyDescent="0.25">
      <c r="A184" s="219"/>
    </row>
    <row r="185" spans="1:1" ht="15" x14ac:dyDescent="0.25">
      <c r="A185" s="219"/>
    </row>
    <row r="186" spans="1:1" ht="15" x14ac:dyDescent="0.25">
      <c r="A186" s="219"/>
    </row>
    <row r="187" spans="1:1" ht="15" x14ac:dyDescent="0.25">
      <c r="A187" s="219"/>
    </row>
    <row r="188" spans="1:1" ht="15" x14ac:dyDescent="0.25">
      <c r="A188" s="219"/>
    </row>
    <row r="189" spans="1:1" ht="15" x14ac:dyDescent="0.25">
      <c r="A189" s="219"/>
    </row>
    <row r="190" spans="1:1" ht="15" x14ac:dyDescent="0.25">
      <c r="A190" s="219"/>
    </row>
    <row r="191" spans="1:1" ht="15" x14ac:dyDescent="0.25">
      <c r="A191" s="219"/>
    </row>
    <row r="192" spans="1:1" ht="15" x14ac:dyDescent="0.25">
      <c r="A192" s="219"/>
    </row>
    <row r="193" spans="1:1" ht="15" x14ac:dyDescent="0.25">
      <c r="A193" s="219"/>
    </row>
    <row r="194" spans="1:1" ht="15" x14ac:dyDescent="0.25">
      <c r="A194" s="219"/>
    </row>
    <row r="195" spans="1:1" ht="15" x14ac:dyDescent="0.25">
      <c r="A195" s="219"/>
    </row>
    <row r="196" spans="1:1" ht="15" x14ac:dyDescent="0.25">
      <c r="A196" s="219"/>
    </row>
    <row r="197" spans="1:1" ht="15" x14ac:dyDescent="0.25">
      <c r="A197" s="219"/>
    </row>
    <row r="198" spans="1:1" ht="15" x14ac:dyDescent="0.25">
      <c r="A198" s="219"/>
    </row>
    <row r="199" spans="1:1" ht="15" x14ac:dyDescent="0.25">
      <c r="A199" s="219"/>
    </row>
    <row r="200" spans="1:1" ht="15" x14ac:dyDescent="0.25">
      <c r="A200" s="219"/>
    </row>
    <row r="201" spans="1:1" ht="15" x14ac:dyDescent="0.25">
      <c r="A201" s="219"/>
    </row>
    <row r="202" spans="1:1" ht="15" x14ac:dyDescent="0.25">
      <c r="A202" s="219"/>
    </row>
    <row r="203" spans="1:1" ht="15" x14ac:dyDescent="0.25">
      <c r="A203" s="219"/>
    </row>
    <row r="204" spans="1:1" ht="15" x14ac:dyDescent="0.25">
      <c r="A204" s="219"/>
    </row>
    <row r="205" spans="1:1" ht="15" x14ac:dyDescent="0.25">
      <c r="A205" s="219"/>
    </row>
    <row r="206" spans="1:1" ht="15" x14ac:dyDescent="0.25">
      <c r="A206" s="219"/>
    </row>
    <row r="207" spans="1:1" ht="15" x14ac:dyDescent="0.25">
      <c r="A207" s="219"/>
    </row>
    <row r="208" spans="1:1" ht="15" x14ac:dyDescent="0.25">
      <c r="A208" s="219"/>
    </row>
    <row r="209" spans="1:1" ht="15" x14ac:dyDescent="0.25">
      <c r="A209" s="219"/>
    </row>
    <row r="210" spans="1:1" ht="15" x14ac:dyDescent="0.25">
      <c r="A210" s="219"/>
    </row>
    <row r="211" spans="1:1" ht="15" x14ac:dyDescent="0.25">
      <c r="A211" s="219"/>
    </row>
    <row r="212" spans="1:1" ht="15" x14ac:dyDescent="0.25">
      <c r="A212" s="219"/>
    </row>
    <row r="213" spans="1:1" ht="15" x14ac:dyDescent="0.25">
      <c r="A213" s="219"/>
    </row>
    <row r="214" spans="1:1" ht="15" x14ac:dyDescent="0.25">
      <c r="A214" s="219"/>
    </row>
    <row r="215" spans="1:1" ht="15" x14ac:dyDescent="0.25">
      <c r="A215" s="219"/>
    </row>
    <row r="216" spans="1:1" ht="15" x14ac:dyDescent="0.25">
      <c r="A216" s="219"/>
    </row>
    <row r="217" spans="1:1" ht="15" x14ac:dyDescent="0.25">
      <c r="A217" s="219"/>
    </row>
    <row r="218" spans="1:1" ht="15" x14ac:dyDescent="0.25">
      <c r="A218" s="219"/>
    </row>
    <row r="219" spans="1:1" ht="15" x14ac:dyDescent="0.25">
      <c r="A219" s="219"/>
    </row>
    <row r="220" spans="1:1" ht="15" x14ac:dyDescent="0.25">
      <c r="A220" s="219"/>
    </row>
    <row r="221" spans="1:1" ht="15" x14ac:dyDescent="0.25">
      <c r="A221" s="219"/>
    </row>
    <row r="222" spans="1:1" ht="15" x14ac:dyDescent="0.25">
      <c r="A222" s="219"/>
    </row>
    <row r="223" spans="1:1" ht="15" x14ac:dyDescent="0.25">
      <c r="A223" s="219"/>
    </row>
    <row r="224" spans="1:1" ht="15" x14ac:dyDescent="0.25">
      <c r="A224" s="219"/>
    </row>
    <row r="225" spans="1:1" ht="15" x14ac:dyDescent="0.25">
      <c r="A225" s="219"/>
    </row>
    <row r="226" spans="1:1" ht="15" x14ac:dyDescent="0.25">
      <c r="A226" s="219"/>
    </row>
    <row r="227" spans="1:1" ht="15" x14ac:dyDescent="0.25">
      <c r="A227" s="219"/>
    </row>
    <row r="228" spans="1:1" ht="15" x14ac:dyDescent="0.25">
      <c r="A228" s="219"/>
    </row>
    <row r="229" spans="1:1" ht="15" x14ac:dyDescent="0.25">
      <c r="A229" s="219"/>
    </row>
    <row r="230" spans="1:1" ht="15" x14ac:dyDescent="0.25">
      <c r="A230" s="219"/>
    </row>
    <row r="231" spans="1:1" ht="15" x14ac:dyDescent="0.25">
      <c r="A231" s="219"/>
    </row>
    <row r="232" spans="1:1" ht="15" x14ac:dyDescent="0.25">
      <c r="A232" s="219"/>
    </row>
    <row r="233" spans="1:1" ht="15" x14ac:dyDescent="0.25">
      <c r="A233" s="219"/>
    </row>
    <row r="234" spans="1:1" ht="15" x14ac:dyDescent="0.25">
      <c r="A234" s="219"/>
    </row>
    <row r="235" spans="1:1" ht="15" x14ac:dyDescent="0.25">
      <c r="A235" s="219"/>
    </row>
    <row r="236" spans="1:1" ht="15" x14ac:dyDescent="0.25">
      <c r="A236" s="219"/>
    </row>
    <row r="237" spans="1:1" ht="15" x14ac:dyDescent="0.25">
      <c r="A237" s="219"/>
    </row>
    <row r="238" spans="1:1" ht="15" x14ac:dyDescent="0.25">
      <c r="A238" s="219"/>
    </row>
    <row r="239" spans="1:1" ht="15" x14ac:dyDescent="0.25">
      <c r="A239" s="219"/>
    </row>
    <row r="240" spans="1:1" ht="15" x14ac:dyDescent="0.25">
      <c r="A240" s="219"/>
    </row>
    <row r="241" spans="1:1" ht="15" x14ac:dyDescent="0.25">
      <c r="A241" s="219"/>
    </row>
    <row r="242" spans="1:1" ht="15" x14ac:dyDescent="0.25">
      <c r="A242" s="219"/>
    </row>
    <row r="243" spans="1:1" ht="15" x14ac:dyDescent="0.25">
      <c r="A243" s="219"/>
    </row>
    <row r="244" spans="1:1" ht="15" x14ac:dyDescent="0.25">
      <c r="A244" s="219"/>
    </row>
    <row r="245" spans="1:1" ht="15" x14ac:dyDescent="0.25">
      <c r="A245" s="219"/>
    </row>
    <row r="246" spans="1:1" ht="15" x14ac:dyDescent="0.25">
      <c r="A246" s="219"/>
    </row>
    <row r="247" spans="1:1" ht="15" x14ac:dyDescent="0.25">
      <c r="A247" s="219"/>
    </row>
    <row r="248" spans="1:1" ht="15" x14ac:dyDescent="0.25">
      <c r="A248" s="219"/>
    </row>
    <row r="249" spans="1:1" ht="15" x14ac:dyDescent="0.25">
      <c r="A249" s="219"/>
    </row>
    <row r="250" spans="1:1" ht="15" x14ac:dyDescent="0.25">
      <c r="A250" s="219"/>
    </row>
    <row r="251" spans="1:1" ht="15" x14ac:dyDescent="0.25">
      <c r="A251" s="219"/>
    </row>
    <row r="252" spans="1:1" ht="15" x14ac:dyDescent="0.25">
      <c r="A252" s="219"/>
    </row>
    <row r="253" spans="1:1" ht="15" x14ac:dyDescent="0.25">
      <c r="A253" s="219"/>
    </row>
    <row r="254" spans="1:1" ht="15" x14ac:dyDescent="0.25">
      <c r="A254" s="219"/>
    </row>
    <row r="255" spans="1:1" ht="15" x14ac:dyDescent="0.25">
      <c r="A255" s="219"/>
    </row>
    <row r="256" spans="1:1" ht="15" x14ac:dyDescent="0.25">
      <c r="A256" s="219"/>
    </row>
    <row r="257" spans="1:1" ht="15" x14ac:dyDescent="0.25">
      <c r="A257" s="219"/>
    </row>
    <row r="258" spans="1:1" ht="15" x14ac:dyDescent="0.25">
      <c r="A258" s="219"/>
    </row>
    <row r="259" spans="1:1" ht="15" x14ac:dyDescent="0.25">
      <c r="A259" s="219"/>
    </row>
    <row r="260" spans="1:1" ht="15" x14ac:dyDescent="0.25">
      <c r="A260" s="219"/>
    </row>
    <row r="261" spans="1:1" ht="15" x14ac:dyDescent="0.25">
      <c r="A261" s="219"/>
    </row>
    <row r="262" spans="1:1" ht="15" x14ac:dyDescent="0.25">
      <c r="A262" s="219"/>
    </row>
    <row r="263" spans="1:1" ht="15" x14ac:dyDescent="0.25">
      <c r="A263" s="219"/>
    </row>
    <row r="264" spans="1:1" ht="15" x14ac:dyDescent="0.25">
      <c r="A264" s="219"/>
    </row>
    <row r="265" spans="1:1" ht="15" x14ac:dyDescent="0.25">
      <c r="A265" s="219"/>
    </row>
    <row r="266" spans="1:1" ht="15" x14ac:dyDescent="0.25">
      <c r="A266" s="219"/>
    </row>
    <row r="267" spans="1:1" ht="15" x14ac:dyDescent="0.25">
      <c r="A267" s="219"/>
    </row>
    <row r="268" spans="1:1" ht="15" x14ac:dyDescent="0.25">
      <c r="A268" s="219"/>
    </row>
    <row r="269" spans="1:1" ht="15" x14ac:dyDescent="0.25">
      <c r="A269" s="219"/>
    </row>
    <row r="270" spans="1:1" ht="15" x14ac:dyDescent="0.25">
      <c r="A270" s="219"/>
    </row>
    <row r="271" spans="1:1" ht="15" x14ac:dyDescent="0.25">
      <c r="A271" s="219"/>
    </row>
    <row r="272" spans="1:1" ht="15" x14ac:dyDescent="0.25">
      <c r="A272" s="219"/>
    </row>
    <row r="273" spans="1:1" ht="15" x14ac:dyDescent="0.25">
      <c r="A273" s="219"/>
    </row>
    <row r="274" spans="1:1" ht="15" x14ac:dyDescent="0.25">
      <c r="A274" s="219"/>
    </row>
    <row r="275" spans="1:1" ht="15" x14ac:dyDescent="0.25">
      <c r="A275" s="219"/>
    </row>
    <row r="276" spans="1:1" ht="15" x14ac:dyDescent="0.25">
      <c r="A276" s="219"/>
    </row>
    <row r="277" spans="1:1" ht="15" x14ac:dyDescent="0.25">
      <c r="A277" s="219"/>
    </row>
    <row r="278" spans="1:1" ht="15" x14ac:dyDescent="0.25">
      <c r="A278" s="219"/>
    </row>
    <row r="279" spans="1:1" ht="15" x14ac:dyDescent="0.25">
      <c r="A279" s="219"/>
    </row>
    <row r="280" spans="1:1" ht="15" x14ac:dyDescent="0.25">
      <c r="A280" s="219"/>
    </row>
    <row r="281" spans="1:1" ht="15" x14ac:dyDescent="0.25">
      <c r="A281" s="219"/>
    </row>
    <row r="282" spans="1:1" ht="15" x14ac:dyDescent="0.25">
      <c r="A282" s="219"/>
    </row>
    <row r="283" spans="1:1" ht="15" x14ac:dyDescent="0.25">
      <c r="A283" s="219"/>
    </row>
    <row r="284" spans="1:1" ht="15" x14ac:dyDescent="0.25">
      <c r="A284" s="219"/>
    </row>
    <row r="285" spans="1:1" ht="15" x14ac:dyDescent="0.25">
      <c r="A285" s="219"/>
    </row>
    <row r="286" spans="1:1" ht="15" x14ac:dyDescent="0.25">
      <c r="A286" s="219"/>
    </row>
    <row r="287" spans="1:1" ht="15" x14ac:dyDescent="0.25">
      <c r="A287" s="219"/>
    </row>
    <row r="288" spans="1:1" ht="15" x14ac:dyDescent="0.25">
      <c r="A288" s="219"/>
    </row>
    <row r="289" spans="1:1" ht="15" x14ac:dyDescent="0.25">
      <c r="A289" s="219"/>
    </row>
    <row r="290" spans="1:1" ht="15" x14ac:dyDescent="0.25">
      <c r="A290" s="219"/>
    </row>
    <row r="291" spans="1:1" ht="15" x14ac:dyDescent="0.25">
      <c r="A291" s="219"/>
    </row>
    <row r="292" spans="1:1" ht="15" x14ac:dyDescent="0.25">
      <c r="A292" s="219"/>
    </row>
    <row r="293" spans="1:1" ht="15" x14ac:dyDescent="0.25">
      <c r="A293" s="219"/>
    </row>
    <row r="294" spans="1:1" ht="15" x14ac:dyDescent="0.25">
      <c r="A294" s="219"/>
    </row>
    <row r="295" spans="1:1" ht="15" x14ac:dyDescent="0.25">
      <c r="A295" s="219"/>
    </row>
    <row r="296" spans="1:1" ht="15" x14ac:dyDescent="0.25">
      <c r="A296" s="219"/>
    </row>
    <row r="297" spans="1:1" ht="15" x14ac:dyDescent="0.25">
      <c r="A297" s="219"/>
    </row>
    <row r="298" spans="1:1" ht="15" x14ac:dyDescent="0.25">
      <c r="A298" s="219"/>
    </row>
    <row r="299" spans="1:1" ht="15" x14ac:dyDescent="0.25">
      <c r="A299" s="219"/>
    </row>
    <row r="300" spans="1:1" ht="15" x14ac:dyDescent="0.25">
      <c r="A300" s="219"/>
    </row>
    <row r="301" spans="1:1" ht="15" x14ac:dyDescent="0.25">
      <c r="A301" s="219"/>
    </row>
    <row r="302" spans="1:1" ht="15" x14ac:dyDescent="0.25">
      <c r="A302" s="219"/>
    </row>
    <row r="303" spans="1:1" ht="15" x14ac:dyDescent="0.25">
      <c r="A303" s="219"/>
    </row>
  </sheetData>
  <sheetProtection password="DFD3" sheet="1" objects="1" scenarios="1"/>
  <pageMargins left="0.75" right="0.75" top="1" bottom="1" header="0.5" footer="0.5"/>
  <pageSetup scale="29" orientation="portrait" horizontalDpi="4294967292" verticalDpi="4294967292"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303"/>
  <sheetViews>
    <sheetView workbookViewId="0">
      <selection activeCell="F1" sqref="F1"/>
    </sheetView>
  </sheetViews>
  <sheetFormatPr defaultRowHeight="15" x14ac:dyDescent="0.25"/>
  <cols>
    <col min="1" max="1" width="139.28515625" style="225" customWidth="1"/>
    <col min="4" max="4" width="30.140625" customWidth="1"/>
    <col min="5" max="5" width="13.140625" customWidth="1"/>
  </cols>
  <sheetData>
    <row r="1" spans="1:12" x14ac:dyDescent="0.25">
      <c r="A1" s="217"/>
      <c r="B1" t="s">
        <v>465</v>
      </c>
    </row>
    <row r="2" spans="1:12" x14ac:dyDescent="0.25">
      <c r="A2" s="217"/>
    </row>
    <row r="3" spans="1:12" x14ac:dyDescent="0.25">
      <c r="A3" s="217"/>
    </row>
    <row r="4" spans="1:12" x14ac:dyDescent="0.25">
      <c r="A4" s="217"/>
    </row>
    <row r="5" spans="1:12" ht="23.25" x14ac:dyDescent="0.35">
      <c r="A5" s="221" t="s">
        <v>591</v>
      </c>
      <c r="C5" t="s">
        <v>452</v>
      </c>
    </row>
    <row r="6" spans="1:12" x14ac:dyDescent="0.25">
      <c r="A6" s="217"/>
      <c r="D6" t="s">
        <v>453</v>
      </c>
    </row>
    <row r="7" spans="1:12" ht="15.75" x14ac:dyDescent="0.25">
      <c r="A7" s="223" t="s">
        <v>594</v>
      </c>
    </row>
    <row r="8" spans="1:12" ht="15.75" x14ac:dyDescent="0.25">
      <c r="A8" s="224"/>
      <c r="D8" s="174" t="s">
        <v>454</v>
      </c>
      <c r="E8" s="175"/>
      <c r="F8" s="175"/>
      <c r="G8" s="175"/>
      <c r="H8" s="175"/>
      <c r="I8" s="175"/>
      <c r="J8" s="175"/>
      <c r="K8" s="175"/>
      <c r="L8" s="176"/>
    </row>
    <row r="9" spans="1:12" ht="15.75" x14ac:dyDescent="0.25">
      <c r="A9" s="223" t="s">
        <v>597</v>
      </c>
      <c r="D9" s="12"/>
      <c r="E9" s="36"/>
      <c r="F9" s="36" t="s">
        <v>455</v>
      </c>
      <c r="G9" s="36" t="s">
        <v>456</v>
      </c>
      <c r="H9" s="36" t="s">
        <v>382</v>
      </c>
      <c r="I9" s="36" t="s">
        <v>381</v>
      </c>
      <c r="J9" s="36" t="s">
        <v>45</v>
      </c>
      <c r="K9" s="36" t="s">
        <v>44</v>
      </c>
      <c r="L9" s="143" t="s">
        <v>46</v>
      </c>
    </row>
    <row r="10" spans="1:12" ht="15.75" x14ac:dyDescent="0.25">
      <c r="A10" s="223"/>
      <c r="D10" s="12" t="s">
        <v>457</v>
      </c>
      <c r="E10" s="36" t="s">
        <v>458</v>
      </c>
      <c r="F10" s="177"/>
      <c r="G10" s="177">
        <v>-2.5517506350999999E-12</v>
      </c>
      <c r="H10" s="177">
        <v>2.4121846657999999E-8</v>
      </c>
      <c r="I10" s="177">
        <v>-9.1909636468000008E-6</v>
      </c>
      <c r="J10" s="177">
        <v>1.9695373372000001E-3</v>
      </c>
      <c r="K10" s="177">
        <v>-0.19788525656</v>
      </c>
      <c r="L10" s="178">
        <v>8.0894106753999999</v>
      </c>
    </row>
    <row r="11" spans="1:12" ht="15.75" x14ac:dyDescent="0.25">
      <c r="A11" s="223" t="s">
        <v>600</v>
      </c>
      <c r="D11" s="12" t="s">
        <v>459</v>
      </c>
      <c r="E11" s="36" t="s">
        <v>460</v>
      </c>
      <c r="F11" s="177">
        <v>1.0122595469000001E-14</v>
      </c>
      <c r="G11" s="177">
        <v>-1.8805783302E-11</v>
      </c>
      <c r="H11" s="179">
        <v>1.4924845945999999E-8</v>
      </c>
      <c r="I11" s="179">
        <v>-5.9760546932999997E-6</v>
      </c>
      <c r="J11" s="179">
        <v>1.3462856545E-3</v>
      </c>
      <c r="K11" s="177">
        <v>0.83827719984000004</v>
      </c>
      <c r="L11" s="178">
        <v>-24.113934501999999</v>
      </c>
    </row>
    <row r="12" spans="1:12" x14ac:dyDescent="0.25">
      <c r="A12" s="217"/>
      <c r="D12" s="12" t="s">
        <v>461</v>
      </c>
      <c r="E12" s="36" t="s">
        <v>462</v>
      </c>
      <c r="F12" s="177">
        <v>7.3991541797999994E-18</v>
      </c>
      <c r="G12" s="177">
        <v>-1.2945213490999999E-14</v>
      </c>
      <c r="H12" s="177">
        <v>8.8430105660999993E-12</v>
      </c>
      <c r="I12" s="177">
        <v>-1.8419111147E-9</v>
      </c>
      <c r="J12" s="177">
        <v>-1.2026247967E-6</v>
      </c>
      <c r="K12" s="177">
        <v>2.0324314655999999E-3</v>
      </c>
      <c r="L12" s="178">
        <v>-6.0089552413E-2</v>
      </c>
    </row>
    <row r="13" spans="1:12" x14ac:dyDescent="0.25">
      <c r="A13" s="217"/>
      <c r="D13" s="180" t="s">
        <v>463</v>
      </c>
      <c r="E13" s="18" t="s">
        <v>464</v>
      </c>
      <c r="F13" s="181">
        <v>1.4068205291E-18</v>
      </c>
      <c r="G13" s="181">
        <v>-2.6995711458E-15</v>
      </c>
      <c r="H13" s="181">
        <v>2.1775771856000002E-12</v>
      </c>
      <c r="I13" s="181">
        <v>-9.1528222658000002E-10</v>
      </c>
      <c r="J13" s="181">
        <v>2.2418007508000001E-7</v>
      </c>
      <c r="K13" s="181">
        <v>-2.3968043944000001E-5</v>
      </c>
      <c r="L13" s="182">
        <v>1.7070951785999999E-2</v>
      </c>
    </row>
    <row r="14" spans="1:12" x14ac:dyDescent="0.25">
      <c r="A14" s="217"/>
    </row>
    <row r="15" spans="1:12" x14ac:dyDescent="0.25">
      <c r="A15" s="217"/>
      <c r="D15" t="s">
        <v>468</v>
      </c>
      <c r="E15" s="153">
        <f>'Default Data'!C3</f>
        <v>200</v>
      </c>
    </row>
    <row r="16" spans="1:12" x14ac:dyDescent="0.25">
      <c r="A16" s="217"/>
      <c r="D16" t="s">
        <v>467</v>
      </c>
      <c r="E16">
        <f>E15*1.8+32</f>
        <v>392</v>
      </c>
    </row>
    <row r="17" spans="1:5" x14ac:dyDescent="0.25">
      <c r="A17" s="217"/>
      <c r="D17" t="s">
        <v>466</v>
      </c>
      <c r="E17">
        <f>F13*E16^6+G13*E16^5+H13*E16^4+I13*E16^3+J13*E16^2+K13*E16+L13</f>
        <v>1.852588465707378E-2</v>
      </c>
    </row>
    <row r="18" spans="1:5" x14ac:dyDescent="0.25">
      <c r="A18" s="217"/>
      <c r="D18" t="s">
        <v>469</v>
      </c>
      <c r="E18">
        <f>1/E17</f>
        <v>53.978528880571851</v>
      </c>
    </row>
    <row r="19" spans="1:5" x14ac:dyDescent="0.25">
      <c r="A19" s="217"/>
    </row>
    <row r="20" spans="1:5" ht="15.75" x14ac:dyDescent="0.25">
      <c r="A20" s="223" t="s">
        <v>608</v>
      </c>
    </row>
    <row r="21" spans="1:5" x14ac:dyDescent="0.25">
      <c r="A21" s="217"/>
    </row>
    <row r="22" spans="1:5" x14ac:dyDescent="0.25">
      <c r="A22" s="217"/>
    </row>
    <row r="23" spans="1:5" x14ac:dyDescent="0.25">
      <c r="A23" s="217"/>
    </row>
    <row r="24" spans="1:5" x14ac:dyDescent="0.25">
      <c r="A24" s="217"/>
    </row>
    <row r="25" spans="1:5" x14ac:dyDescent="0.25">
      <c r="A25" s="217"/>
    </row>
    <row r="26" spans="1:5" x14ac:dyDescent="0.25">
      <c r="A26" s="217"/>
    </row>
    <row r="27" spans="1:5" x14ac:dyDescent="0.25">
      <c r="A27" s="217"/>
    </row>
    <row r="28" spans="1:5" x14ac:dyDescent="0.25">
      <c r="A28" s="217"/>
    </row>
    <row r="29" spans="1:5" x14ac:dyDescent="0.25">
      <c r="A29" s="217"/>
    </row>
    <row r="30" spans="1:5" x14ac:dyDescent="0.25">
      <c r="A30" s="217"/>
    </row>
    <row r="31" spans="1:5" x14ac:dyDescent="0.25">
      <c r="A31" s="217"/>
    </row>
    <row r="32" spans="1:5" x14ac:dyDescent="0.25">
      <c r="A32" s="217"/>
    </row>
    <row r="33" spans="1:1" x14ac:dyDescent="0.25">
      <c r="A33" s="217"/>
    </row>
    <row r="34" spans="1:1" x14ac:dyDescent="0.25">
      <c r="A34" s="217"/>
    </row>
    <row r="35" spans="1:1" x14ac:dyDescent="0.25">
      <c r="A35" s="217"/>
    </row>
    <row r="36" spans="1:1" x14ac:dyDescent="0.25">
      <c r="A36" s="217"/>
    </row>
    <row r="37" spans="1:1" x14ac:dyDescent="0.25">
      <c r="A37" s="217"/>
    </row>
    <row r="38" spans="1:1" x14ac:dyDescent="0.25">
      <c r="A38" s="217"/>
    </row>
    <row r="39" spans="1:1" x14ac:dyDescent="0.25">
      <c r="A39" s="217"/>
    </row>
    <row r="40" spans="1:1" x14ac:dyDescent="0.25">
      <c r="A40" s="217"/>
    </row>
    <row r="41" spans="1:1" x14ac:dyDescent="0.25">
      <c r="A41" s="217"/>
    </row>
    <row r="42" spans="1:1" x14ac:dyDescent="0.25">
      <c r="A42" s="217"/>
    </row>
    <row r="43" spans="1:1" x14ac:dyDescent="0.25">
      <c r="A43" s="217"/>
    </row>
    <row r="44" spans="1:1" x14ac:dyDescent="0.25">
      <c r="A44" s="217"/>
    </row>
    <row r="45" spans="1:1" x14ac:dyDescent="0.25">
      <c r="A45" s="217"/>
    </row>
    <row r="46" spans="1:1" x14ac:dyDescent="0.25">
      <c r="A46" s="217"/>
    </row>
    <row r="47" spans="1:1" x14ac:dyDescent="0.25">
      <c r="A47" s="217"/>
    </row>
    <row r="48" spans="1:1" x14ac:dyDescent="0.25">
      <c r="A48" s="217"/>
    </row>
    <row r="49" spans="1:1" x14ac:dyDescent="0.25">
      <c r="A49" s="217"/>
    </row>
    <row r="50" spans="1:1" x14ac:dyDescent="0.25">
      <c r="A50" s="217"/>
    </row>
    <row r="51" spans="1:1" x14ac:dyDescent="0.25">
      <c r="A51" s="217"/>
    </row>
    <row r="139" spans="1:1" x14ac:dyDescent="0.25">
      <c r="A139" s="218"/>
    </row>
    <row r="140" spans="1:1" x14ac:dyDescent="0.25">
      <c r="A140" s="473"/>
    </row>
    <row r="141" spans="1:1" x14ac:dyDescent="0.25">
      <c r="A141" s="473"/>
    </row>
    <row r="142" spans="1:1" x14ac:dyDescent="0.25">
      <c r="A142" s="473"/>
    </row>
    <row r="143" spans="1:1" x14ac:dyDescent="0.25">
      <c r="A143" s="473"/>
    </row>
    <row r="144" spans="1:1" x14ac:dyDescent="0.25">
      <c r="A144" s="473"/>
    </row>
    <row r="145" spans="1:1" x14ac:dyDescent="0.25">
      <c r="A145" s="473"/>
    </row>
    <row r="146" spans="1:1" x14ac:dyDescent="0.25">
      <c r="A146" s="473"/>
    </row>
    <row r="147" spans="1:1" x14ac:dyDescent="0.25">
      <c r="A147" s="473"/>
    </row>
    <row r="148" spans="1:1" x14ac:dyDescent="0.25">
      <c r="A148" s="473"/>
    </row>
    <row r="149" spans="1:1" x14ac:dyDescent="0.25">
      <c r="A149" s="473"/>
    </row>
    <row r="150" spans="1:1" x14ac:dyDescent="0.25">
      <c r="A150" s="473"/>
    </row>
    <row r="151" spans="1:1" x14ac:dyDescent="0.25">
      <c r="A151" s="473"/>
    </row>
    <row r="152" spans="1:1" x14ac:dyDescent="0.25">
      <c r="A152" s="473"/>
    </row>
    <row r="153" spans="1:1" x14ac:dyDescent="0.25">
      <c r="A153" s="473"/>
    </row>
    <row r="154" spans="1:1" x14ac:dyDescent="0.25">
      <c r="A154" s="473"/>
    </row>
    <row r="155" spans="1:1" x14ac:dyDescent="0.25">
      <c r="A155" s="473"/>
    </row>
    <row r="156" spans="1:1" x14ac:dyDescent="0.25">
      <c r="A156" s="473"/>
    </row>
    <row r="157" spans="1:1" x14ac:dyDescent="0.25">
      <c r="A157" s="219"/>
    </row>
    <row r="158" spans="1:1" x14ac:dyDescent="0.25">
      <c r="A158" s="219"/>
    </row>
    <row r="159" spans="1:1" x14ac:dyDescent="0.25">
      <c r="A159" s="219"/>
    </row>
    <row r="160" spans="1:1" x14ac:dyDescent="0.25">
      <c r="A160" s="219"/>
    </row>
    <row r="161" spans="1:1" x14ac:dyDescent="0.25">
      <c r="A161" s="219"/>
    </row>
    <row r="165" spans="1:1" x14ac:dyDescent="0.25">
      <c r="A165" s="219"/>
    </row>
    <row r="166" spans="1:1" x14ac:dyDescent="0.25">
      <c r="A166" s="219"/>
    </row>
    <row r="167" spans="1:1" x14ac:dyDescent="0.25">
      <c r="A167" s="219"/>
    </row>
    <row r="168" spans="1:1" x14ac:dyDescent="0.25">
      <c r="A168" s="219"/>
    </row>
    <row r="169" spans="1:1" x14ac:dyDescent="0.25">
      <c r="A169" s="219"/>
    </row>
    <row r="170" spans="1:1" x14ac:dyDescent="0.25">
      <c r="A170" s="219"/>
    </row>
    <row r="171" spans="1:1" x14ac:dyDescent="0.25">
      <c r="A171" s="219"/>
    </row>
    <row r="172" spans="1:1" x14ac:dyDescent="0.25">
      <c r="A172" s="219"/>
    </row>
    <row r="173" spans="1:1" x14ac:dyDescent="0.25">
      <c r="A173" s="219"/>
    </row>
    <row r="174" spans="1:1" x14ac:dyDescent="0.25">
      <c r="A174" s="219"/>
    </row>
    <row r="175" spans="1:1" x14ac:dyDescent="0.25">
      <c r="A175" s="219"/>
    </row>
    <row r="176" spans="1:1" x14ac:dyDescent="0.25">
      <c r="A176" s="219"/>
    </row>
    <row r="177" spans="1:1" x14ac:dyDescent="0.25">
      <c r="A177" s="219"/>
    </row>
    <row r="178" spans="1:1" x14ac:dyDescent="0.25">
      <c r="A178" s="219"/>
    </row>
    <row r="179" spans="1:1" x14ac:dyDescent="0.25">
      <c r="A179" s="219"/>
    </row>
    <row r="180" spans="1:1" x14ac:dyDescent="0.25">
      <c r="A180" s="219"/>
    </row>
    <row r="181" spans="1:1" x14ac:dyDescent="0.25">
      <c r="A181" s="219"/>
    </row>
    <row r="182" spans="1:1" x14ac:dyDescent="0.25">
      <c r="A182" s="219"/>
    </row>
    <row r="183" spans="1:1" x14ac:dyDescent="0.25">
      <c r="A183" s="219"/>
    </row>
    <row r="184" spans="1:1" x14ac:dyDescent="0.25">
      <c r="A184" s="219"/>
    </row>
    <row r="185" spans="1:1" x14ac:dyDescent="0.25">
      <c r="A185" s="219"/>
    </row>
    <row r="186" spans="1:1" x14ac:dyDescent="0.25">
      <c r="A186" s="219"/>
    </row>
    <row r="187" spans="1:1" x14ac:dyDescent="0.25">
      <c r="A187" s="219"/>
    </row>
    <row r="188" spans="1:1" x14ac:dyDescent="0.25">
      <c r="A188" s="219"/>
    </row>
    <row r="189" spans="1:1" x14ac:dyDescent="0.25">
      <c r="A189" s="219"/>
    </row>
    <row r="190" spans="1:1" x14ac:dyDescent="0.25">
      <c r="A190" s="219"/>
    </row>
    <row r="191" spans="1:1" x14ac:dyDescent="0.25">
      <c r="A191" s="219"/>
    </row>
    <row r="192" spans="1:1" x14ac:dyDescent="0.25">
      <c r="A192" s="219"/>
    </row>
    <row r="193" spans="1:1" x14ac:dyDescent="0.25">
      <c r="A193" s="219"/>
    </row>
    <row r="194" spans="1:1" x14ac:dyDescent="0.25">
      <c r="A194" s="219"/>
    </row>
    <row r="195" spans="1:1" x14ac:dyDescent="0.25">
      <c r="A195" s="219"/>
    </row>
    <row r="196" spans="1:1" x14ac:dyDescent="0.25">
      <c r="A196" s="219"/>
    </row>
    <row r="197" spans="1:1" x14ac:dyDescent="0.25">
      <c r="A197" s="219"/>
    </row>
    <row r="198" spans="1:1" x14ac:dyDescent="0.25">
      <c r="A198" s="219"/>
    </row>
    <row r="199" spans="1:1" x14ac:dyDescent="0.25">
      <c r="A199" s="219"/>
    </row>
    <row r="200" spans="1:1" x14ac:dyDescent="0.25">
      <c r="A200" s="219"/>
    </row>
    <row r="201" spans="1:1" x14ac:dyDescent="0.25">
      <c r="A201" s="219"/>
    </row>
    <row r="202" spans="1:1" x14ac:dyDescent="0.25">
      <c r="A202" s="219"/>
    </row>
    <row r="203" spans="1:1" x14ac:dyDescent="0.25">
      <c r="A203" s="219"/>
    </row>
    <row r="204" spans="1:1" x14ac:dyDescent="0.25">
      <c r="A204" s="219"/>
    </row>
    <row r="205" spans="1:1" x14ac:dyDescent="0.25">
      <c r="A205" s="219"/>
    </row>
    <row r="206" spans="1:1" x14ac:dyDescent="0.25">
      <c r="A206" s="219"/>
    </row>
    <row r="207" spans="1:1" x14ac:dyDescent="0.25">
      <c r="A207" s="219"/>
    </row>
    <row r="208" spans="1:1" x14ac:dyDescent="0.25">
      <c r="A208" s="219"/>
    </row>
    <row r="209" spans="1:1" x14ac:dyDescent="0.25">
      <c r="A209" s="219"/>
    </row>
    <row r="210" spans="1:1" x14ac:dyDescent="0.25">
      <c r="A210" s="219"/>
    </row>
    <row r="211" spans="1:1" x14ac:dyDescent="0.25">
      <c r="A211" s="219"/>
    </row>
    <row r="212" spans="1:1" x14ac:dyDescent="0.25">
      <c r="A212" s="219"/>
    </row>
    <row r="213" spans="1:1" x14ac:dyDescent="0.25">
      <c r="A213" s="219"/>
    </row>
    <row r="214" spans="1:1" x14ac:dyDescent="0.25">
      <c r="A214" s="219"/>
    </row>
    <row r="215" spans="1:1" x14ac:dyDescent="0.25">
      <c r="A215" s="219"/>
    </row>
    <row r="216" spans="1:1" x14ac:dyDescent="0.25">
      <c r="A216" s="219"/>
    </row>
    <row r="217" spans="1:1" x14ac:dyDescent="0.25">
      <c r="A217" s="219"/>
    </row>
    <row r="218" spans="1:1" x14ac:dyDescent="0.25">
      <c r="A218" s="219"/>
    </row>
    <row r="219" spans="1:1" x14ac:dyDescent="0.25">
      <c r="A219" s="219"/>
    </row>
    <row r="220" spans="1:1" x14ac:dyDescent="0.25">
      <c r="A220" s="219"/>
    </row>
    <row r="221" spans="1:1" x14ac:dyDescent="0.25">
      <c r="A221" s="219"/>
    </row>
    <row r="222" spans="1:1" x14ac:dyDescent="0.25">
      <c r="A222" s="219"/>
    </row>
    <row r="223" spans="1:1" x14ac:dyDescent="0.25">
      <c r="A223" s="219"/>
    </row>
    <row r="224" spans="1:1" x14ac:dyDescent="0.25">
      <c r="A224" s="219"/>
    </row>
    <row r="225" spans="1:1" x14ac:dyDescent="0.25">
      <c r="A225" s="219"/>
    </row>
    <row r="226" spans="1:1" x14ac:dyDescent="0.25">
      <c r="A226" s="219"/>
    </row>
    <row r="227" spans="1:1" x14ac:dyDescent="0.25">
      <c r="A227" s="219"/>
    </row>
    <row r="228" spans="1:1" x14ac:dyDescent="0.25">
      <c r="A228" s="219"/>
    </row>
    <row r="229" spans="1:1" x14ac:dyDescent="0.25">
      <c r="A229" s="219"/>
    </row>
    <row r="230" spans="1:1" x14ac:dyDescent="0.25">
      <c r="A230" s="219"/>
    </row>
    <row r="231" spans="1:1" x14ac:dyDescent="0.25">
      <c r="A231" s="219"/>
    </row>
    <row r="232" spans="1:1" x14ac:dyDescent="0.25">
      <c r="A232" s="219"/>
    </row>
    <row r="233" spans="1:1" x14ac:dyDescent="0.25">
      <c r="A233" s="219"/>
    </row>
    <row r="234" spans="1:1" x14ac:dyDescent="0.25">
      <c r="A234" s="219"/>
    </row>
    <row r="235" spans="1:1" x14ac:dyDescent="0.25">
      <c r="A235" s="219"/>
    </row>
    <row r="236" spans="1:1" x14ac:dyDescent="0.25">
      <c r="A236" s="219"/>
    </row>
    <row r="237" spans="1:1" x14ac:dyDescent="0.25">
      <c r="A237" s="219"/>
    </row>
    <row r="238" spans="1:1" x14ac:dyDescent="0.25">
      <c r="A238" s="219"/>
    </row>
    <row r="239" spans="1:1" x14ac:dyDescent="0.25">
      <c r="A239" s="219"/>
    </row>
    <row r="240" spans="1:1" x14ac:dyDescent="0.25">
      <c r="A240" s="219"/>
    </row>
    <row r="241" spans="1:1" x14ac:dyDescent="0.25">
      <c r="A241" s="219"/>
    </row>
    <row r="242" spans="1:1" x14ac:dyDescent="0.25">
      <c r="A242" s="219"/>
    </row>
    <row r="243" spans="1:1" x14ac:dyDescent="0.25">
      <c r="A243" s="219"/>
    </row>
    <row r="244" spans="1:1" x14ac:dyDescent="0.25">
      <c r="A244" s="219"/>
    </row>
    <row r="245" spans="1:1" x14ac:dyDescent="0.25">
      <c r="A245" s="219"/>
    </row>
    <row r="246" spans="1:1" x14ac:dyDescent="0.25">
      <c r="A246" s="219"/>
    </row>
    <row r="247" spans="1:1" x14ac:dyDescent="0.25">
      <c r="A247" s="219"/>
    </row>
    <row r="248" spans="1:1" x14ac:dyDescent="0.25">
      <c r="A248" s="219"/>
    </row>
    <row r="249" spans="1:1" x14ac:dyDescent="0.25">
      <c r="A249" s="219"/>
    </row>
    <row r="250" spans="1:1" x14ac:dyDescent="0.25">
      <c r="A250" s="219"/>
    </row>
    <row r="251" spans="1:1" x14ac:dyDescent="0.25">
      <c r="A251" s="219"/>
    </row>
    <row r="252" spans="1:1" x14ac:dyDescent="0.25">
      <c r="A252" s="219"/>
    </row>
    <row r="253" spans="1:1" x14ac:dyDescent="0.25">
      <c r="A253" s="219"/>
    </row>
    <row r="254" spans="1:1" x14ac:dyDescent="0.25">
      <c r="A254" s="219"/>
    </row>
    <row r="255" spans="1:1" x14ac:dyDescent="0.25">
      <c r="A255" s="219"/>
    </row>
    <row r="256" spans="1:1" x14ac:dyDescent="0.25">
      <c r="A256" s="219"/>
    </row>
    <row r="257" spans="1:1" x14ac:dyDescent="0.25">
      <c r="A257" s="219"/>
    </row>
    <row r="258" spans="1:1" x14ac:dyDescent="0.25">
      <c r="A258" s="219"/>
    </row>
    <row r="259" spans="1:1" x14ac:dyDescent="0.25">
      <c r="A259" s="219"/>
    </row>
    <row r="260" spans="1:1" x14ac:dyDescent="0.25">
      <c r="A260" s="219"/>
    </row>
    <row r="261" spans="1:1" x14ac:dyDescent="0.25">
      <c r="A261" s="219"/>
    </row>
    <row r="262" spans="1:1" x14ac:dyDescent="0.25">
      <c r="A262" s="219"/>
    </row>
    <row r="263" spans="1:1" x14ac:dyDescent="0.25">
      <c r="A263" s="219"/>
    </row>
    <row r="264" spans="1:1" x14ac:dyDescent="0.25">
      <c r="A264" s="219"/>
    </row>
    <row r="265" spans="1:1" x14ac:dyDescent="0.25">
      <c r="A265" s="219"/>
    </row>
    <row r="266" spans="1:1" x14ac:dyDescent="0.25">
      <c r="A266" s="219"/>
    </row>
    <row r="267" spans="1:1" x14ac:dyDescent="0.25">
      <c r="A267" s="219"/>
    </row>
    <row r="268" spans="1:1" x14ac:dyDescent="0.25">
      <c r="A268" s="219"/>
    </row>
    <row r="269" spans="1:1" x14ac:dyDescent="0.25">
      <c r="A269" s="219"/>
    </row>
    <row r="270" spans="1:1" x14ac:dyDescent="0.25">
      <c r="A270" s="219"/>
    </row>
    <row r="271" spans="1:1" x14ac:dyDescent="0.25">
      <c r="A271" s="219"/>
    </row>
    <row r="272" spans="1:1" x14ac:dyDescent="0.25">
      <c r="A272" s="219"/>
    </row>
    <row r="273" spans="1:1" x14ac:dyDescent="0.25">
      <c r="A273" s="219"/>
    </row>
    <row r="274" spans="1:1" x14ac:dyDescent="0.25">
      <c r="A274" s="219"/>
    </row>
    <row r="275" spans="1:1" x14ac:dyDescent="0.25">
      <c r="A275" s="219"/>
    </row>
    <row r="276" spans="1:1" x14ac:dyDescent="0.25">
      <c r="A276" s="219"/>
    </row>
    <row r="277" spans="1:1" x14ac:dyDescent="0.25">
      <c r="A277" s="219"/>
    </row>
    <row r="278" spans="1:1" x14ac:dyDescent="0.25">
      <c r="A278" s="219"/>
    </row>
    <row r="279" spans="1:1" x14ac:dyDescent="0.25">
      <c r="A279" s="219"/>
    </row>
    <row r="280" spans="1:1" x14ac:dyDescent="0.25">
      <c r="A280" s="219"/>
    </row>
    <row r="281" spans="1:1" x14ac:dyDescent="0.25">
      <c r="A281" s="219"/>
    </row>
    <row r="282" spans="1:1" x14ac:dyDescent="0.25">
      <c r="A282" s="219"/>
    </row>
    <row r="283" spans="1:1" x14ac:dyDescent="0.25">
      <c r="A283" s="219"/>
    </row>
    <row r="284" spans="1:1" x14ac:dyDescent="0.25">
      <c r="A284" s="219"/>
    </row>
    <row r="285" spans="1:1" x14ac:dyDescent="0.25">
      <c r="A285" s="219"/>
    </row>
    <row r="286" spans="1:1" x14ac:dyDescent="0.25">
      <c r="A286" s="219"/>
    </row>
    <row r="287" spans="1:1" x14ac:dyDescent="0.25">
      <c r="A287" s="219"/>
    </row>
    <row r="288" spans="1:1" x14ac:dyDescent="0.25">
      <c r="A288" s="219"/>
    </row>
    <row r="289" spans="1:1" x14ac:dyDescent="0.25">
      <c r="A289" s="219"/>
    </row>
    <row r="290" spans="1:1" x14ac:dyDescent="0.25">
      <c r="A290" s="219"/>
    </row>
    <row r="291" spans="1:1" x14ac:dyDescent="0.25">
      <c r="A291" s="219"/>
    </row>
    <row r="292" spans="1:1" x14ac:dyDescent="0.25">
      <c r="A292" s="219"/>
    </row>
    <row r="293" spans="1:1" x14ac:dyDescent="0.25">
      <c r="A293" s="219"/>
    </row>
    <row r="294" spans="1:1" x14ac:dyDescent="0.25">
      <c r="A294" s="219"/>
    </row>
    <row r="295" spans="1:1" x14ac:dyDescent="0.25">
      <c r="A295" s="219"/>
    </row>
    <row r="296" spans="1:1" x14ac:dyDescent="0.25">
      <c r="A296" s="219"/>
    </row>
    <row r="297" spans="1:1" x14ac:dyDescent="0.25">
      <c r="A297" s="219"/>
    </row>
    <row r="298" spans="1:1" x14ac:dyDescent="0.25">
      <c r="A298" s="219"/>
    </row>
    <row r="299" spans="1:1" x14ac:dyDescent="0.25">
      <c r="A299" s="219"/>
    </row>
    <row r="300" spans="1:1" x14ac:dyDescent="0.25">
      <c r="A300" s="219"/>
    </row>
    <row r="301" spans="1:1" x14ac:dyDescent="0.25">
      <c r="A301" s="219"/>
    </row>
    <row r="302" spans="1:1" x14ac:dyDescent="0.25">
      <c r="A302" s="219"/>
    </row>
    <row r="303" spans="1:1" x14ac:dyDescent="0.25">
      <c r="A303" s="219"/>
    </row>
  </sheetData>
  <sheetProtection password="A013" sheet="1" objects="1" scenarios="1"/>
  <pageMargins left="0.7" right="0.7" top="0.75" bottom="0.75" header="0.3" footer="0.3"/>
  <pageSetup orientation="portrait" horizontalDpi="4294967293" verticalDpi="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D303"/>
  <sheetViews>
    <sheetView workbookViewId="0">
      <selection activeCell="J1" sqref="J1"/>
    </sheetView>
  </sheetViews>
  <sheetFormatPr defaultRowHeight="15" x14ac:dyDescent="0.25"/>
  <cols>
    <col min="1" max="1" width="139.28515625" style="856" customWidth="1"/>
    <col min="3" max="3" width="43.42578125" customWidth="1"/>
    <col min="4" max="4" width="18.5703125" customWidth="1"/>
    <col min="9" max="9" width="12.140625" customWidth="1"/>
    <col min="10" max="10" width="18.7109375" customWidth="1"/>
    <col min="12" max="12" width="23.42578125" customWidth="1"/>
    <col min="14" max="14" width="11.140625" bestFit="1" customWidth="1"/>
    <col min="38" max="38" width="15.140625" customWidth="1"/>
    <col min="39" max="39" width="16.85546875" customWidth="1"/>
    <col min="40" max="40" width="13.7109375" customWidth="1"/>
    <col min="41" max="41" width="11.5703125" bestFit="1" customWidth="1"/>
    <col min="44" max="44" width="11.42578125" customWidth="1"/>
    <col min="45" max="45" width="12.28515625" customWidth="1"/>
    <col min="53" max="53" width="10.140625" bestFit="1" customWidth="1"/>
  </cols>
  <sheetData>
    <row r="1" spans="1:56" x14ac:dyDescent="0.25">
      <c r="A1" s="845"/>
      <c r="C1" t="s">
        <v>302</v>
      </c>
      <c r="D1">
        <f>ProjectData!B14</f>
        <v>2010</v>
      </c>
      <c r="AL1" t="s">
        <v>1151</v>
      </c>
      <c r="AX1" t="s">
        <v>1152</v>
      </c>
    </row>
    <row r="2" spans="1:56" ht="15.75" thickBot="1" x14ac:dyDescent="0.3">
      <c r="A2" s="845"/>
      <c r="AL2" s="860">
        <f>'CERA PCCI power plant index'!F29</f>
        <v>0.93121693121693128</v>
      </c>
      <c r="AY2" t="s">
        <v>1153</v>
      </c>
      <c r="BA2">
        <v>10.491</v>
      </c>
    </row>
    <row r="3" spans="1:56" x14ac:dyDescent="0.25">
      <c r="A3" s="845"/>
      <c r="H3" s="1277"/>
      <c r="I3" s="1277"/>
      <c r="J3" s="1277"/>
      <c r="K3" s="1277"/>
      <c r="L3" s="1277"/>
      <c r="M3" s="1277"/>
      <c r="AB3" s="846" t="s">
        <v>1154</v>
      </c>
      <c r="AC3" s="847"/>
      <c r="AD3" s="847"/>
      <c r="AE3" s="847"/>
      <c r="AF3" s="847"/>
      <c r="AG3" s="847"/>
      <c r="AH3" s="848"/>
      <c r="AJ3" s="32"/>
      <c r="AK3" s="33" t="s">
        <v>1155</v>
      </c>
      <c r="AL3" s="33"/>
      <c r="AM3" s="33"/>
      <c r="AN3" s="34"/>
      <c r="AQ3" s="32"/>
      <c r="AR3" s="33" t="s">
        <v>1156</v>
      </c>
      <c r="AS3" s="33"/>
      <c r="AT3" s="33"/>
      <c r="AU3" s="34"/>
      <c r="AX3" s="32"/>
      <c r="AY3" s="33"/>
      <c r="AZ3" s="33" t="s">
        <v>1157</v>
      </c>
      <c r="BA3" s="33"/>
      <c r="BB3" s="33"/>
      <c r="BC3" s="34"/>
    </row>
    <row r="4" spans="1:56" x14ac:dyDescent="0.25">
      <c r="A4" s="845"/>
      <c r="U4" s="49"/>
      <c r="V4" s="791"/>
      <c r="X4" s="49"/>
      <c r="Y4" s="791"/>
      <c r="AB4" s="35" t="s">
        <v>529</v>
      </c>
      <c r="AC4" s="36" t="s">
        <v>530</v>
      </c>
      <c r="AD4" s="36" t="s">
        <v>1158</v>
      </c>
      <c r="AE4" s="36" t="s">
        <v>507</v>
      </c>
      <c r="AF4" s="36" t="s">
        <v>1159</v>
      </c>
      <c r="AG4" s="36"/>
      <c r="AH4" s="37"/>
      <c r="AJ4" s="35" t="s">
        <v>1059</v>
      </c>
      <c r="AK4" s="36" t="s">
        <v>1160</v>
      </c>
      <c r="AL4" s="36" t="s">
        <v>1161</v>
      </c>
      <c r="AM4" s="36" t="s">
        <v>1162</v>
      </c>
      <c r="AN4" s="849" t="s">
        <v>1163</v>
      </c>
      <c r="AO4" s="358" t="s">
        <v>1164</v>
      </c>
      <c r="AQ4" s="35" t="s">
        <v>1059</v>
      </c>
      <c r="AR4" s="36" t="s">
        <v>1160</v>
      </c>
      <c r="AS4" s="36" t="s">
        <v>1161</v>
      </c>
      <c r="AT4" s="36" t="s">
        <v>1162</v>
      </c>
      <c r="AU4" s="849" t="s">
        <v>1163</v>
      </c>
      <c r="AX4" s="35" t="s">
        <v>1059</v>
      </c>
      <c r="AY4" s="358" t="s">
        <v>1165</v>
      </c>
      <c r="AZ4" s="36" t="s">
        <v>1160</v>
      </c>
      <c r="BA4" s="36" t="s">
        <v>1161</v>
      </c>
      <c r="BB4" s="36" t="s">
        <v>1162</v>
      </c>
      <c r="BC4" s="849" t="s">
        <v>1051</v>
      </c>
    </row>
    <row r="5" spans="1:56" ht="23.25" x14ac:dyDescent="0.35">
      <c r="A5" s="221" t="s">
        <v>591</v>
      </c>
      <c r="C5" t="str">
        <f>CONCATENATE(" 50MW Plant Cost                           ", D1,"  dollars")</f>
        <v xml:space="preserve"> 50MW Plant Cost                           2010  dollars</v>
      </c>
      <c r="D5" s="153">
        <f>'Binary  plant costs'!J18</f>
        <v>2201.0350105806469</v>
      </c>
      <c r="U5" s="49"/>
      <c r="V5" s="791"/>
      <c r="X5" s="49"/>
      <c r="Y5" s="791"/>
      <c r="AB5" s="35">
        <v>5</v>
      </c>
      <c r="AC5" s="36">
        <v>6.07</v>
      </c>
      <c r="AD5" s="36">
        <v>2817</v>
      </c>
      <c r="AE5" s="36">
        <v>14085</v>
      </c>
      <c r="AF5" s="850">
        <f t="shared" ref="AF5:AF28" si="0">AD5/$AD$5</f>
        <v>1</v>
      </c>
      <c r="AG5" s="36"/>
      <c r="AH5" s="37"/>
      <c r="AJ5" s="35">
        <v>5</v>
      </c>
      <c r="AK5" s="36">
        <v>2817</v>
      </c>
      <c r="AL5" s="36">
        <f>AK5*$AL$2</f>
        <v>2623.2380952380954</v>
      </c>
      <c r="AM5" s="36">
        <f t="shared" ref="AM5:AM10" si="1">G39</f>
        <v>2446.9604541200779</v>
      </c>
      <c r="AN5" s="851">
        <f>(AM5-AL5)/AL5</f>
        <v>-6.7198490841532968E-2</v>
      </c>
      <c r="AO5">
        <f>(AL5-AM5)^2</f>
        <v>31073.806758132585</v>
      </c>
      <c r="AQ5" s="35">
        <v>5</v>
      </c>
      <c r="AR5" s="36">
        <v>2324</v>
      </c>
      <c r="AS5" s="36">
        <f>AR5*$AL$2</f>
        <v>2164.1481481481483</v>
      </c>
      <c r="AT5" s="36">
        <v>2342.4805134039302</v>
      </c>
      <c r="AU5" s="851">
        <f>(AT5-AS5)/AS5</f>
        <v>8.2403030221558607E-2</v>
      </c>
      <c r="AX5" s="35">
        <v>1</v>
      </c>
      <c r="AY5" s="36">
        <v>1.21</v>
      </c>
      <c r="AZ5" s="36">
        <v>4268</v>
      </c>
      <c r="BA5" s="36">
        <f t="shared" ref="BA5:BA34" si="2">AZ5*$AL$2</f>
        <v>3974.4338624338625</v>
      </c>
      <c r="BB5" s="36"/>
      <c r="BC5" s="851">
        <f>BA5/$BA$5</f>
        <v>1</v>
      </c>
    </row>
    <row r="6" spans="1:56" ht="15.75" thickBot="1" x14ac:dyDescent="0.3">
      <c r="A6" s="845"/>
      <c r="G6" s="95"/>
      <c r="U6" s="49"/>
      <c r="V6" s="791"/>
      <c r="X6" s="49"/>
      <c r="Y6" s="791"/>
      <c r="AB6" s="35">
        <v>6</v>
      </c>
      <c r="AC6" s="36">
        <v>7.29</v>
      </c>
      <c r="AD6" s="36">
        <v>2702</v>
      </c>
      <c r="AE6" s="36">
        <v>16214</v>
      </c>
      <c r="AF6" s="850">
        <f t="shared" si="0"/>
        <v>0.9591764288249911</v>
      </c>
      <c r="AG6" s="36"/>
      <c r="AH6" s="37"/>
      <c r="AJ6" s="35">
        <v>6</v>
      </c>
      <c r="AK6" s="36">
        <v>2702</v>
      </c>
      <c r="AL6" s="36">
        <f t="shared" ref="AL6:AL28" si="3">AK6*$AL$2</f>
        <v>2516.1481481481483</v>
      </c>
      <c r="AM6" s="36">
        <f t="shared" si="1"/>
        <v>2426.5241241157005</v>
      </c>
      <c r="AN6" s="851">
        <f t="shared" ref="AN6:AN28" si="4">(AM6-AL6)/AL6</f>
        <v>-3.561953380941018E-2</v>
      </c>
      <c r="AO6">
        <f t="shared" ref="AO6:AO28" si="5">(AL6-AM6)^2</f>
        <v>8032.4656837687771</v>
      </c>
      <c r="AQ6" s="35">
        <v>6</v>
      </c>
      <c r="AR6" s="36">
        <v>2207</v>
      </c>
      <c r="AS6" s="36">
        <f t="shared" ref="AS6:AS28" si="6">AR6*$AL$2</f>
        <v>2055.1957671957675</v>
      </c>
      <c r="AT6" s="36">
        <v>2315.7281142933202</v>
      </c>
      <c r="AU6" s="851">
        <f t="shared" ref="AU6:AU28" si="7">(AT6-AS6)/AS6</f>
        <v>0.12676765457386996</v>
      </c>
      <c r="AX6" s="35">
        <f t="shared" ref="AX6:AX69" si="8">AX5+1</f>
        <v>2</v>
      </c>
      <c r="AY6" s="36">
        <v>2.42</v>
      </c>
      <c r="AZ6" s="36">
        <v>3572</v>
      </c>
      <c r="BA6" s="36">
        <f t="shared" si="2"/>
        <v>3326.3068783068784</v>
      </c>
      <c r="BB6" s="36"/>
      <c r="BC6" s="851">
        <f t="shared" ref="BC6:BC69" si="9">BA6/$BA$5</f>
        <v>0.83692596063730085</v>
      </c>
    </row>
    <row r="7" spans="1:56" ht="15.75" x14ac:dyDescent="0.25">
      <c r="A7" s="223" t="s">
        <v>594</v>
      </c>
      <c r="C7" s="32" t="s">
        <v>509</v>
      </c>
      <c r="D7" s="858">
        <f>'Default Data'!G14</f>
        <v>200</v>
      </c>
      <c r="G7" s="95"/>
      <c r="U7" s="49"/>
      <c r="V7" s="791"/>
      <c r="X7" s="49"/>
      <c r="Y7" s="791"/>
      <c r="AB7" s="35">
        <v>7</v>
      </c>
      <c r="AC7" s="36">
        <v>8.5</v>
      </c>
      <c r="AD7" s="36">
        <v>2611</v>
      </c>
      <c r="AE7" s="36">
        <v>18277</v>
      </c>
      <c r="AF7" s="850">
        <f t="shared" si="0"/>
        <v>0.92687255946041891</v>
      </c>
      <c r="AG7" s="36"/>
      <c r="AH7" s="37"/>
      <c r="AJ7" s="35">
        <v>7</v>
      </c>
      <c r="AK7" s="36">
        <v>2611</v>
      </c>
      <c r="AL7" s="36">
        <f t="shared" si="3"/>
        <v>2431.4074074074074</v>
      </c>
      <c r="AM7" s="36">
        <f t="shared" si="1"/>
        <v>2409.3786687855663</v>
      </c>
      <c r="AN7" s="851">
        <f t="shared" si="4"/>
        <v>-9.0600771202429403E-3</v>
      </c>
      <c r="AO7">
        <f t="shared" si="5"/>
        <v>485.26532526939184</v>
      </c>
      <c r="AQ7" s="35">
        <v>7</v>
      </c>
      <c r="AR7" s="36">
        <v>2113</v>
      </c>
      <c r="AS7" s="36">
        <f t="shared" si="6"/>
        <v>1967.6613756613758</v>
      </c>
      <c r="AT7" s="36">
        <v>2293.3477864102692</v>
      </c>
      <c r="AU7" s="851">
        <f t="shared" si="7"/>
        <v>0.16551954252769879</v>
      </c>
      <c r="AX7" s="35">
        <f t="shared" si="8"/>
        <v>3</v>
      </c>
      <c r="AY7" s="36">
        <v>3.63</v>
      </c>
      <c r="AZ7" s="36">
        <v>3236</v>
      </c>
      <c r="BA7" s="36">
        <f t="shared" si="2"/>
        <v>3013.4179894179897</v>
      </c>
      <c r="BB7" s="36"/>
      <c r="BC7" s="851">
        <f t="shared" si="9"/>
        <v>0.75820056232427369</v>
      </c>
    </row>
    <row r="8" spans="1:56" ht="15.75" x14ac:dyDescent="0.25">
      <c r="A8" s="224"/>
      <c r="C8" s="35" t="str">
        <f>CONCATENATE( "*50MW Nominal Plant cost $/kW ", D1)</f>
        <v>*50MW Nominal Plant cost $/kW 2010</v>
      </c>
      <c r="D8" s="859">
        <f>'Binary  plant costs'!J18</f>
        <v>2201.0350105806469</v>
      </c>
      <c r="G8" s="95"/>
      <c r="U8" s="49"/>
      <c r="V8" s="791"/>
      <c r="X8" s="49"/>
      <c r="Y8" s="791"/>
      <c r="AB8" s="35">
        <v>8</v>
      </c>
      <c r="AC8" s="36">
        <v>9.7100000000000009</v>
      </c>
      <c r="AD8" s="36">
        <v>2536</v>
      </c>
      <c r="AE8" s="36">
        <v>20286</v>
      </c>
      <c r="AF8" s="850">
        <f t="shared" si="0"/>
        <v>0.90024849130280438</v>
      </c>
      <c r="AG8" s="36"/>
      <c r="AH8" s="37"/>
      <c r="AJ8" s="35">
        <v>8</v>
      </c>
      <c r="AK8" s="36">
        <v>2536</v>
      </c>
      <c r="AL8" s="36">
        <f t="shared" si="3"/>
        <v>2361.5661375661375</v>
      </c>
      <c r="AM8" s="36">
        <f t="shared" si="1"/>
        <v>2394.6245546407358</v>
      </c>
      <c r="AN8" s="851">
        <f t="shared" si="4"/>
        <v>1.399851418460326E-2</v>
      </c>
      <c r="AO8">
        <f t="shared" si="5"/>
        <v>1092.8589394780931</v>
      </c>
      <c r="AQ8" s="35">
        <v>8</v>
      </c>
      <c r="AR8" s="36">
        <v>2036</v>
      </c>
      <c r="AS8" s="36">
        <f t="shared" si="6"/>
        <v>1895.9576719576721</v>
      </c>
      <c r="AT8" s="36">
        <v>2274.1359719993761</v>
      </c>
      <c r="AU8" s="851">
        <f t="shared" si="7"/>
        <v>0.1994655817665042</v>
      </c>
      <c r="AX8" s="35">
        <f t="shared" si="8"/>
        <v>4</v>
      </c>
      <c r="AY8" s="36">
        <v>4.84</v>
      </c>
      <c r="AZ8" s="358">
        <v>3025</v>
      </c>
      <c r="BA8" s="36">
        <f t="shared" si="2"/>
        <v>2816.931216931217</v>
      </c>
      <c r="BB8" s="36"/>
      <c r="BC8" s="851">
        <f t="shared" si="9"/>
        <v>0.70876288659793818</v>
      </c>
    </row>
    <row r="9" spans="1:56" ht="15.75" x14ac:dyDescent="0.25">
      <c r="A9" s="223" t="s">
        <v>597</v>
      </c>
      <c r="C9" s="35" t="str">
        <f>CONCATENATE( "**5MW Nominal Plant cost $/kW ", D1)</f>
        <v>**5MW Nominal Plant cost $/kW 2010</v>
      </c>
      <c r="D9" s="859">
        <f>D8*(1+0.1117)</f>
        <v>2446.8906212625052</v>
      </c>
      <c r="G9" s="95"/>
      <c r="U9" s="49"/>
      <c r="V9" s="791"/>
      <c r="X9" s="49"/>
      <c r="Y9" s="791"/>
      <c r="AB9" s="35">
        <v>9</v>
      </c>
      <c r="AC9" s="36">
        <v>10.93</v>
      </c>
      <c r="AD9" s="36">
        <v>2512</v>
      </c>
      <c r="AE9" s="36">
        <v>22611</v>
      </c>
      <c r="AF9" s="850">
        <f t="shared" si="0"/>
        <v>0.89172878949236778</v>
      </c>
      <c r="AG9" s="36"/>
      <c r="AH9" s="37"/>
      <c r="AJ9" s="35">
        <v>9</v>
      </c>
      <c r="AK9" s="36">
        <v>2512</v>
      </c>
      <c r="AL9" s="36">
        <f t="shared" si="3"/>
        <v>2339.2169312169312</v>
      </c>
      <c r="AM9" s="36">
        <f t="shared" si="1"/>
        <v>2381.6855154091845</v>
      </c>
      <c r="AN9" s="851">
        <f t="shared" si="4"/>
        <v>1.8155043093912557E-2</v>
      </c>
      <c r="AO9">
        <f t="shared" si="5"/>
        <v>1803.5806432945046</v>
      </c>
      <c r="AQ9" s="35">
        <v>9</v>
      </c>
      <c r="AR9" s="36">
        <v>1991</v>
      </c>
      <c r="AS9" s="36">
        <f t="shared" si="6"/>
        <v>1854.0529100529102</v>
      </c>
      <c r="AT9" s="36">
        <v>2257.3235836757121</v>
      </c>
      <c r="AU9" s="851">
        <f t="shared" si="7"/>
        <v>0.21750764038945014</v>
      </c>
      <c r="AX9" s="35">
        <f t="shared" si="8"/>
        <v>5</v>
      </c>
      <c r="AY9" s="36">
        <v>6.05</v>
      </c>
      <c r="AZ9" s="358">
        <v>2874</v>
      </c>
      <c r="BA9" s="36">
        <f t="shared" si="2"/>
        <v>2676.3174603174607</v>
      </c>
      <c r="BB9" s="36"/>
      <c r="BC9" s="851">
        <f t="shared" si="9"/>
        <v>0.67338331771321469</v>
      </c>
      <c r="BD9" s="791">
        <f>BA9/$BA$9</f>
        <v>1</v>
      </c>
    </row>
    <row r="10" spans="1:56" ht="15" customHeight="1" x14ac:dyDescent="0.25">
      <c r="A10" s="223"/>
      <c r="C10" s="35" t="s">
        <v>1054</v>
      </c>
      <c r="D10" s="794">
        <f>ProjectData!B16</f>
        <v>10</v>
      </c>
      <c r="G10" s="95"/>
      <c r="U10" s="49"/>
      <c r="V10" s="791"/>
      <c r="X10" s="49"/>
      <c r="Y10" s="791"/>
      <c r="AB10" s="35">
        <f>AB5+5</f>
        <v>10</v>
      </c>
      <c r="AC10" s="36">
        <v>12.14</v>
      </c>
      <c r="AD10" s="36">
        <v>2504</v>
      </c>
      <c r="AE10" s="36">
        <v>25036</v>
      </c>
      <c r="AF10" s="850">
        <f t="shared" si="0"/>
        <v>0.88888888888888884</v>
      </c>
      <c r="AG10" s="36"/>
      <c r="AH10" s="37"/>
      <c r="AJ10" s="35">
        <f>AJ5+5</f>
        <v>10</v>
      </c>
      <c r="AK10" s="36">
        <v>2504</v>
      </c>
      <c r="AL10" s="36">
        <f t="shared" si="3"/>
        <v>2331.767195767196</v>
      </c>
      <c r="AM10" s="36">
        <f t="shared" si="1"/>
        <v>2370.1704041789562</v>
      </c>
      <c r="AN10" s="851">
        <f t="shared" si="4"/>
        <v>1.6469572297557293E-2</v>
      </c>
      <c r="AO10">
        <f t="shared" si="5"/>
        <v>1474.8064163170941</v>
      </c>
      <c r="AQ10" s="35">
        <f>AQ5+5</f>
        <v>10</v>
      </c>
      <c r="AR10" s="36">
        <v>1986</v>
      </c>
      <c r="AS10" s="36">
        <f t="shared" si="6"/>
        <v>1849.3968253968255</v>
      </c>
      <c r="AT10" s="36">
        <v>2242.3897368602493</v>
      </c>
      <c r="AU10" s="851">
        <f t="shared" si="7"/>
        <v>0.21249788367031461</v>
      </c>
      <c r="AX10" s="35">
        <f t="shared" si="8"/>
        <v>6</v>
      </c>
      <c r="AY10" s="36">
        <v>7.27</v>
      </c>
      <c r="AZ10" s="358">
        <v>2760</v>
      </c>
      <c r="BA10" s="36">
        <f t="shared" si="2"/>
        <v>2570.1587301587301</v>
      </c>
      <c r="BB10" s="36"/>
      <c r="BC10" s="851">
        <f t="shared" si="9"/>
        <v>0.64667291471415178</v>
      </c>
      <c r="BD10" s="791">
        <f t="shared" ref="BD10:BD34" si="10">BA10/$BA$9</f>
        <v>0.96033402922755728</v>
      </c>
    </row>
    <row r="11" spans="1:56" ht="15.75" x14ac:dyDescent="0.25">
      <c r="A11" s="223" t="s">
        <v>600</v>
      </c>
      <c r="C11" s="155" t="s">
        <v>1166</v>
      </c>
      <c r="D11" s="859">
        <f>D9*(0.9936*(D10/5)^-0.046)</f>
        <v>2354.9341051209672</v>
      </c>
      <c r="G11" s="95"/>
      <c r="U11" s="49"/>
      <c r="V11" s="791"/>
      <c r="X11" s="49"/>
      <c r="Y11" s="791"/>
      <c r="AB11" s="852">
        <f t="shared" ref="AB11:AB28" si="11">AB10+5</f>
        <v>15</v>
      </c>
      <c r="AC11" s="36">
        <v>18.21</v>
      </c>
      <c r="AD11" s="36">
        <v>2472</v>
      </c>
      <c r="AE11" s="36">
        <v>37075</v>
      </c>
      <c r="AF11" s="850">
        <f t="shared" si="0"/>
        <v>0.87752928647497341</v>
      </c>
      <c r="AG11" s="36"/>
      <c r="AH11" s="37"/>
      <c r="AJ11" s="852">
        <f t="shared" ref="AJ11:AJ28" si="12">AJ10+5</f>
        <v>15</v>
      </c>
      <c r="AK11" s="36">
        <v>2472</v>
      </c>
      <c r="AL11" s="36">
        <f t="shared" si="3"/>
        <v>2301.968253968254</v>
      </c>
      <c r="AM11" s="36">
        <f>G49</f>
        <v>2326.3731296064343</v>
      </c>
      <c r="AN11" s="851">
        <f t="shared" si="4"/>
        <v>1.060174291982955E-2</v>
      </c>
      <c r="AO11">
        <f t="shared" si="5"/>
        <v>595.59795491504769</v>
      </c>
      <c r="AQ11" s="852">
        <f t="shared" ref="AQ11:AQ28" si="13">AQ10+5</f>
        <v>15</v>
      </c>
      <c r="AR11" s="36">
        <v>1965</v>
      </c>
      <c r="AS11" s="36">
        <f t="shared" si="6"/>
        <v>1829.8412698412699</v>
      </c>
      <c r="AT11" s="36">
        <v>2185.8348592670177</v>
      </c>
      <c r="AU11" s="851">
        <f t="shared" si="7"/>
        <v>0.19454889082080248</v>
      </c>
      <c r="AX11" s="35">
        <f t="shared" si="8"/>
        <v>7</v>
      </c>
      <c r="AY11" s="36">
        <v>8.48</v>
      </c>
      <c r="AZ11" s="358">
        <v>2668</v>
      </c>
      <c r="BA11" s="36">
        <f t="shared" si="2"/>
        <v>2484.4867724867727</v>
      </c>
      <c r="BB11" s="36"/>
      <c r="BC11" s="851">
        <f t="shared" si="9"/>
        <v>0.62511715089034681</v>
      </c>
      <c r="BD11" s="791">
        <f t="shared" si="10"/>
        <v>0.92832289491997211</v>
      </c>
    </row>
    <row r="12" spans="1:56" ht="15.75" thickBot="1" x14ac:dyDescent="0.3">
      <c r="A12" s="845"/>
      <c r="C12" s="149" t="s">
        <v>1056</v>
      </c>
      <c r="D12" s="859">
        <f>D11*D10*1000</f>
        <v>23549341.05120967</v>
      </c>
      <c r="G12" s="787"/>
      <c r="U12" s="49"/>
      <c r="V12" s="791"/>
      <c r="X12" s="49"/>
      <c r="Y12" s="791"/>
      <c r="AB12" s="35">
        <f t="shared" si="11"/>
        <v>20</v>
      </c>
      <c r="AC12" s="36">
        <v>24.29</v>
      </c>
      <c r="AD12" s="36">
        <v>2450</v>
      </c>
      <c r="AE12" s="36">
        <v>49007</v>
      </c>
      <c r="AF12" s="850">
        <f t="shared" si="0"/>
        <v>0.8697195598154065</v>
      </c>
      <c r="AG12" s="36"/>
      <c r="AH12" s="37"/>
      <c r="AJ12" s="35">
        <f t="shared" si="12"/>
        <v>20</v>
      </c>
      <c r="AK12" s="36">
        <v>2450</v>
      </c>
      <c r="AL12" s="36">
        <f t="shared" si="3"/>
        <v>2281.4814814814818</v>
      </c>
      <c r="AM12" s="36">
        <f>G54</f>
        <v>2295.7901650543654</v>
      </c>
      <c r="AN12" s="851">
        <f t="shared" si="4"/>
        <v>6.2716632543483473E-3</v>
      </c>
      <c r="AO12">
        <f t="shared" si="5"/>
        <v>204.73842558891008</v>
      </c>
      <c r="AQ12" s="35">
        <f t="shared" si="13"/>
        <v>20</v>
      </c>
      <c r="AR12" s="36">
        <v>1950</v>
      </c>
      <c r="AS12" s="36">
        <f t="shared" si="6"/>
        <v>1815.8730158730159</v>
      </c>
      <c r="AT12" s="36">
        <v>2146.5756932463805</v>
      </c>
      <c r="AU12" s="851">
        <f t="shared" si="7"/>
        <v>0.18211773316889834</v>
      </c>
      <c r="AX12" s="35">
        <f t="shared" si="8"/>
        <v>8</v>
      </c>
      <c r="AY12" s="36">
        <v>9.69</v>
      </c>
      <c r="AZ12" s="358">
        <v>2593</v>
      </c>
      <c r="BA12" s="36">
        <f t="shared" si="2"/>
        <v>2414.6455026455028</v>
      </c>
      <c r="BB12" s="36"/>
      <c r="BC12" s="851">
        <f t="shared" si="9"/>
        <v>0.60754451733833181</v>
      </c>
      <c r="BD12" s="791">
        <f t="shared" si="10"/>
        <v>0.90222686151704934</v>
      </c>
    </row>
    <row r="13" spans="1:56" x14ac:dyDescent="0.25">
      <c r="A13" s="845"/>
      <c r="U13" s="49"/>
      <c r="V13" s="791"/>
      <c r="X13" s="49"/>
      <c r="Y13" s="791"/>
      <c r="AB13" s="35">
        <f t="shared" si="11"/>
        <v>25</v>
      </c>
      <c r="AC13" s="36">
        <v>30.36</v>
      </c>
      <c r="AD13" s="36">
        <v>2435</v>
      </c>
      <c r="AE13" s="36">
        <v>60684</v>
      </c>
      <c r="AF13" s="850">
        <f t="shared" si="0"/>
        <v>0.86439474618388357</v>
      </c>
      <c r="AG13" s="36"/>
      <c r="AH13" s="37"/>
      <c r="AJ13" s="35">
        <f t="shared" si="12"/>
        <v>25</v>
      </c>
      <c r="AK13" s="36">
        <v>2435</v>
      </c>
      <c r="AL13" s="36">
        <f t="shared" si="3"/>
        <v>2267.5132275132278</v>
      </c>
      <c r="AM13" s="36">
        <f>G59</f>
        <v>2272.3453214708015</v>
      </c>
      <c r="AN13" s="851">
        <f t="shared" si="4"/>
        <v>2.1310102622303546E-3</v>
      </c>
      <c r="AO13">
        <f t="shared" si="5"/>
        <v>23.349132014820853</v>
      </c>
      <c r="AQ13" s="35">
        <f t="shared" si="13"/>
        <v>25</v>
      </c>
      <c r="AR13" s="36">
        <v>1939</v>
      </c>
      <c r="AS13" s="36">
        <f t="shared" si="6"/>
        <v>1805.6296296296298</v>
      </c>
      <c r="AT13" s="36">
        <v>2116.61016016446</v>
      </c>
      <c r="AU13" s="851">
        <f t="shared" si="7"/>
        <v>0.1722283049811375</v>
      </c>
      <c r="AX13" s="35">
        <f t="shared" si="8"/>
        <v>9</v>
      </c>
      <c r="AY13" s="36">
        <v>10.9</v>
      </c>
      <c r="AZ13" s="358">
        <v>2568</v>
      </c>
      <c r="BA13" s="36">
        <f t="shared" si="2"/>
        <v>2391.3650793650795</v>
      </c>
      <c r="BB13" s="36"/>
      <c r="BC13" s="851">
        <f t="shared" si="9"/>
        <v>0.60168697282099348</v>
      </c>
      <c r="BD13" s="791">
        <f t="shared" si="10"/>
        <v>0.89352818371607512</v>
      </c>
    </row>
    <row r="14" spans="1:56" x14ac:dyDescent="0.25">
      <c r="A14" s="845"/>
      <c r="U14" s="49"/>
      <c r="V14" s="791"/>
      <c r="X14" s="49"/>
      <c r="Y14" s="791"/>
      <c r="AB14" s="35">
        <f t="shared" si="11"/>
        <v>30</v>
      </c>
      <c r="AC14" s="36">
        <v>36.43</v>
      </c>
      <c r="AD14" s="36">
        <v>2422</v>
      </c>
      <c r="AE14" s="36">
        <v>72611</v>
      </c>
      <c r="AF14" s="850">
        <f t="shared" si="0"/>
        <v>0.85977990770323043</v>
      </c>
      <c r="AG14" s="36"/>
      <c r="AH14" s="37"/>
      <c r="AJ14" s="35">
        <f t="shared" si="12"/>
        <v>30</v>
      </c>
      <c r="AK14" s="36">
        <v>2422</v>
      </c>
      <c r="AL14" s="36">
        <f t="shared" si="3"/>
        <v>2255.4074074074074</v>
      </c>
      <c r="AM14" s="36">
        <f>G64</f>
        <v>2253.367328264867</v>
      </c>
      <c r="AN14" s="851">
        <f t="shared" si="4"/>
        <v>-9.0452799606857172E-4</v>
      </c>
      <c r="AO14">
        <f t="shared" si="5"/>
        <v>4.161922907828516</v>
      </c>
      <c r="AQ14" s="35">
        <f t="shared" si="13"/>
        <v>30</v>
      </c>
      <c r="AR14" s="36">
        <v>1931</v>
      </c>
      <c r="AS14" s="36">
        <f t="shared" si="6"/>
        <v>1798.1798941798943</v>
      </c>
      <c r="AT14" s="36">
        <v>2092.4373231046507</v>
      </c>
      <c r="AU14" s="851">
        <f t="shared" si="7"/>
        <v>0.16364181908449152</v>
      </c>
      <c r="AX14" s="35">
        <f t="shared" si="8"/>
        <v>10</v>
      </c>
      <c r="AY14" s="36">
        <v>12.11</v>
      </c>
      <c r="AZ14" s="358">
        <v>2559</v>
      </c>
      <c r="BA14" s="36">
        <f t="shared" si="2"/>
        <v>2382.9841269841272</v>
      </c>
      <c r="BB14" s="36"/>
      <c r="BC14" s="851">
        <f t="shared" si="9"/>
        <v>0.59957825679475174</v>
      </c>
      <c r="BD14" s="791">
        <f t="shared" si="10"/>
        <v>0.89039665970772441</v>
      </c>
    </row>
    <row r="15" spans="1:56" ht="15" customHeight="1" x14ac:dyDescent="0.25">
      <c r="A15" s="845"/>
      <c r="C15" s="1278" t="s">
        <v>1057</v>
      </c>
      <c r="D15" s="1278"/>
      <c r="U15" s="49"/>
      <c r="V15" s="791"/>
      <c r="X15" s="49"/>
      <c r="Y15" s="791"/>
      <c r="AB15" s="35">
        <f>AB14+5</f>
        <v>35</v>
      </c>
      <c r="AC15" s="36">
        <v>42.5</v>
      </c>
      <c r="AD15" s="36">
        <v>2412</v>
      </c>
      <c r="AE15" s="36">
        <v>84411</v>
      </c>
      <c r="AF15" s="850">
        <f t="shared" si="0"/>
        <v>0.85623003194888181</v>
      </c>
      <c r="AG15" s="36"/>
      <c r="AH15" s="37"/>
      <c r="AJ15" s="35">
        <f>AJ14+5</f>
        <v>35</v>
      </c>
      <c r="AK15" s="36">
        <v>2412</v>
      </c>
      <c r="AL15" s="36">
        <f t="shared" si="3"/>
        <v>2246.0952380952381</v>
      </c>
      <c r="AM15" s="36">
        <f>G69</f>
        <v>2237.4453728698309</v>
      </c>
      <c r="AN15" s="851">
        <f t="shared" si="4"/>
        <v>-3.8510678793578579E-3</v>
      </c>
      <c r="AO15">
        <f t="shared" si="5"/>
        <v>74.820168417708942</v>
      </c>
      <c r="AQ15" s="35">
        <f>AQ14+5</f>
        <v>35</v>
      </c>
      <c r="AR15" s="36">
        <v>1923</v>
      </c>
      <c r="AS15" s="36">
        <f t="shared" si="6"/>
        <v>1790.7301587301588</v>
      </c>
      <c r="AT15" s="36">
        <v>2072.2149865199831</v>
      </c>
      <c r="AU15" s="851">
        <f t="shared" si="7"/>
        <v>0.15718997438979337</v>
      </c>
      <c r="AX15" s="35">
        <f t="shared" si="8"/>
        <v>11</v>
      </c>
      <c r="AY15" s="36">
        <v>13.32</v>
      </c>
      <c r="AZ15" s="358">
        <v>2551</v>
      </c>
      <c r="BA15" s="36">
        <f t="shared" si="2"/>
        <v>2375.5343915343915</v>
      </c>
      <c r="BB15" s="36"/>
      <c r="BC15" s="851">
        <f t="shared" si="9"/>
        <v>0.59770384254920339</v>
      </c>
      <c r="BD15" s="791">
        <f t="shared" si="10"/>
        <v>0.88761308281141249</v>
      </c>
    </row>
    <row r="16" spans="1:56" x14ac:dyDescent="0.25">
      <c r="A16" s="845"/>
      <c r="C16" s="1278"/>
      <c r="D16" s="1278"/>
      <c r="U16" s="49"/>
      <c r="V16" s="791"/>
      <c r="X16" s="49"/>
      <c r="Y16" s="791"/>
      <c r="AB16" s="35">
        <f t="shared" si="11"/>
        <v>40</v>
      </c>
      <c r="AC16" s="36">
        <v>48.57</v>
      </c>
      <c r="AD16" s="36">
        <v>2403</v>
      </c>
      <c r="AE16" s="36">
        <v>96121</v>
      </c>
      <c r="AF16" s="850">
        <f t="shared" si="0"/>
        <v>0.85303514376996803</v>
      </c>
      <c r="AG16" s="36"/>
      <c r="AH16" s="37"/>
      <c r="AJ16" s="35">
        <f t="shared" si="12"/>
        <v>40</v>
      </c>
      <c r="AK16" s="36">
        <v>2403</v>
      </c>
      <c r="AL16" s="36">
        <f t="shared" si="3"/>
        <v>2237.7142857142858</v>
      </c>
      <c r="AM16" s="36">
        <f>G74</f>
        <v>2223.7441125192595</v>
      </c>
      <c r="AN16" s="851">
        <f t="shared" si="4"/>
        <v>-6.2430549262757935E-3</v>
      </c>
      <c r="AO16">
        <f t="shared" si="5"/>
        <v>195.1657390990311</v>
      </c>
      <c r="AQ16" s="35">
        <f t="shared" si="13"/>
        <v>40</v>
      </c>
      <c r="AR16" s="36">
        <v>1917</v>
      </c>
      <c r="AS16" s="36">
        <f t="shared" si="6"/>
        <v>1785.1428571428573</v>
      </c>
      <c r="AT16" s="36">
        <v>2054.8556440005441</v>
      </c>
      <c r="AU16" s="851">
        <f t="shared" si="7"/>
        <v>0.15108750864307036</v>
      </c>
      <c r="AX16" s="35">
        <f t="shared" si="8"/>
        <v>12</v>
      </c>
      <c r="AY16" s="36">
        <v>14.53</v>
      </c>
      <c r="AZ16" s="358">
        <v>2544</v>
      </c>
      <c r="BA16" s="36">
        <f t="shared" si="2"/>
        <v>2369.0158730158732</v>
      </c>
      <c r="BB16" s="36"/>
      <c r="BC16" s="851">
        <f t="shared" si="9"/>
        <v>0.59606373008434865</v>
      </c>
      <c r="BD16" s="791">
        <f t="shared" si="10"/>
        <v>0.88517745302713979</v>
      </c>
    </row>
    <row r="17" spans="1:56" x14ac:dyDescent="0.25">
      <c r="A17" s="845"/>
      <c r="C17" s="1278"/>
      <c r="D17" s="1278"/>
      <c r="U17" s="49"/>
      <c r="V17" s="791"/>
      <c r="X17" s="49"/>
      <c r="Y17" s="791"/>
      <c r="AB17" s="35">
        <f>AB16+5</f>
        <v>45</v>
      </c>
      <c r="AC17" s="36">
        <v>54.64</v>
      </c>
      <c r="AD17" s="36">
        <v>2395</v>
      </c>
      <c r="AE17" s="36">
        <v>107797</v>
      </c>
      <c r="AF17" s="850">
        <f t="shared" si="0"/>
        <v>0.8501952431664892</v>
      </c>
      <c r="AG17" s="36"/>
      <c r="AH17" s="37"/>
      <c r="AJ17" s="35">
        <f>AJ16+5</f>
        <v>45</v>
      </c>
      <c r="AK17" s="36">
        <v>2395</v>
      </c>
      <c r="AL17" s="36">
        <f t="shared" si="3"/>
        <v>2230.2645502645505</v>
      </c>
      <c r="AM17" s="36">
        <f>G79</f>
        <v>2211.7284033104588</v>
      </c>
      <c r="AN17" s="851">
        <f t="shared" si="4"/>
        <v>-8.311187545842022E-3</v>
      </c>
      <c r="AO17">
        <f t="shared" si="5"/>
        <v>343.58874390368271</v>
      </c>
      <c r="AQ17" s="35">
        <f>AQ16+5</f>
        <v>45</v>
      </c>
      <c r="AR17" s="36">
        <v>1912</v>
      </c>
      <c r="AS17" s="36">
        <f t="shared" si="6"/>
        <v>1780.4867724867727</v>
      </c>
      <c r="AT17" s="36">
        <v>2039.6643663190976</v>
      </c>
      <c r="AU17" s="851">
        <f t="shared" si="7"/>
        <v>0.14556558231001984</v>
      </c>
      <c r="AX17" s="35">
        <f t="shared" si="8"/>
        <v>13</v>
      </c>
      <c r="AY17" s="36">
        <v>15.74</v>
      </c>
      <c r="AZ17" s="358">
        <v>2538</v>
      </c>
      <c r="BA17" s="36">
        <f t="shared" si="2"/>
        <v>2363.4285714285716</v>
      </c>
      <c r="BB17" s="36"/>
      <c r="BC17" s="851">
        <f t="shared" si="9"/>
        <v>0.59465791940018742</v>
      </c>
      <c r="BD17" s="791">
        <f t="shared" si="10"/>
        <v>0.88308977035490599</v>
      </c>
    </row>
    <row r="18" spans="1:56" x14ac:dyDescent="0.25">
      <c r="A18" s="845"/>
      <c r="C18" s="1278"/>
      <c r="D18" s="1278"/>
      <c r="U18" s="49"/>
      <c r="V18" s="791"/>
      <c r="X18" s="49"/>
      <c r="Y18" s="791"/>
      <c r="AB18" s="35">
        <f t="shared" si="11"/>
        <v>50</v>
      </c>
      <c r="AC18" s="36">
        <v>60.71</v>
      </c>
      <c r="AD18" s="36">
        <v>2389</v>
      </c>
      <c r="AE18" s="36">
        <v>119443</v>
      </c>
      <c r="AF18" s="850">
        <f t="shared" si="0"/>
        <v>0.84806531771388005</v>
      </c>
      <c r="AG18" s="36"/>
      <c r="AH18" s="37"/>
      <c r="AJ18" s="35">
        <f t="shared" si="12"/>
        <v>50</v>
      </c>
      <c r="AK18" s="36">
        <v>2389</v>
      </c>
      <c r="AL18" s="36">
        <f t="shared" si="3"/>
        <v>2224.6772486772488</v>
      </c>
      <c r="AM18" s="853">
        <f>G84</f>
        <v>2201.0350105806469</v>
      </c>
      <c r="AN18" s="851">
        <f t="shared" si="4"/>
        <v>-1.062726654424102E-2</v>
      </c>
      <c r="AO18">
        <f t="shared" si="5"/>
        <v>558.95542221641358</v>
      </c>
      <c r="AQ18" s="35">
        <f t="shared" si="13"/>
        <v>50</v>
      </c>
      <c r="AR18" s="36">
        <v>1907</v>
      </c>
      <c r="AS18" s="36">
        <f t="shared" si="6"/>
        <v>1775.830687830688</v>
      </c>
      <c r="AT18" s="853">
        <v>2026.1704944516148</v>
      </c>
      <c r="AU18" s="851">
        <f t="shared" si="7"/>
        <v>0.14097053752727737</v>
      </c>
      <c r="AX18" s="35">
        <f t="shared" si="8"/>
        <v>14</v>
      </c>
      <c r="AY18" s="36">
        <v>16.95</v>
      </c>
      <c r="AZ18" s="358">
        <v>2532</v>
      </c>
      <c r="BA18" s="36">
        <f t="shared" si="2"/>
        <v>2357.8412698412699</v>
      </c>
      <c r="BB18" s="853"/>
      <c r="BC18" s="851">
        <f t="shared" si="9"/>
        <v>0.59325210871602629</v>
      </c>
      <c r="BD18" s="791">
        <f t="shared" si="10"/>
        <v>0.88100208768267207</v>
      </c>
    </row>
    <row r="19" spans="1:56" x14ac:dyDescent="0.25">
      <c r="A19" s="845"/>
      <c r="U19" s="49"/>
      <c r="V19" s="791"/>
      <c r="X19" s="49"/>
      <c r="Y19" s="791"/>
      <c r="AB19" s="35">
        <f t="shared" si="11"/>
        <v>55</v>
      </c>
      <c r="AC19" s="36">
        <v>66.78</v>
      </c>
      <c r="AD19" s="36">
        <v>2383</v>
      </c>
      <c r="AE19" s="36">
        <v>131062</v>
      </c>
      <c r="AF19" s="850">
        <f t="shared" si="0"/>
        <v>0.8459353922612709</v>
      </c>
      <c r="AG19" s="36"/>
      <c r="AH19" s="37"/>
      <c r="AJ19" s="35">
        <f t="shared" si="12"/>
        <v>55</v>
      </c>
      <c r="AK19" s="36">
        <v>2383</v>
      </c>
      <c r="AL19" s="36">
        <f t="shared" si="3"/>
        <v>2219.0899470899471</v>
      </c>
      <c r="AM19" s="36">
        <f>G89</f>
        <v>2191.406205675898</v>
      </c>
      <c r="AN19" s="851">
        <f t="shared" si="4"/>
        <v>-1.2475267823349297E-2</v>
      </c>
      <c r="AO19">
        <f t="shared" si="5"/>
        <v>766.3895386799378</v>
      </c>
      <c r="AQ19" s="35">
        <f t="shared" si="13"/>
        <v>55</v>
      </c>
      <c r="AR19" s="36">
        <v>1903</v>
      </c>
      <c r="AS19" s="36">
        <f t="shared" si="6"/>
        <v>1772.1058201058202</v>
      </c>
      <c r="AT19" s="36">
        <v>2014.0407232813111</v>
      </c>
      <c r="AU19" s="851">
        <f t="shared" si="7"/>
        <v>0.13652395947835888</v>
      </c>
      <c r="AX19" s="35">
        <f t="shared" si="8"/>
        <v>15</v>
      </c>
      <c r="AY19" s="36">
        <v>18.16</v>
      </c>
      <c r="AZ19" s="358">
        <v>2527</v>
      </c>
      <c r="BA19" s="36">
        <f t="shared" si="2"/>
        <v>2353.1851851851852</v>
      </c>
      <c r="BB19" s="36"/>
      <c r="BC19" s="851">
        <f t="shared" si="9"/>
        <v>0.59208059981255856</v>
      </c>
      <c r="BD19" s="791">
        <f t="shared" si="10"/>
        <v>0.87926235212247728</v>
      </c>
    </row>
    <row r="20" spans="1:56" ht="15.75" x14ac:dyDescent="0.25">
      <c r="A20" s="223" t="s">
        <v>608</v>
      </c>
      <c r="C20" s="1279" t="s">
        <v>1167</v>
      </c>
      <c r="D20" s="1279"/>
      <c r="U20" s="49"/>
      <c r="V20" s="791"/>
      <c r="X20" s="49"/>
      <c r="Y20" s="791"/>
      <c r="AB20" s="35">
        <f t="shared" si="11"/>
        <v>60</v>
      </c>
      <c r="AC20" s="36">
        <v>72.86</v>
      </c>
      <c r="AD20" s="36">
        <v>2378</v>
      </c>
      <c r="AE20" s="36">
        <v>142658</v>
      </c>
      <c r="AF20" s="850">
        <f t="shared" si="0"/>
        <v>0.84416045438409659</v>
      </c>
      <c r="AG20" s="36"/>
      <c r="AH20" s="37"/>
      <c r="AJ20" s="35">
        <f t="shared" si="12"/>
        <v>60</v>
      </c>
      <c r="AK20" s="36">
        <v>2378</v>
      </c>
      <c r="AL20" s="36">
        <f t="shared" si="3"/>
        <v>2214.4338624338625</v>
      </c>
      <c r="AM20" s="36">
        <f>G94</f>
        <v>2182.6525811663596</v>
      </c>
      <c r="AN20" s="851">
        <f t="shared" si="4"/>
        <v>-1.4351876480326396E-2</v>
      </c>
      <c r="AO20">
        <f t="shared" si="5"/>
        <v>1010.0498390041301</v>
      </c>
      <c r="AQ20" s="35">
        <f t="shared" si="13"/>
        <v>60</v>
      </c>
      <c r="AR20" s="36">
        <v>1899</v>
      </c>
      <c r="AS20" s="36">
        <f t="shared" si="6"/>
        <v>1768.3809523809525</v>
      </c>
      <c r="AT20" s="36">
        <v>2003.0305274706541</v>
      </c>
      <c r="AU20" s="851">
        <f t="shared" si="7"/>
        <v>0.13269175670195316</v>
      </c>
      <c r="AX20" s="35">
        <f t="shared" si="8"/>
        <v>16</v>
      </c>
      <c r="AY20" s="36">
        <v>19.38</v>
      </c>
      <c r="AZ20" s="358">
        <v>2522</v>
      </c>
      <c r="BA20" s="36">
        <f t="shared" si="2"/>
        <v>2348.5291005291006</v>
      </c>
      <c r="BB20" s="36"/>
      <c r="BC20" s="851">
        <f t="shared" si="9"/>
        <v>0.59090909090909094</v>
      </c>
      <c r="BD20" s="791">
        <f t="shared" si="10"/>
        <v>0.87752261656228236</v>
      </c>
    </row>
    <row r="21" spans="1:56" x14ac:dyDescent="0.25">
      <c r="A21" s="845"/>
      <c r="C21" s="1279"/>
      <c r="D21" s="1279"/>
      <c r="U21" s="49"/>
      <c r="V21" s="791"/>
      <c r="X21" s="49"/>
      <c r="Y21" s="791"/>
      <c r="AB21" s="35">
        <f t="shared" si="11"/>
        <v>65</v>
      </c>
      <c r="AC21" s="36">
        <v>78.930000000000007</v>
      </c>
      <c r="AD21" s="36">
        <v>2373</v>
      </c>
      <c r="AE21" s="36">
        <v>154231</v>
      </c>
      <c r="AF21" s="850">
        <f t="shared" si="0"/>
        <v>0.84238551650692228</v>
      </c>
      <c r="AG21" s="36"/>
      <c r="AH21" s="37"/>
      <c r="AJ21" s="35">
        <f t="shared" si="12"/>
        <v>65</v>
      </c>
      <c r="AK21" s="36">
        <v>2373</v>
      </c>
      <c r="AL21" s="36">
        <f t="shared" si="3"/>
        <v>2209.7777777777778</v>
      </c>
      <c r="AM21" s="36">
        <f>G99</f>
        <v>2174.6309085505336</v>
      </c>
      <c r="AN21" s="851">
        <f t="shared" si="4"/>
        <v>-1.5905160048531677E-2</v>
      </c>
      <c r="AO21">
        <f t="shared" si="5"/>
        <v>1235.302416477007</v>
      </c>
      <c r="AQ21" s="35">
        <f t="shared" si="13"/>
        <v>65</v>
      </c>
      <c r="AR21" s="36">
        <v>1895</v>
      </c>
      <c r="AS21" s="36">
        <f t="shared" si="6"/>
        <v>1764.6560846560847</v>
      </c>
      <c r="AT21" s="36">
        <v>1992.9552887970751</v>
      </c>
      <c r="AU21" s="851">
        <f t="shared" si="7"/>
        <v>0.12937319975607819</v>
      </c>
      <c r="AX21" s="35">
        <f t="shared" si="8"/>
        <v>17</v>
      </c>
      <c r="AY21" s="36">
        <v>20.59</v>
      </c>
      <c r="AZ21" s="358">
        <v>2517</v>
      </c>
      <c r="BA21" s="36">
        <f t="shared" si="2"/>
        <v>2343.8730158730159</v>
      </c>
      <c r="BB21" s="36"/>
      <c r="BC21" s="851">
        <f t="shared" si="9"/>
        <v>0.58973758200562321</v>
      </c>
      <c r="BD21" s="791">
        <f t="shared" si="10"/>
        <v>0.87578288100208757</v>
      </c>
    </row>
    <row r="22" spans="1:56" x14ac:dyDescent="0.25">
      <c r="A22" s="845"/>
      <c r="C22" s="1279"/>
      <c r="D22" s="1279"/>
      <c r="U22" s="49"/>
      <c r="V22" s="791"/>
      <c r="X22" s="49"/>
      <c r="Y22" s="791"/>
      <c r="AB22" s="35">
        <f t="shared" si="11"/>
        <v>70</v>
      </c>
      <c r="AC22" s="36">
        <v>85</v>
      </c>
      <c r="AD22" s="36">
        <v>2368</v>
      </c>
      <c r="AE22" s="36">
        <v>165785</v>
      </c>
      <c r="AF22" s="850">
        <f t="shared" si="0"/>
        <v>0.84061057862974797</v>
      </c>
      <c r="AG22" s="36"/>
      <c r="AH22" s="37"/>
      <c r="AJ22" s="35">
        <f t="shared" si="12"/>
        <v>70</v>
      </c>
      <c r="AK22" s="36">
        <v>2368</v>
      </c>
      <c r="AL22" s="36">
        <f t="shared" si="3"/>
        <v>2205.1216931216932</v>
      </c>
      <c r="AM22" s="36">
        <f>G104</f>
        <v>2167.2302855626726</v>
      </c>
      <c r="AN22" s="851">
        <f t="shared" si="4"/>
        <v>-1.718336347477465E-2</v>
      </c>
      <c r="AO22">
        <f t="shared" si="5"/>
        <v>1435.7587668037986</v>
      </c>
      <c r="AQ22" s="35">
        <f t="shared" si="13"/>
        <v>70</v>
      </c>
      <c r="AR22" s="36">
        <v>1892</v>
      </c>
      <c r="AS22" s="36">
        <f t="shared" si="6"/>
        <v>1761.862433862434</v>
      </c>
      <c r="AT22" s="36">
        <v>1983.6722618401338</v>
      </c>
      <c r="AU22" s="851">
        <f t="shared" si="7"/>
        <v>0.12589508903452712</v>
      </c>
      <c r="AX22" s="35">
        <f t="shared" si="8"/>
        <v>18</v>
      </c>
      <c r="AY22" s="36">
        <v>21.8</v>
      </c>
      <c r="AZ22" s="358">
        <v>2513</v>
      </c>
      <c r="BA22" s="36">
        <f t="shared" si="2"/>
        <v>2340.1481481481483</v>
      </c>
      <c r="BB22" s="36"/>
      <c r="BC22" s="851">
        <f t="shared" si="9"/>
        <v>0.58880037488284909</v>
      </c>
      <c r="BD22" s="791">
        <f t="shared" si="10"/>
        <v>0.87439109255393177</v>
      </c>
    </row>
    <row r="23" spans="1:56" x14ac:dyDescent="0.25">
      <c r="A23" s="845"/>
      <c r="C23" s="1279"/>
      <c r="D23" s="1279"/>
      <c r="U23" s="49"/>
      <c r="V23" s="791"/>
      <c r="X23" s="49"/>
      <c r="Y23" s="791"/>
      <c r="AB23" s="35">
        <f t="shared" si="11"/>
        <v>75</v>
      </c>
      <c r="AC23" s="36">
        <v>91.07</v>
      </c>
      <c r="AD23" s="36">
        <v>2364</v>
      </c>
      <c r="AE23" s="36">
        <v>177320</v>
      </c>
      <c r="AF23" s="850">
        <f t="shared" si="0"/>
        <v>0.8391906283280085</v>
      </c>
      <c r="AG23" s="36"/>
      <c r="AH23" s="37"/>
      <c r="AJ23" s="35">
        <f t="shared" si="12"/>
        <v>75</v>
      </c>
      <c r="AK23" s="36">
        <v>2364</v>
      </c>
      <c r="AL23" s="36">
        <f t="shared" si="3"/>
        <v>2201.3968253968255</v>
      </c>
      <c r="AM23" s="36">
        <f>G109</f>
        <v>2160.3631101416872</v>
      </c>
      <c r="AN23" s="851">
        <f t="shared" si="4"/>
        <v>-1.8639853924447055E-2</v>
      </c>
      <c r="AO23">
        <f t="shared" si="5"/>
        <v>1683.76578763977</v>
      </c>
      <c r="AQ23" s="35">
        <f t="shared" si="13"/>
        <v>75</v>
      </c>
      <c r="AR23" s="36">
        <v>1889</v>
      </c>
      <c r="AS23" s="36">
        <f t="shared" si="6"/>
        <v>1759.0687830687832</v>
      </c>
      <c r="AT23" s="36">
        <v>1975.0688405271835</v>
      </c>
      <c r="AU23" s="851">
        <f t="shared" si="7"/>
        <v>0.12279227483167397</v>
      </c>
      <c r="AX23" s="35">
        <f t="shared" si="8"/>
        <v>19</v>
      </c>
      <c r="AY23" s="36">
        <v>23.01</v>
      </c>
      <c r="AZ23" s="358">
        <v>2509</v>
      </c>
      <c r="BA23" s="36">
        <f t="shared" si="2"/>
        <v>2336.4232804232806</v>
      </c>
      <c r="BB23" s="36"/>
      <c r="BC23" s="851">
        <f t="shared" si="9"/>
        <v>0.58786316776007497</v>
      </c>
      <c r="BD23" s="791">
        <f t="shared" si="10"/>
        <v>0.87299930410577586</v>
      </c>
    </row>
    <row r="24" spans="1:56" x14ac:dyDescent="0.25">
      <c r="A24" s="845"/>
      <c r="C24" s="1279"/>
      <c r="D24" s="1279"/>
      <c r="AB24" s="35">
        <f t="shared" si="11"/>
        <v>80</v>
      </c>
      <c r="AC24" s="36">
        <v>97.14</v>
      </c>
      <c r="AD24" s="36">
        <v>2360</v>
      </c>
      <c r="AE24" s="36">
        <v>188839</v>
      </c>
      <c r="AF24" s="850">
        <f t="shared" si="0"/>
        <v>0.83777067802626903</v>
      </c>
      <c r="AG24" s="36"/>
      <c r="AH24" s="37"/>
      <c r="AJ24" s="35">
        <f t="shared" si="12"/>
        <v>80</v>
      </c>
      <c r="AK24" s="36">
        <v>2360</v>
      </c>
      <c r="AL24" s="36">
        <f t="shared" si="3"/>
        <v>2197.6719576719579</v>
      </c>
      <c r="AM24" s="36">
        <f>G114</f>
        <v>2153.9589955717802</v>
      </c>
      <c r="AN24" s="851">
        <f t="shared" si="4"/>
        <v>-1.9890576456407908E-2</v>
      </c>
      <c r="AO24">
        <f t="shared" si="5"/>
        <v>1910.8230555715736</v>
      </c>
      <c r="AQ24" s="35">
        <f t="shared" si="13"/>
        <v>80</v>
      </c>
      <c r="AR24" s="36">
        <v>1886</v>
      </c>
      <c r="AS24" s="36">
        <f t="shared" si="6"/>
        <v>1756.2751322751324</v>
      </c>
      <c r="AT24" s="36">
        <v>1967.054658713239</v>
      </c>
      <c r="AU24" s="851">
        <f t="shared" si="7"/>
        <v>0.12001509476767251</v>
      </c>
      <c r="AX24" s="35">
        <f t="shared" si="8"/>
        <v>20</v>
      </c>
      <c r="AY24" s="36">
        <v>24.22</v>
      </c>
      <c r="AZ24" s="358">
        <v>2505</v>
      </c>
      <c r="BA24" s="36">
        <f t="shared" si="2"/>
        <v>2332.698412698413</v>
      </c>
      <c r="BB24" s="36"/>
      <c r="BC24" s="851">
        <f t="shared" si="9"/>
        <v>0.58692596063730096</v>
      </c>
      <c r="BD24" s="791">
        <f t="shared" si="10"/>
        <v>0.87160751565762007</v>
      </c>
    </row>
    <row r="25" spans="1:56" x14ac:dyDescent="0.25">
      <c r="A25" s="845"/>
      <c r="C25" s="1279"/>
      <c r="D25" s="1279"/>
      <c r="AB25" s="35">
        <f t="shared" si="11"/>
        <v>85</v>
      </c>
      <c r="AC25" s="36">
        <v>103.21</v>
      </c>
      <c r="AD25" s="36">
        <v>2357</v>
      </c>
      <c r="AE25" s="36">
        <v>200342</v>
      </c>
      <c r="AF25" s="850">
        <f t="shared" si="0"/>
        <v>0.83670571529996451</v>
      </c>
      <c r="AG25" s="36"/>
      <c r="AH25" s="37"/>
      <c r="AJ25" s="35">
        <f t="shared" si="12"/>
        <v>85</v>
      </c>
      <c r="AK25" s="36">
        <v>2357</v>
      </c>
      <c r="AL25" s="36">
        <f t="shared" si="3"/>
        <v>2194.8783068783068</v>
      </c>
      <c r="AM25" s="36">
        <f>G119</f>
        <v>2147.9605478150293</v>
      </c>
      <c r="AN25" s="851">
        <f t="shared" si="4"/>
        <v>-2.1376018395300896E-2</v>
      </c>
      <c r="AO25">
        <f t="shared" si="5"/>
        <v>2201.2761155197645</v>
      </c>
      <c r="AQ25" s="35">
        <f t="shared" si="13"/>
        <v>85</v>
      </c>
      <c r="AR25" s="36">
        <v>1884</v>
      </c>
      <c r="AS25" s="36">
        <f t="shared" si="6"/>
        <v>1754.4126984126985</v>
      </c>
      <c r="AT25" s="36">
        <v>1959.556115093374</v>
      </c>
      <c r="AU25" s="851">
        <f t="shared" si="7"/>
        <v>0.11692996571803123</v>
      </c>
      <c r="AV25" s="36"/>
      <c r="AW25" s="36"/>
      <c r="AX25" s="35">
        <f t="shared" si="8"/>
        <v>21</v>
      </c>
      <c r="AY25" s="358">
        <v>25.43</v>
      </c>
      <c r="AZ25" s="358">
        <v>2502</v>
      </c>
      <c r="BA25" s="854">
        <f t="shared" si="2"/>
        <v>2329.9047619047619</v>
      </c>
      <c r="BB25" s="36"/>
      <c r="BC25" s="851">
        <f t="shared" si="9"/>
        <v>0.58622305529522023</v>
      </c>
      <c r="BD25" s="791">
        <f t="shared" si="10"/>
        <v>0.87056367432150306</v>
      </c>
    </row>
    <row r="26" spans="1:56" x14ac:dyDescent="0.25">
      <c r="A26" s="845"/>
      <c r="C26" s="1279"/>
      <c r="D26" s="1279"/>
      <c r="AB26" s="35">
        <f t="shared" si="11"/>
        <v>90</v>
      </c>
      <c r="AC26" s="36">
        <v>109.28</v>
      </c>
      <c r="AD26" s="36">
        <v>2354</v>
      </c>
      <c r="AE26" s="36">
        <v>211830</v>
      </c>
      <c r="AF26" s="850">
        <f t="shared" si="0"/>
        <v>0.83564075257365988</v>
      </c>
      <c r="AG26" s="36"/>
      <c r="AH26" s="37"/>
      <c r="AJ26" s="35">
        <f t="shared" si="12"/>
        <v>90</v>
      </c>
      <c r="AK26" s="36">
        <v>2354</v>
      </c>
      <c r="AL26" s="36">
        <f t="shared" si="3"/>
        <v>2192.0846560846562</v>
      </c>
      <c r="AM26" s="36">
        <f>G124</f>
        <v>2142.3203610756773</v>
      </c>
      <c r="AN26" s="851">
        <f t="shared" si="4"/>
        <v>-2.270181257409298E-2</v>
      </c>
      <c r="AO26">
        <f t="shared" si="5"/>
        <v>2476.4850577406855</v>
      </c>
      <c r="AQ26" s="35">
        <f t="shared" si="13"/>
        <v>90</v>
      </c>
      <c r="AR26" s="36">
        <v>1881</v>
      </c>
      <c r="AS26" s="36">
        <f t="shared" si="6"/>
        <v>1751.6190476190477</v>
      </c>
      <c r="AT26" s="36">
        <v>1952.5124821752706</v>
      </c>
      <c r="AU26" s="851">
        <f t="shared" si="7"/>
        <v>0.11469014043281539</v>
      </c>
      <c r="AV26" s="36"/>
      <c r="AW26" s="36"/>
      <c r="AX26" s="35">
        <f t="shared" si="8"/>
        <v>22</v>
      </c>
      <c r="AY26" s="358">
        <v>26.64</v>
      </c>
      <c r="AZ26" s="358">
        <v>2498</v>
      </c>
      <c r="BA26" s="854">
        <f t="shared" si="2"/>
        <v>2326.1798941798943</v>
      </c>
      <c r="BB26" s="36"/>
      <c r="BC26" s="851">
        <f t="shared" si="9"/>
        <v>0.58528584817244611</v>
      </c>
      <c r="BD26" s="791">
        <f t="shared" si="10"/>
        <v>0.86917188587334715</v>
      </c>
    </row>
    <row r="27" spans="1:56" x14ac:dyDescent="0.25">
      <c r="A27" s="845"/>
      <c r="C27" s="1279"/>
      <c r="D27" s="1279"/>
      <c r="AB27" s="35">
        <f t="shared" si="11"/>
        <v>95</v>
      </c>
      <c r="AC27" s="36">
        <v>115.36</v>
      </c>
      <c r="AD27" s="36">
        <v>2351</v>
      </c>
      <c r="AE27" s="36">
        <v>223304</v>
      </c>
      <c r="AF27" s="850">
        <f t="shared" si="0"/>
        <v>0.83457578984735536</v>
      </c>
      <c r="AG27" s="36"/>
      <c r="AH27" s="37"/>
      <c r="AJ27" s="35">
        <f t="shared" si="12"/>
        <v>95</v>
      </c>
      <c r="AK27" s="36">
        <v>2351</v>
      </c>
      <c r="AL27" s="36">
        <f t="shared" si="3"/>
        <v>2189.2910052910056</v>
      </c>
      <c r="AM27" s="36">
        <f>G129</f>
        <v>2136.9988331702461</v>
      </c>
      <c r="AN27" s="851">
        <f t="shared" si="4"/>
        <v>-2.3885436880881291E-2</v>
      </c>
      <c r="AO27">
        <f t="shared" si="5"/>
        <v>2734.4712651071331</v>
      </c>
      <c r="AQ27" s="35">
        <f t="shared" si="13"/>
        <v>95</v>
      </c>
      <c r="AR27" s="36">
        <v>1879</v>
      </c>
      <c r="AS27" s="36">
        <f t="shared" si="6"/>
        <v>1749.7566137566139</v>
      </c>
      <c r="AT27" s="36">
        <v>1945.8730800388496</v>
      </c>
      <c r="AU27" s="851">
        <f t="shared" si="7"/>
        <v>0.11208214030475151</v>
      </c>
      <c r="AV27" s="36"/>
      <c r="AW27" s="36"/>
      <c r="AX27" s="35">
        <f t="shared" si="8"/>
        <v>23</v>
      </c>
      <c r="AY27" s="358">
        <v>27.85</v>
      </c>
      <c r="AZ27" s="358">
        <v>2495</v>
      </c>
      <c r="BA27" s="854">
        <f t="shared" si="2"/>
        <v>2323.3862433862437</v>
      </c>
      <c r="BB27" s="36"/>
      <c r="BC27" s="851">
        <f t="shared" si="9"/>
        <v>0.5845829428303656</v>
      </c>
      <c r="BD27" s="791">
        <f t="shared" si="10"/>
        <v>0.86812804453723036</v>
      </c>
    </row>
    <row r="28" spans="1:56" ht="15.75" thickBot="1" x14ac:dyDescent="0.3">
      <c r="A28" s="845"/>
      <c r="AB28" s="38">
        <f t="shared" si="11"/>
        <v>100</v>
      </c>
      <c r="AC28" s="39">
        <v>121.43</v>
      </c>
      <c r="AD28" s="39">
        <v>2348</v>
      </c>
      <c r="AE28" s="39">
        <v>234766</v>
      </c>
      <c r="AF28" s="855">
        <f t="shared" si="0"/>
        <v>0.83351082712105073</v>
      </c>
      <c r="AG28" s="39"/>
      <c r="AH28" s="40"/>
      <c r="AJ28" s="38">
        <f t="shared" si="12"/>
        <v>100</v>
      </c>
      <c r="AK28" s="39">
        <v>2348</v>
      </c>
      <c r="AL28" s="39">
        <f t="shared" si="3"/>
        <v>2186.4973544973545</v>
      </c>
      <c r="AM28" s="39">
        <f>G134</f>
        <v>2131.9625463730376</v>
      </c>
      <c r="AN28" s="851">
        <f t="shared" si="4"/>
        <v>-2.4941630051436167E-2</v>
      </c>
      <c r="AO28">
        <f t="shared" si="5"/>
        <v>2974.0452971560603</v>
      </c>
      <c r="AQ28" s="38">
        <f t="shared" si="13"/>
        <v>100</v>
      </c>
      <c r="AR28" s="39">
        <v>1877</v>
      </c>
      <c r="AS28" s="39">
        <f t="shared" si="6"/>
        <v>1747.8941798941801</v>
      </c>
      <c r="AT28" s="39">
        <v>1939.5951837759849</v>
      </c>
      <c r="AU28" s="942">
        <f t="shared" si="7"/>
        <v>0.10967540603253834</v>
      </c>
      <c r="AV28" s="36"/>
      <c r="AW28" s="36"/>
      <c r="AX28" s="35">
        <f t="shared" si="8"/>
        <v>24</v>
      </c>
      <c r="AY28" s="358">
        <v>29.06</v>
      </c>
      <c r="AZ28" s="358">
        <v>2492</v>
      </c>
      <c r="BA28" s="854">
        <f t="shared" si="2"/>
        <v>2320.5925925925926</v>
      </c>
      <c r="BB28" s="36"/>
      <c r="BC28" s="851">
        <f t="shared" si="9"/>
        <v>0.58388003748828488</v>
      </c>
      <c r="BD28" s="791">
        <f t="shared" si="10"/>
        <v>0.86708420320111335</v>
      </c>
    </row>
    <row r="29" spans="1:56" ht="15.75" thickBot="1" x14ac:dyDescent="0.3">
      <c r="A29" s="845"/>
      <c r="AN29" s="791">
        <f>AVERAGE(AN5:AN28)</f>
        <v>-1.1064110698334928E-2</v>
      </c>
      <c r="AO29" s="27">
        <f>SUM(AO5:AO28)</f>
        <v>64391.528415023757</v>
      </c>
      <c r="AX29" s="35">
        <f t="shared" si="8"/>
        <v>25</v>
      </c>
      <c r="AY29" s="358">
        <v>30.27</v>
      </c>
      <c r="AZ29" s="358">
        <v>2489</v>
      </c>
      <c r="BA29" s="853">
        <f t="shared" si="2"/>
        <v>2317.798941798942</v>
      </c>
      <c r="BB29" s="36"/>
      <c r="BC29" s="851">
        <f t="shared" si="9"/>
        <v>0.58317713214620437</v>
      </c>
      <c r="BD29" s="791">
        <f t="shared" si="10"/>
        <v>0.86604036186499644</v>
      </c>
    </row>
    <row r="30" spans="1:56" x14ac:dyDescent="0.25">
      <c r="A30" s="845"/>
      <c r="AB30" s="846" t="s">
        <v>1168</v>
      </c>
      <c r="AC30" s="847"/>
      <c r="AD30" s="847"/>
      <c r="AE30" s="847"/>
      <c r="AF30" s="847"/>
      <c r="AG30" s="847"/>
      <c r="AH30" s="848"/>
      <c r="AJ30" s="1033"/>
      <c r="AK30" s="1033"/>
      <c r="AL30" s="1033"/>
      <c r="AM30" s="1033"/>
      <c r="AN30" s="1033"/>
      <c r="AO30" s="1033"/>
      <c r="AX30" s="35">
        <f t="shared" si="8"/>
        <v>26</v>
      </c>
      <c r="AY30" s="358">
        <v>31.49</v>
      </c>
      <c r="AZ30" s="358">
        <v>2486</v>
      </c>
      <c r="BA30" s="853">
        <f t="shared" si="2"/>
        <v>2315.0052910052909</v>
      </c>
      <c r="BB30" s="36"/>
      <c r="BC30" s="851">
        <f t="shared" si="9"/>
        <v>0.58247422680412364</v>
      </c>
      <c r="BD30" s="791">
        <f t="shared" si="10"/>
        <v>0.86499652052887943</v>
      </c>
    </row>
    <row r="31" spans="1:56" x14ac:dyDescent="0.25">
      <c r="A31" s="845"/>
      <c r="AB31" s="35" t="s">
        <v>529</v>
      </c>
      <c r="AC31" s="36" t="s">
        <v>530</v>
      </c>
      <c r="AD31" s="36" t="s">
        <v>1158</v>
      </c>
      <c r="AE31" s="36" t="s">
        <v>507</v>
      </c>
      <c r="AF31" s="36" t="s">
        <v>1159</v>
      </c>
      <c r="AG31" s="36" t="s">
        <v>43</v>
      </c>
      <c r="AH31" s="37"/>
      <c r="AJ31" s="1033"/>
      <c r="AK31" s="1033"/>
      <c r="AL31" s="1033"/>
      <c r="AM31" s="1033"/>
      <c r="AN31" s="1033"/>
      <c r="AO31" s="1033"/>
      <c r="AX31" s="35">
        <f t="shared" si="8"/>
        <v>27</v>
      </c>
      <c r="AY31" s="358">
        <v>32.700000000000003</v>
      </c>
      <c r="AZ31" s="358">
        <v>2484</v>
      </c>
      <c r="BA31" s="853">
        <f t="shared" si="2"/>
        <v>2313.1428571428573</v>
      </c>
      <c r="BB31" s="36"/>
      <c r="BC31" s="851">
        <f t="shared" si="9"/>
        <v>0.58200562324273664</v>
      </c>
      <c r="BD31" s="791">
        <f t="shared" si="10"/>
        <v>0.86430062630480164</v>
      </c>
    </row>
    <row r="32" spans="1:56" x14ac:dyDescent="0.25">
      <c r="A32" s="845"/>
      <c r="AB32" s="35">
        <v>5</v>
      </c>
      <c r="AC32" s="36">
        <v>5.79</v>
      </c>
      <c r="AD32" s="36">
        <v>2324</v>
      </c>
      <c r="AE32" s="36">
        <v>11622</v>
      </c>
      <c r="AF32" s="850">
        <f t="shared" ref="AF32:AF55" si="14">AD32/$AD$32</f>
        <v>1</v>
      </c>
      <c r="AG32" s="36">
        <v>14.817</v>
      </c>
      <c r="AH32" s="37"/>
      <c r="AJ32" s="1033"/>
      <c r="AK32" s="1033"/>
      <c r="AL32" s="1033"/>
      <c r="AM32" s="1033"/>
      <c r="AN32" s="1033"/>
      <c r="AO32" s="1033"/>
      <c r="AX32" s="35">
        <f t="shared" si="8"/>
        <v>28</v>
      </c>
      <c r="AY32" s="358">
        <v>33.909999999999997</v>
      </c>
      <c r="AZ32" s="358">
        <v>2481</v>
      </c>
      <c r="BA32" s="853">
        <f t="shared" si="2"/>
        <v>2310.3492063492063</v>
      </c>
      <c r="BB32" s="36"/>
      <c r="BC32" s="851">
        <f t="shared" si="9"/>
        <v>0.58130271790065602</v>
      </c>
      <c r="BD32" s="791">
        <f t="shared" si="10"/>
        <v>0.86325678496868463</v>
      </c>
    </row>
    <row r="33" spans="1:56" x14ac:dyDescent="0.25">
      <c r="A33" s="845"/>
      <c r="B33" s="938"/>
      <c r="C33" s="938"/>
      <c r="D33" s="938"/>
      <c r="E33" s="938"/>
      <c r="F33" s="938"/>
      <c r="G33" s="938"/>
      <c r="AB33" s="35">
        <v>6</v>
      </c>
      <c r="AC33" s="36">
        <v>6.94</v>
      </c>
      <c r="AD33" s="36">
        <v>2207</v>
      </c>
      <c r="AE33" s="36">
        <v>13240</v>
      </c>
      <c r="AF33" s="850">
        <f t="shared" si="14"/>
        <v>0.94965576592082612</v>
      </c>
      <c r="AG33" s="36"/>
      <c r="AH33" s="37"/>
      <c r="AJ33" s="1033"/>
      <c r="AK33" s="1033"/>
      <c r="AL33" s="1033"/>
      <c r="AM33" s="1033"/>
      <c r="AN33" s="1033"/>
      <c r="AO33" s="1033"/>
      <c r="AX33" s="35">
        <f t="shared" si="8"/>
        <v>29</v>
      </c>
      <c r="AY33" s="358">
        <v>35.119999999999997</v>
      </c>
      <c r="AZ33" s="358">
        <v>2479</v>
      </c>
      <c r="BA33" s="853">
        <f t="shared" si="2"/>
        <v>2308.4867724867727</v>
      </c>
      <c r="BB33" s="36"/>
      <c r="BC33" s="851">
        <f t="shared" si="9"/>
        <v>0.58083411433926901</v>
      </c>
      <c r="BD33" s="791">
        <f t="shared" si="10"/>
        <v>0.86256089074460673</v>
      </c>
    </row>
    <row r="34" spans="1:56" x14ac:dyDescent="0.25">
      <c r="A34" s="845"/>
      <c r="B34" s="938"/>
      <c r="C34" t="s">
        <v>1169</v>
      </c>
      <c r="D34" s="54">
        <v>0.99360000000000004</v>
      </c>
      <c r="AB34" s="35">
        <v>7</v>
      </c>
      <c r="AC34" s="36">
        <v>8.1</v>
      </c>
      <c r="AD34" s="36">
        <v>2113</v>
      </c>
      <c r="AE34" s="36">
        <v>14792</v>
      </c>
      <c r="AF34" s="850">
        <f t="shared" si="14"/>
        <v>0.90920826161790014</v>
      </c>
      <c r="AG34" s="36"/>
      <c r="AH34" s="37"/>
      <c r="AJ34" s="1033"/>
      <c r="AK34" s="1033"/>
      <c r="AL34" s="1033"/>
      <c r="AM34" s="1033"/>
      <c r="AN34" s="1033"/>
      <c r="AO34" s="1033"/>
      <c r="AX34" s="35">
        <f t="shared" si="8"/>
        <v>30</v>
      </c>
      <c r="AY34" s="358">
        <v>36.33</v>
      </c>
      <c r="AZ34" s="358">
        <v>2476</v>
      </c>
      <c r="BA34" s="853">
        <f t="shared" si="2"/>
        <v>2305.6931216931221</v>
      </c>
      <c r="BB34" s="36"/>
      <c r="BC34" s="851">
        <f t="shared" si="9"/>
        <v>0.58013120899718851</v>
      </c>
      <c r="BD34" s="791">
        <f t="shared" si="10"/>
        <v>0.86151704940848994</v>
      </c>
    </row>
    <row r="35" spans="1:56" x14ac:dyDescent="0.25">
      <c r="A35" s="845"/>
      <c r="B35" s="938"/>
      <c r="C35" t="s">
        <v>1170</v>
      </c>
      <c r="D35" s="54">
        <v>4.5999999999999999E-2</v>
      </c>
      <c r="AB35" s="35">
        <v>8</v>
      </c>
      <c r="AC35" s="36">
        <v>9.26</v>
      </c>
      <c r="AD35" s="36">
        <v>2036</v>
      </c>
      <c r="AE35" s="36">
        <v>16289</v>
      </c>
      <c r="AF35" s="850">
        <f t="shared" si="14"/>
        <v>0.87607573149741824</v>
      </c>
      <c r="AG35" s="36"/>
      <c r="AH35" s="37"/>
      <c r="AJ35" s="1033"/>
      <c r="AK35" s="1033"/>
      <c r="AL35" s="1033"/>
      <c r="AM35" s="1033"/>
      <c r="AN35" s="1033"/>
      <c r="AO35" s="1033"/>
      <c r="AX35" s="35">
        <f t="shared" si="8"/>
        <v>31</v>
      </c>
      <c r="AY35" s="36"/>
      <c r="AZ35" s="36"/>
      <c r="BA35" s="853"/>
      <c r="BB35" s="36"/>
      <c r="BC35" s="851"/>
      <c r="BD35" s="791"/>
    </row>
    <row r="36" spans="1:56" ht="15.75" thickBot="1" x14ac:dyDescent="0.3">
      <c r="A36" s="845"/>
      <c r="B36" s="938"/>
      <c r="C36" t="s">
        <v>1171</v>
      </c>
      <c r="O36" s="938"/>
      <c r="P36" s="938"/>
      <c r="Q36" s="938"/>
      <c r="R36" s="938"/>
      <c r="S36" s="938"/>
      <c r="T36" s="938"/>
      <c r="AB36" s="35">
        <v>9</v>
      </c>
      <c r="AC36" s="36">
        <v>10.42</v>
      </c>
      <c r="AD36" s="36">
        <v>1991</v>
      </c>
      <c r="AE36" s="36">
        <v>17922</v>
      </c>
      <c r="AF36" s="850">
        <f t="shared" si="14"/>
        <v>0.85671256454388989</v>
      </c>
      <c r="AG36" s="36"/>
      <c r="AH36" s="37"/>
      <c r="AJ36" s="1033"/>
      <c r="AK36" s="1033"/>
      <c r="AL36" s="1033"/>
      <c r="AM36" s="1033"/>
      <c r="AN36" s="1033"/>
      <c r="AO36" s="1033"/>
      <c r="AX36" s="35">
        <f t="shared" si="8"/>
        <v>32</v>
      </c>
      <c r="AY36" s="36"/>
      <c r="AZ36" s="36"/>
      <c r="BA36" s="853"/>
      <c r="BB36" s="36"/>
      <c r="BC36" s="851"/>
      <c r="BD36" s="791"/>
    </row>
    <row r="37" spans="1:56" ht="15.75" thickBot="1" x14ac:dyDescent="0.3">
      <c r="A37" s="845"/>
      <c r="B37" s="938"/>
      <c r="C37" s="788" t="s">
        <v>1172</v>
      </c>
      <c r="D37" s="789"/>
      <c r="E37" s="789"/>
      <c r="F37" s="790"/>
      <c r="O37" s="938"/>
      <c r="P37" s="938"/>
      <c r="Q37" s="938"/>
      <c r="R37" s="938"/>
      <c r="S37" s="938"/>
      <c r="T37" s="938"/>
      <c r="U37" s="938"/>
      <c r="AB37" s="35">
        <f>AB32+5</f>
        <v>10</v>
      </c>
      <c r="AC37" s="36">
        <v>11.57</v>
      </c>
      <c r="AD37" s="36">
        <v>1986</v>
      </c>
      <c r="AE37" s="36">
        <v>19857</v>
      </c>
      <c r="AF37" s="850">
        <f t="shared" si="14"/>
        <v>0.8545611015490534</v>
      </c>
      <c r="AG37" s="36"/>
      <c r="AH37" s="37"/>
      <c r="AJ37" s="1033"/>
      <c r="AK37" s="1033"/>
      <c r="AL37" s="1033"/>
      <c r="AM37" s="1033"/>
      <c r="AN37" s="1033"/>
      <c r="AO37" s="1033"/>
      <c r="AX37" s="35">
        <f t="shared" si="8"/>
        <v>33</v>
      </c>
      <c r="AY37" s="36"/>
      <c r="AZ37" s="36"/>
      <c r="BA37" s="853"/>
      <c r="BB37" s="36"/>
      <c r="BC37" s="851"/>
      <c r="BD37" s="791"/>
    </row>
    <row r="38" spans="1:56" x14ac:dyDescent="0.25">
      <c r="A38" s="845"/>
      <c r="B38" s="938"/>
      <c r="C38" t="s">
        <v>1058</v>
      </c>
      <c r="D38" t="s">
        <v>1059</v>
      </c>
      <c r="E38" t="s">
        <v>1060</v>
      </c>
      <c r="F38" t="s">
        <v>1061</v>
      </c>
      <c r="G38" t="s">
        <v>1173</v>
      </c>
      <c r="O38" s="938"/>
      <c r="P38" s="938"/>
      <c r="Q38" s="938"/>
      <c r="R38" s="938"/>
      <c r="S38" s="938"/>
      <c r="T38" s="938"/>
      <c r="AB38" s="852">
        <f t="shared" ref="AB38:AB55" si="15">AB37+5</f>
        <v>15</v>
      </c>
      <c r="AC38" s="36">
        <v>17.36</v>
      </c>
      <c r="AD38" s="36">
        <v>1965</v>
      </c>
      <c r="AE38" s="36">
        <v>29469</v>
      </c>
      <c r="AF38" s="850">
        <f t="shared" si="14"/>
        <v>0.84552495697074015</v>
      </c>
      <c r="AG38" s="36"/>
      <c r="AH38" s="37"/>
      <c r="AJ38" s="1033"/>
      <c r="AK38" s="1033"/>
      <c r="AL38" s="1033"/>
      <c r="AM38" s="1033"/>
      <c r="AN38" s="1033"/>
      <c r="AO38" s="1033"/>
      <c r="AX38" s="35">
        <f t="shared" si="8"/>
        <v>34</v>
      </c>
      <c r="AY38" s="36"/>
      <c r="AZ38" s="36"/>
      <c r="BA38" s="853"/>
      <c r="BB38" s="36"/>
      <c r="BC38" s="851"/>
      <c r="BD38" s="791"/>
    </row>
    <row r="39" spans="1:56" x14ac:dyDescent="0.25">
      <c r="A39" s="845"/>
      <c r="B39" s="938"/>
      <c r="C39">
        <v>1</v>
      </c>
      <c r="D39">
        <f>5</f>
        <v>5</v>
      </c>
      <c r="E39" s="49">
        <f t="shared" ref="E39:E70" si="16">$D$34*(C39^-$D$35)</f>
        <v>0.99360000000000004</v>
      </c>
      <c r="F39" s="375">
        <f t="shared" ref="F39:F70" si="17">E39/$E$84</f>
        <v>1.1117317272815912</v>
      </c>
      <c r="G39">
        <f t="shared" ref="G39:G83" si="18">$G$84*F39</f>
        <v>2446.9604541200779</v>
      </c>
      <c r="H39" s="49">
        <f>(G39-G84)/G84</f>
        <v>0.11173172728159116</v>
      </c>
      <c r="O39" s="938"/>
      <c r="P39" s="938"/>
      <c r="Q39" s="938"/>
      <c r="R39" s="938"/>
      <c r="S39" s="938"/>
      <c r="T39" s="938"/>
      <c r="AB39" s="35">
        <f t="shared" si="15"/>
        <v>20</v>
      </c>
      <c r="AC39" s="36">
        <v>23.15</v>
      </c>
      <c r="AD39" s="36">
        <v>1950</v>
      </c>
      <c r="AE39" s="36">
        <v>39003</v>
      </c>
      <c r="AF39" s="850">
        <f t="shared" si="14"/>
        <v>0.83907056798623059</v>
      </c>
      <c r="AG39" s="36"/>
      <c r="AH39" s="37"/>
      <c r="AJ39" s="1033"/>
      <c r="AK39" s="1033"/>
      <c r="AL39" s="1033"/>
      <c r="AM39" s="1033"/>
      <c r="AN39" s="1033"/>
      <c r="AO39" s="1033"/>
      <c r="AX39" s="35">
        <f t="shared" si="8"/>
        <v>35</v>
      </c>
      <c r="AY39" s="36">
        <v>42.38</v>
      </c>
      <c r="AZ39" s="36">
        <v>2466</v>
      </c>
      <c r="BA39" s="853">
        <f>AZ39*$AL$2</f>
        <v>2296.3809523809527</v>
      </c>
      <c r="BB39" s="36"/>
      <c r="BC39" s="851">
        <f t="shared" si="9"/>
        <v>0.57778819119025315</v>
      </c>
      <c r="BD39" s="791">
        <f>BA39/$BA$9</f>
        <v>0.85803757828810023</v>
      </c>
    </row>
    <row r="40" spans="1:56" x14ac:dyDescent="0.25">
      <c r="A40" s="845"/>
      <c r="B40" s="938"/>
      <c r="C40">
        <f>C39+0.2</f>
        <v>1.2</v>
      </c>
      <c r="D40">
        <f t="shared" ref="D40:D103" si="19">1+D39</f>
        <v>6</v>
      </c>
      <c r="E40" s="49">
        <f t="shared" si="16"/>
        <v>0.98530173042308067</v>
      </c>
      <c r="F40" s="375">
        <f t="shared" si="17"/>
        <v>1.1024468545257571</v>
      </c>
      <c r="G40">
        <f t="shared" si="18"/>
        <v>2426.5241241157005</v>
      </c>
      <c r="O40" s="938"/>
      <c r="P40" s="938"/>
      <c r="Q40" s="938"/>
      <c r="R40" s="938"/>
      <c r="S40" s="938"/>
      <c r="T40" s="938"/>
      <c r="AB40" s="35">
        <f t="shared" si="15"/>
        <v>25</v>
      </c>
      <c r="AC40" s="36">
        <v>28.94</v>
      </c>
      <c r="AD40" s="36">
        <v>1939</v>
      </c>
      <c r="AE40" s="36">
        <v>48481</v>
      </c>
      <c r="AF40" s="850">
        <f t="shared" si="14"/>
        <v>0.83433734939759041</v>
      </c>
      <c r="AG40" s="36"/>
      <c r="AH40" s="37"/>
      <c r="AJ40" s="1033"/>
      <c r="AK40" s="1033"/>
      <c r="AL40" s="1033"/>
      <c r="AM40" s="1033"/>
      <c r="AN40" s="1033"/>
      <c r="AO40" s="1033"/>
      <c r="AX40" s="35">
        <f t="shared" si="8"/>
        <v>36</v>
      </c>
      <c r="AY40" s="36"/>
      <c r="AZ40" s="36"/>
      <c r="BA40" s="853"/>
      <c r="BB40" s="36"/>
      <c r="BC40" s="851"/>
      <c r="BD40" s="791"/>
    </row>
    <row r="41" spans="1:56" x14ac:dyDescent="0.25">
      <c r="A41" s="845"/>
      <c r="B41" s="938"/>
      <c r="C41">
        <f t="shared" ref="C41:C104" si="20">C40+0.2</f>
        <v>1.4</v>
      </c>
      <c r="D41">
        <f t="shared" si="19"/>
        <v>7</v>
      </c>
      <c r="E41" s="49">
        <f t="shared" si="16"/>
        <v>0.97833973625299198</v>
      </c>
      <c r="F41" s="375">
        <f t="shared" si="17"/>
        <v>1.0946571304878776</v>
      </c>
      <c r="G41">
        <f t="shared" si="18"/>
        <v>2409.3786687855663</v>
      </c>
      <c r="O41" s="938"/>
      <c r="P41" s="938"/>
      <c r="Q41" s="938"/>
      <c r="R41" s="938"/>
      <c r="S41" s="938"/>
      <c r="T41" s="938"/>
      <c r="AB41" s="35">
        <f t="shared" si="15"/>
        <v>30</v>
      </c>
      <c r="AC41" s="36">
        <v>34.72</v>
      </c>
      <c r="AD41" s="36">
        <v>1931</v>
      </c>
      <c r="AE41" s="36">
        <v>57916</v>
      </c>
      <c r="AF41" s="850">
        <f t="shared" si="14"/>
        <v>0.83089500860585197</v>
      </c>
      <c r="AG41" s="36"/>
      <c r="AH41" s="37"/>
      <c r="AJ41" s="1033"/>
      <c r="AK41" s="1033"/>
      <c r="AL41" s="1033"/>
      <c r="AM41" s="1033"/>
      <c r="AN41" s="1033"/>
      <c r="AO41" s="1033"/>
      <c r="AX41" s="35">
        <f t="shared" si="8"/>
        <v>37</v>
      </c>
      <c r="AY41" s="36"/>
      <c r="AZ41" s="36"/>
      <c r="BA41" s="853"/>
      <c r="BB41" s="36"/>
      <c r="BC41" s="851"/>
      <c r="BD41" s="791"/>
    </row>
    <row r="42" spans="1:56" x14ac:dyDescent="0.25">
      <c r="A42" s="845"/>
      <c r="B42" s="938"/>
      <c r="C42">
        <f t="shared" si="20"/>
        <v>1.5999999999999999</v>
      </c>
      <c r="D42">
        <f t="shared" si="19"/>
        <v>8</v>
      </c>
      <c r="E42" s="49">
        <f t="shared" si="16"/>
        <v>0.97234875761268746</v>
      </c>
      <c r="F42" s="375">
        <f t="shared" si="17"/>
        <v>1.0879538685797727</v>
      </c>
      <c r="G42">
        <f t="shared" si="18"/>
        <v>2394.6245546407358</v>
      </c>
      <c r="O42" s="938"/>
      <c r="P42" s="938"/>
      <c r="Q42" s="938"/>
      <c r="R42" s="938"/>
      <c r="S42" s="938"/>
      <c r="T42" s="938"/>
      <c r="AB42" s="35">
        <f>AB41+5</f>
        <v>35</v>
      </c>
      <c r="AC42" s="36">
        <v>40.51</v>
      </c>
      <c r="AD42" s="36">
        <v>1923</v>
      </c>
      <c r="AE42" s="36">
        <v>67314</v>
      </c>
      <c r="AF42" s="850">
        <f t="shared" si="14"/>
        <v>0.82745266781411364</v>
      </c>
      <c r="AG42" s="36"/>
      <c r="AH42" s="37"/>
      <c r="AJ42" s="1033"/>
      <c r="AK42" s="1033"/>
      <c r="AL42" s="1033"/>
      <c r="AM42" s="1033"/>
      <c r="AN42" s="1033"/>
      <c r="AO42" s="1033"/>
      <c r="AX42" s="35">
        <f t="shared" si="8"/>
        <v>38</v>
      </c>
      <c r="AY42" s="36"/>
      <c r="AZ42" s="36"/>
      <c r="BA42" s="853"/>
      <c r="BB42" s="36"/>
      <c r="BC42" s="851"/>
      <c r="BD42" s="791"/>
    </row>
    <row r="43" spans="1:56" x14ac:dyDescent="0.25">
      <c r="A43" s="845"/>
      <c r="B43" s="938"/>
      <c r="C43">
        <f t="shared" si="20"/>
        <v>1.7999999999999998</v>
      </c>
      <c r="D43">
        <f t="shared" si="19"/>
        <v>9</v>
      </c>
      <c r="E43" s="49">
        <f t="shared" si="16"/>
        <v>0.9670947988252363</v>
      </c>
      <c r="F43" s="375">
        <f t="shared" si="17"/>
        <v>1.0820752527606914</v>
      </c>
      <c r="G43">
        <f t="shared" si="18"/>
        <v>2381.6855154091845</v>
      </c>
      <c r="O43" s="938"/>
      <c r="P43" s="938"/>
      <c r="Q43" s="938"/>
      <c r="R43" s="938"/>
      <c r="S43" s="938"/>
      <c r="T43" s="938"/>
      <c r="AB43" s="35">
        <f t="shared" si="15"/>
        <v>40</v>
      </c>
      <c r="AC43" s="36">
        <v>46.3</v>
      </c>
      <c r="AD43" s="36">
        <v>1917</v>
      </c>
      <c r="AE43" s="36">
        <v>76683</v>
      </c>
      <c r="AF43" s="850">
        <f t="shared" si="14"/>
        <v>0.82487091222030984</v>
      </c>
      <c r="AG43" s="36"/>
      <c r="AH43" s="37"/>
      <c r="AJ43" s="1033"/>
      <c r="AK43" s="1033"/>
      <c r="AL43" s="1033"/>
      <c r="AM43" s="1033"/>
      <c r="AN43" s="1033"/>
      <c r="AO43" s="1033"/>
      <c r="AX43" s="35">
        <f t="shared" si="8"/>
        <v>39</v>
      </c>
      <c r="AY43" s="36"/>
      <c r="AZ43" s="36"/>
      <c r="BA43" s="853"/>
      <c r="BB43" s="36"/>
      <c r="BC43" s="851"/>
      <c r="BD43" s="791"/>
    </row>
    <row r="44" spans="1:56" x14ac:dyDescent="0.25">
      <c r="A44" s="845"/>
      <c r="B44" s="938"/>
      <c r="C44">
        <f t="shared" si="20"/>
        <v>1.9999999999999998</v>
      </c>
      <c r="D44">
        <f t="shared" si="19"/>
        <v>10</v>
      </c>
      <c r="E44" s="49">
        <f t="shared" si="16"/>
        <v>0.96241903281557717</v>
      </c>
      <c r="F44" s="375">
        <f t="shared" si="17"/>
        <v>1.0768435725852858</v>
      </c>
      <c r="G44">
        <f t="shared" si="18"/>
        <v>2370.1704041789562</v>
      </c>
      <c r="O44" s="938"/>
      <c r="P44" s="938"/>
      <c r="Q44" s="938"/>
      <c r="R44" s="938"/>
      <c r="S44" s="938"/>
      <c r="T44" s="938"/>
      <c r="AB44" s="35">
        <f>AB43+5</f>
        <v>45</v>
      </c>
      <c r="AC44" s="36">
        <v>52.08</v>
      </c>
      <c r="AD44" s="36">
        <v>1912</v>
      </c>
      <c r="AE44" s="36">
        <v>86025</v>
      </c>
      <c r="AF44" s="850">
        <f t="shared" si="14"/>
        <v>0.82271944922547335</v>
      </c>
      <c r="AG44" s="36"/>
      <c r="AH44" s="37"/>
      <c r="AJ44" s="1033"/>
      <c r="AK44" s="1033"/>
      <c r="AL44" s="1033"/>
      <c r="AM44" s="1033"/>
      <c r="AN44" s="1033"/>
      <c r="AO44" s="1033"/>
      <c r="AX44" s="35">
        <f t="shared" si="8"/>
        <v>40</v>
      </c>
      <c r="AY44" s="36">
        <v>48.44</v>
      </c>
      <c r="AZ44" s="36">
        <v>2457</v>
      </c>
      <c r="BA44" s="853">
        <f>AZ44*$AL$2</f>
        <v>2288</v>
      </c>
      <c r="BB44" s="36"/>
      <c r="BC44" s="851">
        <f t="shared" si="9"/>
        <v>0.57567947516401119</v>
      </c>
      <c r="BD44" s="791">
        <f>BA44/$BA$9</f>
        <v>0.85490605427974931</v>
      </c>
    </row>
    <row r="45" spans="1:56" x14ac:dyDescent="0.25">
      <c r="A45" s="845"/>
      <c r="B45" s="938"/>
      <c r="C45">
        <f t="shared" si="20"/>
        <v>2.1999999999999997</v>
      </c>
      <c r="D45">
        <f t="shared" si="19"/>
        <v>11</v>
      </c>
      <c r="E45" s="49">
        <f t="shared" si="16"/>
        <v>0.9582087658007179</v>
      </c>
      <c r="F45" s="375">
        <f t="shared" si="17"/>
        <v>1.0721327358091726</v>
      </c>
      <c r="G45">
        <f t="shared" si="18"/>
        <v>2359.8016875056001</v>
      </c>
      <c r="O45" s="938"/>
      <c r="P45" s="938"/>
      <c r="Q45" s="938"/>
      <c r="R45" s="938"/>
      <c r="S45" s="938"/>
      <c r="T45" s="938"/>
      <c r="AB45" s="35">
        <f t="shared" si="15"/>
        <v>50</v>
      </c>
      <c r="AC45" s="36">
        <v>57.87</v>
      </c>
      <c r="AD45" s="36">
        <v>1907</v>
      </c>
      <c r="AE45" s="36">
        <v>95344</v>
      </c>
      <c r="AF45" s="850">
        <f t="shared" si="14"/>
        <v>0.82056798623063687</v>
      </c>
      <c r="AG45" s="36"/>
      <c r="AH45" s="37"/>
      <c r="AJ45" s="1033"/>
      <c r="AK45" s="1033"/>
      <c r="AL45" s="1033"/>
      <c r="AM45" s="1033"/>
      <c r="AN45" s="1033"/>
      <c r="AO45" s="1033"/>
      <c r="AX45" s="35">
        <f t="shared" si="8"/>
        <v>41</v>
      </c>
      <c r="AY45" s="36"/>
      <c r="AZ45" s="36"/>
      <c r="BA45" s="853"/>
      <c r="BB45" s="36"/>
      <c r="BC45" s="851"/>
      <c r="BD45" s="791"/>
    </row>
    <row r="46" spans="1:56" x14ac:dyDescent="0.25">
      <c r="A46" s="845"/>
      <c r="B46" s="938"/>
      <c r="C46">
        <f t="shared" si="20"/>
        <v>2.4</v>
      </c>
      <c r="D46">
        <f t="shared" si="19"/>
        <v>12</v>
      </c>
      <c r="E46" s="49">
        <f t="shared" si="16"/>
        <v>0.95438117796426714</v>
      </c>
      <c r="F46" s="375">
        <f t="shared" si="17"/>
        <v>1.0678500759493301</v>
      </c>
      <c r="G46">
        <f t="shared" si="18"/>
        <v>2350.3754032156785</v>
      </c>
      <c r="O46" s="938"/>
      <c r="P46" s="938"/>
      <c r="Q46" s="938"/>
      <c r="R46" s="938"/>
      <c r="S46" s="938"/>
      <c r="T46" s="938"/>
      <c r="AB46" s="35">
        <f t="shared" si="15"/>
        <v>55</v>
      </c>
      <c r="AC46" s="36">
        <v>63.66</v>
      </c>
      <c r="AD46" s="36">
        <v>1903</v>
      </c>
      <c r="AE46" s="36">
        <v>104643</v>
      </c>
      <c r="AF46" s="850">
        <f t="shared" si="14"/>
        <v>0.81884681583476759</v>
      </c>
      <c r="AG46" s="36"/>
      <c r="AH46" s="37"/>
      <c r="AJ46" s="1033"/>
      <c r="AK46" s="1033"/>
      <c r="AL46" s="1033"/>
      <c r="AM46" s="1033"/>
      <c r="AN46" s="1033"/>
      <c r="AO46" s="1033"/>
      <c r="AX46" s="35">
        <f t="shared" si="8"/>
        <v>42</v>
      </c>
      <c r="AY46" s="36"/>
      <c r="AZ46" s="36"/>
      <c r="BA46" s="853"/>
      <c r="BB46" s="36"/>
      <c r="BC46" s="851"/>
      <c r="BD46" s="791"/>
    </row>
    <row r="47" spans="1:56" x14ac:dyDescent="0.25">
      <c r="A47" s="845"/>
      <c r="B47" s="938"/>
      <c r="C47">
        <f t="shared" si="20"/>
        <v>2.6</v>
      </c>
      <c r="D47">
        <f t="shared" si="19"/>
        <v>13</v>
      </c>
      <c r="E47" s="49">
        <f t="shared" si="16"/>
        <v>0.95087364157189969</v>
      </c>
      <c r="F47" s="375">
        <f t="shared" si="17"/>
        <v>1.063925519294751</v>
      </c>
      <c r="G47">
        <f t="shared" si="18"/>
        <v>2341.7373166179427</v>
      </c>
      <c r="O47" s="938"/>
      <c r="P47" s="938"/>
      <c r="Q47" s="938"/>
      <c r="R47" s="938"/>
      <c r="S47" s="938"/>
      <c r="T47" s="938"/>
      <c r="AB47" s="35">
        <f t="shared" si="15"/>
        <v>60</v>
      </c>
      <c r="AC47" s="36">
        <v>69.45</v>
      </c>
      <c r="AD47" s="36">
        <v>1899</v>
      </c>
      <c r="AE47" s="36">
        <v>113923</v>
      </c>
      <c r="AF47" s="850">
        <f t="shared" si="14"/>
        <v>0.81712564543889843</v>
      </c>
      <c r="AG47" s="36"/>
      <c r="AH47" s="37"/>
      <c r="AJ47" s="1033"/>
      <c r="AK47" s="1033"/>
      <c r="AL47" s="1033"/>
      <c r="AM47" s="1033"/>
      <c r="AN47" s="1033"/>
      <c r="AO47" s="1033"/>
      <c r="AX47" s="35">
        <f t="shared" si="8"/>
        <v>43</v>
      </c>
      <c r="AY47" s="36"/>
      <c r="AZ47" s="36"/>
      <c r="BA47" s="853"/>
      <c r="BB47" s="36"/>
      <c r="BC47" s="851"/>
      <c r="BD47" s="791"/>
    </row>
    <row r="48" spans="1:56" x14ac:dyDescent="0.25">
      <c r="A48" s="845"/>
      <c r="B48" s="938"/>
      <c r="C48">
        <f t="shared" si="20"/>
        <v>2.8000000000000003</v>
      </c>
      <c r="D48">
        <f t="shared" si="19"/>
        <v>14</v>
      </c>
      <c r="E48" s="49">
        <f t="shared" si="16"/>
        <v>0.94763766377782965</v>
      </c>
      <c r="F48" s="375">
        <f t="shared" si="17"/>
        <v>1.0603048075571844</v>
      </c>
      <c r="G48">
        <f t="shared" si="18"/>
        <v>2333.7680033203383</v>
      </c>
      <c r="O48" s="938"/>
      <c r="P48" s="938"/>
      <c r="Q48" s="938"/>
      <c r="R48" s="938"/>
      <c r="S48" s="938"/>
      <c r="T48" s="938"/>
      <c r="AB48" s="35">
        <f t="shared" si="15"/>
        <v>65</v>
      </c>
      <c r="AC48" s="36">
        <v>75.23</v>
      </c>
      <c r="AD48" s="36">
        <v>1895</v>
      </c>
      <c r="AE48" s="36">
        <v>123187</v>
      </c>
      <c r="AF48" s="850">
        <f t="shared" si="14"/>
        <v>0.81540447504302926</v>
      </c>
      <c r="AG48" s="36"/>
      <c r="AH48" s="37"/>
      <c r="AJ48" s="1033"/>
      <c r="AK48" s="1033"/>
      <c r="AL48" s="1033"/>
      <c r="AM48" s="1033"/>
      <c r="AN48" s="1033"/>
      <c r="AO48" s="1033"/>
      <c r="AX48" s="35">
        <f t="shared" si="8"/>
        <v>44</v>
      </c>
      <c r="AY48" s="36"/>
      <c r="AZ48" s="36"/>
      <c r="BA48" s="853"/>
      <c r="BB48" s="36"/>
      <c r="BC48" s="851"/>
      <c r="BD48" s="791"/>
    </row>
    <row r="49" spans="1:56" x14ac:dyDescent="0.25">
      <c r="A49" s="845"/>
      <c r="B49" s="938"/>
      <c r="C49">
        <f t="shared" si="20"/>
        <v>3.0000000000000004</v>
      </c>
      <c r="D49">
        <f t="shared" si="19"/>
        <v>15</v>
      </c>
      <c r="E49" s="49">
        <f t="shared" si="16"/>
        <v>0.94463493992515624</v>
      </c>
      <c r="F49" s="375">
        <f t="shared" si="17"/>
        <v>1.0569450819379389</v>
      </c>
      <c r="G49">
        <f t="shared" si="18"/>
        <v>2326.3731296064343</v>
      </c>
      <c r="O49" s="938"/>
      <c r="P49" s="938"/>
      <c r="Q49" s="938"/>
      <c r="R49" s="938"/>
      <c r="S49" s="938"/>
      <c r="T49" s="938"/>
      <c r="AB49" s="35">
        <f t="shared" si="15"/>
        <v>70</v>
      </c>
      <c r="AC49" s="36">
        <v>81.02</v>
      </c>
      <c r="AD49" s="36">
        <v>1892</v>
      </c>
      <c r="AE49" s="36">
        <v>132435</v>
      </c>
      <c r="AF49" s="850">
        <f t="shared" si="14"/>
        <v>0.81411359724612742</v>
      </c>
      <c r="AG49" s="36"/>
      <c r="AH49" s="37"/>
      <c r="AJ49" s="1033"/>
      <c r="AK49" s="1033"/>
      <c r="AL49" s="1033"/>
      <c r="AM49" s="1033"/>
      <c r="AN49" s="1033"/>
      <c r="AO49" s="1033"/>
      <c r="AX49" s="35">
        <f t="shared" si="8"/>
        <v>45</v>
      </c>
      <c r="AY49" s="36">
        <v>54.49</v>
      </c>
      <c r="AZ49" s="36">
        <v>2449</v>
      </c>
      <c r="BA49" s="853">
        <f>AZ49*$AL$2</f>
        <v>2280.5502645502647</v>
      </c>
      <c r="BB49" s="36"/>
      <c r="BC49" s="851">
        <f t="shared" si="9"/>
        <v>0.57380506091846306</v>
      </c>
      <c r="BD49" s="791">
        <f>BA49/$BA$9</f>
        <v>0.85212247738343772</v>
      </c>
    </row>
    <row r="50" spans="1:56" x14ac:dyDescent="0.25">
      <c r="A50" s="845"/>
      <c r="B50" s="938"/>
      <c r="C50">
        <f t="shared" si="20"/>
        <v>3.2000000000000006</v>
      </c>
      <c r="D50">
        <f t="shared" si="19"/>
        <v>16</v>
      </c>
      <c r="E50" s="49">
        <f t="shared" si="16"/>
        <v>0.94183469289556243</v>
      </c>
      <c r="F50" s="375">
        <f t="shared" si="17"/>
        <v>1.053811906145844</v>
      </c>
      <c r="G50">
        <f t="shared" si="18"/>
        <v>2319.4768999937296</v>
      </c>
      <c r="O50" s="938"/>
      <c r="P50" s="938"/>
      <c r="Q50" s="938"/>
      <c r="R50" s="938"/>
      <c r="S50" s="938"/>
      <c r="T50" s="938"/>
      <c r="AB50" s="35">
        <f t="shared" si="15"/>
        <v>75</v>
      </c>
      <c r="AC50" s="36">
        <v>86.81</v>
      </c>
      <c r="AD50" s="36">
        <v>1889</v>
      </c>
      <c r="AE50" s="36">
        <v>141669</v>
      </c>
      <c r="AF50" s="850">
        <f t="shared" si="14"/>
        <v>0.81282271944922546</v>
      </c>
      <c r="AG50" s="36"/>
      <c r="AH50" s="37"/>
      <c r="AJ50" s="1033"/>
      <c r="AK50" s="1033"/>
      <c r="AL50" s="1033"/>
      <c r="AM50" s="1033"/>
      <c r="AN50" s="1033"/>
      <c r="AO50" s="1033"/>
      <c r="AX50" s="35">
        <f t="shared" si="8"/>
        <v>46</v>
      </c>
      <c r="AY50" s="36"/>
      <c r="AZ50" s="36"/>
      <c r="BA50" s="853"/>
      <c r="BB50" s="36"/>
      <c r="BC50" s="851"/>
      <c r="BD50" s="791"/>
    </row>
    <row r="51" spans="1:56" x14ac:dyDescent="0.25">
      <c r="A51" s="845"/>
      <c r="B51" s="938"/>
      <c r="C51">
        <f t="shared" si="20"/>
        <v>3.4000000000000008</v>
      </c>
      <c r="D51">
        <f t="shared" si="19"/>
        <v>17</v>
      </c>
      <c r="E51" s="49">
        <f t="shared" si="16"/>
        <v>0.93921182671638093</v>
      </c>
      <c r="F51" s="375">
        <f t="shared" si="17"/>
        <v>1.0508772004817841</v>
      </c>
      <c r="G51">
        <f t="shared" si="18"/>
        <v>2313.0175100813844</v>
      </c>
      <c r="O51" s="938"/>
      <c r="P51" s="938"/>
      <c r="Q51" s="938"/>
      <c r="R51" s="938"/>
      <c r="S51" s="938"/>
      <c r="T51" s="938"/>
      <c r="AB51" s="35">
        <f t="shared" si="15"/>
        <v>80</v>
      </c>
      <c r="AC51" s="36">
        <v>92.59</v>
      </c>
      <c r="AD51" s="36">
        <v>1886</v>
      </c>
      <c r="AE51" s="36">
        <v>150889</v>
      </c>
      <c r="AF51" s="850">
        <f t="shared" si="14"/>
        <v>0.81153184165232362</v>
      </c>
      <c r="AG51" s="36"/>
      <c r="AH51" s="37"/>
      <c r="AJ51" s="1033"/>
      <c r="AK51" s="1033"/>
      <c r="AL51" s="1033"/>
      <c r="AM51" s="1033"/>
      <c r="AN51" s="1033"/>
      <c r="AO51" s="1033"/>
      <c r="AX51" s="35">
        <f t="shared" si="8"/>
        <v>47</v>
      </c>
      <c r="AY51" s="36"/>
      <c r="AZ51" s="36"/>
      <c r="BA51" s="853"/>
      <c r="BB51" s="36"/>
      <c r="BC51" s="851"/>
      <c r="BD51" s="791"/>
    </row>
    <row r="52" spans="1:56" x14ac:dyDescent="0.25">
      <c r="B52" s="938"/>
      <c r="C52">
        <f t="shared" si="20"/>
        <v>3.600000000000001</v>
      </c>
      <c r="D52">
        <f t="shared" si="19"/>
        <v>18</v>
      </c>
      <c r="E52" s="49">
        <f t="shared" si="16"/>
        <v>0.93674561284859037</v>
      </c>
      <c r="F52" s="375">
        <f t="shared" si="17"/>
        <v>1.0481177719360064</v>
      </c>
      <c r="G52">
        <f t="shared" si="18"/>
        <v>2306.9439112429318</v>
      </c>
      <c r="O52" s="938"/>
      <c r="P52" s="938"/>
      <c r="Q52" s="938"/>
      <c r="R52" s="938"/>
      <c r="S52" s="938"/>
      <c r="T52" s="938"/>
      <c r="AB52" s="35">
        <f t="shared" si="15"/>
        <v>85</v>
      </c>
      <c r="AC52" s="36">
        <v>98.38</v>
      </c>
      <c r="AD52" s="36">
        <v>1884</v>
      </c>
      <c r="AE52" s="36">
        <v>160098</v>
      </c>
      <c r="AF52" s="850">
        <f t="shared" si="14"/>
        <v>0.81067125645438898</v>
      </c>
      <c r="AG52" s="36"/>
      <c r="AH52" s="37"/>
      <c r="AJ52" s="1033"/>
      <c r="AK52" s="1033"/>
      <c r="AL52" s="1033"/>
      <c r="AM52" s="1033"/>
      <c r="AN52" s="1033"/>
      <c r="AO52" s="1033"/>
      <c r="AX52" s="35">
        <f t="shared" si="8"/>
        <v>48</v>
      </c>
      <c r="AY52" s="36"/>
      <c r="AZ52" s="36"/>
      <c r="BA52" s="853"/>
      <c r="BB52" s="36"/>
      <c r="BC52" s="851"/>
      <c r="BD52" s="791"/>
    </row>
    <row r="53" spans="1:56" x14ac:dyDescent="0.25">
      <c r="B53" s="938"/>
      <c r="C53">
        <f t="shared" si="20"/>
        <v>3.8000000000000012</v>
      </c>
      <c r="D53">
        <f t="shared" si="19"/>
        <v>19</v>
      </c>
      <c r="E53" s="49">
        <f t="shared" si="16"/>
        <v>0.93441873494104866</v>
      </c>
      <c r="F53" s="375">
        <f t="shared" si="17"/>
        <v>1.0455142453706636</v>
      </c>
      <c r="G53">
        <f t="shared" si="18"/>
        <v>2301.2134581216355</v>
      </c>
      <c r="O53" s="938"/>
      <c r="P53" s="938"/>
      <c r="Q53" s="938"/>
      <c r="R53" s="938"/>
      <c r="S53" s="938"/>
      <c r="T53" s="938"/>
      <c r="AB53" s="35">
        <f t="shared" si="15"/>
        <v>90</v>
      </c>
      <c r="AC53" s="36">
        <v>104.17</v>
      </c>
      <c r="AD53" s="36">
        <v>1881</v>
      </c>
      <c r="AE53" s="36">
        <v>169294</v>
      </c>
      <c r="AF53" s="850">
        <f t="shared" si="14"/>
        <v>0.80938037865748713</v>
      </c>
      <c r="AG53" s="36"/>
      <c r="AH53" s="37"/>
      <c r="AJ53" s="1033"/>
      <c r="AK53" s="1033"/>
      <c r="AL53" s="1033"/>
      <c r="AM53" s="1033"/>
      <c r="AN53" s="1033"/>
      <c r="AO53" s="1033"/>
      <c r="AX53" s="35">
        <f t="shared" si="8"/>
        <v>49</v>
      </c>
      <c r="AY53" s="36"/>
      <c r="AZ53" s="36"/>
      <c r="BA53" s="853"/>
      <c r="BB53" s="36"/>
      <c r="BC53" s="851"/>
      <c r="BD53" s="791"/>
    </row>
    <row r="54" spans="1:56" x14ac:dyDescent="0.25">
      <c r="B54" s="938"/>
      <c r="C54">
        <f t="shared" si="20"/>
        <v>4.0000000000000009</v>
      </c>
      <c r="D54">
        <f t="shared" si="19"/>
        <v>20</v>
      </c>
      <c r="E54" s="49">
        <f t="shared" si="16"/>
        <v>0.93221658084306691</v>
      </c>
      <c r="F54" s="375">
        <f t="shared" si="17"/>
        <v>1.0430502713578924</v>
      </c>
      <c r="G54">
        <f t="shared" si="18"/>
        <v>2295.7901650543654</v>
      </c>
      <c r="O54" s="938"/>
      <c r="P54" s="938"/>
      <c r="Q54" s="938"/>
      <c r="R54" s="938"/>
      <c r="S54" s="938"/>
      <c r="T54" s="938"/>
      <c r="AB54" s="35">
        <f t="shared" si="15"/>
        <v>95</v>
      </c>
      <c r="AC54" s="36">
        <v>109.96</v>
      </c>
      <c r="AD54" s="36">
        <v>1879</v>
      </c>
      <c r="AE54" s="36">
        <v>178480</v>
      </c>
      <c r="AF54" s="850">
        <f t="shared" si="14"/>
        <v>0.80851979345955249</v>
      </c>
      <c r="AG54" s="36"/>
      <c r="AH54" s="37"/>
      <c r="AJ54" s="1033"/>
      <c r="AK54" s="1033"/>
      <c r="AL54" s="1033"/>
      <c r="AM54" s="1033"/>
      <c r="AN54" s="1033"/>
      <c r="AO54" s="1033"/>
      <c r="AX54" s="35">
        <f t="shared" si="8"/>
        <v>50</v>
      </c>
      <c r="AY54" s="36">
        <v>60.55</v>
      </c>
      <c r="AZ54" s="36">
        <v>2443</v>
      </c>
      <c r="BA54" s="853">
        <f>AZ54*$AL$2</f>
        <v>2274.962962962963</v>
      </c>
      <c r="BB54" s="36"/>
      <c r="BC54" s="851">
        <f t="shared" si="9"/>
        <v>0.57239925023430183</v>
      </c>
      <c r="BD54" s="791">
        <f>BA54/$BA$9</f>
        <v>0.8500347947112038</v>
      </c>
    </row>
    <row r="55" spans="1:56" ht="15.75" thickBot="1" x14ac:dyDescent="0.3">
      <c r="B55" s="938"/>
      <c r="C55">
        <f t="shared" si="20"/>
        <v>4.2000000000000011</v>
      </c>
      <c r="D55">
        <f t="shared" si="19"/>
        <v>21</v>
      </c>
      <c r="E55" s="49">
        <f t="shared" si="16"/>
        <v>0.93012670891881877</v>
      </c>
      <c r="F55" s="375">
        <f t="shared" si="17"/>
        <v>1.040711929042935</v>
      </c>
      <c r="G55">
        <f t="shared" si="18"/>
        <v>2290.6433917524218</v>
      </c>
      <c r="O55" s="938"/>
      <c r="P55" s="938"/>
      <c r="Q55" s="938"/>
      <c r="R55" s="938"/>
      <c r="S55" s="938"/>
      <c r="T55" s="938"/>
      <c r="AB55" s="38">
        <f t="shared" si="15"/>
        <v>100</v>
      </c>
      <c r="AC55" s="39">
        <v>115.74</v>
      </c>
      <c r="AD55" s="39">
        <v>1877</v>
      </c>
      <c r="AE55" s="39">
        <v>187656</v>
      </c>
      <c r="AF55" s="855">
        <f t="shared" si="14"/>
        <v>0.80765920826161786</v>
      </c>
      <c r="AG55" s="39"/>
      <c r="AH55" s="40"/>
      <c r="AJ55" s="1033"/>
      <c r="AK55" s="1033"/>
      <c r="AL55" s="1033"/>
      <c r="AM55" s="1033"/>
      <c r="AN55" s="1033"/>
      <c r="AO55" s="1033"/>
      <c r="AX55" s="35">
        <f t="shared" si="8"/>
        <v>51</v>
      </c>
      <c r="AY55" s="36"/>
      <c r="AZ55" s="36"/>
      <c r="BA55" s="853"/>
      <c r="BB55" s="36"/>
      <c r="BC55" s="851"/>
      <c r="BD55" s="791"/>
    </row>
    <row r="56" spans="1:56" x14ac:dyDescent="0.25">
      <c r="B56" s="938"/>
      <c r="C56">
        <f t="shared" si="20"/>
        <v>4.4000000000000012</v>
      </c>
      <c r="D56">
        <f t="shared" si="19"/>
        <v>22</v>
      </c>
      <c r="E56" s="49">
        <f t="shared" si="16"/>
        <v>0.92813843963097309</v>
      </c>
      <c r="F56" s="375">
        <f t="shared" si="17"/>
        <v>1.0384872691700711</v>
      </c>
      <c r="G56">
        <f t="shared" si="18"/>
        <v>2285.7468374856144</v>
      </c>
      <c r="O56" s="938"/>
      <c r="P56" s="938"/>
      <c r="Q56" s="938"/>
      <c r="R56" s="938"/>
      <c r="S56" s="938"/>
      <c r="T56" s="938"/>
      <c r="AJ56" s="1033"/>
      <c r="AK56" s="1033"/>
      <c r="AL56" s="1033"/>
      <c r="AM56" s="1033"/>
      <c r="AN56" s="1033"/>
      <c r="AO56" s="1033"/>
      <c r="AX56" s="35">
        <f t="shared" si="8"/>
        <v>52</v>
      </c>
      <c r="AY56" s="36"/>
      <c r="AZ56" s="36"/>
      <c r="BA56" s="853"/>
      <c r="BB56" s="36"/>
      <c r="BC56" s="851"/>
      <c r="BD56" s="791"/>
    </row>
    <row r="57" spans="1:56" x14ac:dyDescent="0.25">
      <c r="B57" s="938"/>
      <c r="C57">
        <f t="shared" si="20"/>
        <v>4.6000000000000014</v>
      </c>
      <c r="D57">
        <f t="shared" si="19"/>
        <v>23</v>
      </c>
      <c r="E57" s="49">
        <f t="shared" si="16"/>
        <v>0.9262425387233465</v>
      </c>
      <c r="F57" s="375">
        <f t="shared" si="17"/>
        <v>1.0363659595980195</v>
      </c>
      <c r="G57">
        <f t="shared" si="18"/>
        <v>2281.077760849249</v>
      </c>
      <c r="O57" s="938"/>
      <c r="P57" s="938"/>
      <c r="Q57" s="938"/>
      <c r="R57" s="938"/>
      <c r="S57" s="938"/>
      <c r="T57" s="938"/>
      <c r="AJ57" s="1033"/>
      <c r="AK57" s="1033"/>
      <c r="AL57" s="1033"/>
      <c r="AM57" s="1033"/>
      <c r="AN57" s="1033"/>
      <c r="AO57" s="1033"/>
      <c r="AX57" s="35">
        <f t="shared" si="8"/>
        <v>53</v>
      </c>
      <c r="AY57" s="36"/>
      <c r="AZ57" s="36"/>
      <c r="BA57" s="853"/>
      <c r="BB57" s="36"/>
      <c r="BC57" s="851"/>
      <c r="BD57" s="791"/>
    </row>
    <row r="58" spans="1:56" x14ac:dyDescent="0.25">
      <c r="B58" s="938"/>
      <c r="C58">
        <f t="shared" si="20"/>
        <v>4.8000000000000016</v>
      </c>
      <c r="D58">
        <f t="shared" si="19"/>
        <v>24</v>
      </c>
      <c r="E58" s="49">
        <f t="shared" si="16"/>
        <v>0.92443096843172445</v>
      </c>
      <c r="F58" s="375">
        <f t="shared" si="17"/>
        <v>1.034339006931557</v>
      </c>
      <c r="G58">
        <f t="shared" si="18"/>
        <v>2276.6163670655756</v>
      </c>
      <c r="O58" s="938"/>
      <c r="P58" s="938"/>
      <c r="Q58" s="938"/>
      <c r="R58" s="938"/>
      <c r="S58" s="938"/>
      <c r="T58" s="938"/>
      <c r="AJ58" s="1033"/>
      <c r="AK58" s="1033"/>
      <c r="AL58" s="1033"/>
      <c r="AM58" s="1033"/>
      <c r="AN58" s="1033"/>
      <c r="AO58" s="1033"/>
      <c r="AX58" s="35">
        <f t="shared" si="8"/>
        <v>54</v>
      </c>
      <c r="AY58" s="36"/>
      <c r="AZ58" s="36"/>
      <c r="BA58" s="853"/>
      <c r="BB58" s="36"/>
      <c r="BC58" s="851"/>
      <c r="BD58" s="791"/>
    </row>
    <row r="59" spans="1:56" x14ac:dyDescent="0.25">
      <c r="B59" s="938"/>
      <c r="C59">
        <f t="shared" si="20"/>
        <v>5.0000000000000018</v>
      </c>
      <c r="D59">
        <f t="shared" si="19"/>
        <v>25</v>
      </c>
      <c r="E59" s="49">
        <f t="shared" si="16"/>
        <v>0.92269668993293541</v>
      </c>
      <c r="F59" s="375">
        <f t="shared" si="17"/>
        <v>1.0323985354832419</v>
      </c>
      <c r="G59">
        <f t="shared" si="18"/>
        <v>2272.3453214708015</v>
      </c>
      <c r="O59" s="938"/>
      <c r="P59" s="938"/>
      <c r="Q59" s="938"/>
      <c r="R59" s="938"/>
      <c r="S59" s="938"/>
      <c r="T59" s="938"/>
      <c r="AJ59" s="1033"/>
      <c r="AK59" s="1033"/>
      <c r="AL59" s="1033"/>
      <c r="AM59" s="1033"/>
      <c r="AN59" s="1033"/>
      <c r="AO59" s="1033"/>
      <c r="AX59" s="35">
        <f t="shared" si="8"/>
        <v>55</v>
      </c>
      <c r="AY59" s="36">
        <v>66.599999999999994</v>
      </c>
      <c r="AZ59" s="36">
        <v>2437</v>
      </c>
      <c r="BA59" s="853">
        <f>AZ59*$AL$2</f>
        <v>2269.3756613756614</v>
      </c>
      <c r="BB59" s="36"/>
      <c r="BC59" s="851">
        <f t="shared" si="9"/>
        <v>0.57099343955014059</v>
      </c>
      <c r="BD59" s="791">
        <f>BA59/$BA$9</f>
        <v>0.84794711203897</v>
      </c>
    </row>
    <row r="60" spans="1:56" x14ac:dyDescent="0.25">
      <c r="B60" s="938"/>
      <c r="C60">
        <f t="shared" si="20"/>
        <v>5.200000000000002</v>
      </c>
      <c r="D60">
        <f t="shared" si="19"/>
        <v>26</v>
      </c>
      <c r="E60" s="49">
        <f t="shared" si="16"/>
        <v>0.92103350488270275</v>
      </c>
      <c r="F60" s="375">
        <f t="shared" si="17"/>
        <v>1.0305376099712811</v>
      </c>
      <c r="G60">
        <f t="shared" si="18"/>
        <v>2268.2493592668934</v>
      </c>
      <c r="O60" s="938"/>
      <c r="P60" s="938"/>
      <c r="Q60" s="938"/>
      <c r="R60" s="938"/>
      <c r="S60" s="938"/>
      <c r="T60" s="938"/>
      <c r="AX60" s="35">
        <f t="shared" si="8"/>
        <v>56</v>
      </c>
      <c r="AY60" s="36"/>
      <c r="AZ60" s="36"/>
      <c r="BA60" s="853"/>
      <c r="BB60" s="36"/>
      <c r="BC60" s="851"/>
      <c r="BD60" s="791"/>
    </row>
    <row r="61" spans="1:56" x14ac:dyDescent="0.25">
      <c r="B61" s="938"/>
      <c r="C61">
        <f t="shared" si="20"/>
        <v>5.4000000000000021</v>
      </c>
      <c r="D61">
        <f t="shared" si="19"/>
        <v>27</v>
      </c>
      <c r="E61" s="49">
        <f t="shared" si="16"/>
        <v>0.91943592712380051</v>
      </c>
      <c r="F61" s="375">
        <f t="shared" si="17"/>
        <v>1.0287500919747321</v>
      </c>
      <c r="G61">
        <f t="shared" si="18"/>
        <v>2264.314969574446</v>
      </c>
      <c r="O61" s="938"/>
      <c r="P61" s="938"/>
      <c r="Q61" s="938"/>
      <c r="R61" s="938"/>
      <c r="S61" s="938"/>
      <c r="T61" s="938"/>
      <c r="AX61" s="35">
        <f t="shared" si="8"/>
        <v>57</v>
      </c>
      <c r="AY61" s="36"/>
      <c r="AZ61" s="36"/>
      <c r="BA61" s="853"/>
      <c r="BB61" s="36"/>
      <c r="BC61" s="851"/>
      <c r="BD61" s="791"/>
    </row>
    <row r="62" spans="1:56" x14ac:dyDescent="0.25">
      <c r="B62" s="938"/>
      <c r="C62">
        <f t="shared" si="20"/>
        <v>5.6000000000000023</v>
      </c>
      <c r="D62">
        <f t="shared" si="19"/>
        <v>28</v>
      </c>
      <c r="E62" s="49">
        <f t="shared" si="16"/>
        <v>0.91789907793143333</v>
      </c>
      <c r="F62" s="375">
        <f t="shared" si="17"/>
        <v>1.0270305227243279</v>
      </c>
      <c r="G62">
        <f t="shared" si="18"/>
        <v>2260.5301374511887</v>
      </c>
      <c r="O62" s="938"/>
      <c r="P62" s="938"/>
      <c r="Q62" s="938"/>
      <c r="R62" s="938"/>
      <c r="S62" s="938"/>
      <c r="T62" s="938"/>
      <c r="AX62" s="35">
        <f t="shared" si="8"/>
        <v>58</v>
      </c>
      <c r="AY62" s="36"/>
      <c r="AZ62" s="36"/>
      <c r="BA62" s="853"/>
      <c r="BB62" s="36"/>
      <c r="BC62" s="851"/>
      <c r="BD62" s="791"/>
    </row>
    <row r="63" spans="1:56" x14ac:dyDescent="0.25">
      <c r="B63" s="938"/>
      <c r="C63">
        <f t="shared" si="20"/>
        <v>5.8000000000000025</v>
      </c>
      <c r="D63">
        <f t="shared" si="19"/>
        <v>29</v>
      </c>
      <c r="E63" s="49">
        <f t="shared" si="16"/>
        <v>0.91641859980280849</v>
      </c>
      <c r="F63" s="375">
        <f t="shared" si="17"/>
        <v>1.025374026642264</v>
      </c>
      <c r="G63">
        <f t="shared" si="18"/>
        <v>2256.8841315796758</v>
      </c>
      <c r="O63" s="938"/>
      <c r="P63" s="938"/>
      <c r="Q63" s="938"/>
      <c r="R63" s="938"/>
      <c r="S63" s="938"/>
      <c r="T63" s="938"/>
      <c r="AX63" s="35">
        <f t="shared" si="8"/>
        <v>59</v>
      </c>
      <c r="AY63" s="36"/>
      <c r="AZ63" s="36"/>
      <c r="BA63" s="853"/>
      <c r="BB63" s="36"/>
      <c r="BC63" s="851"/>
      <c r="BD63" s="791"/>
    </row>
    <row r="64" spans="1:56" x14ac:dyDescent="0.25">
      <c r="B64" s="938"/>
      <c r="C64">
        <f t="shared" si="20"/>
        <v>6.0000000000000027</v>
      </c>
      <c r="D64">
        <f t="shared" si="19"/>
        <v>30</v>
      </c>
      <c r="E64" s="49">
        <f t="shared" si="16"/>
        <v>0.91499058499050911</v>
      </c>
      <c r="F64" s="375">
        <f t="shared" si="17"/>
        <v>1.023776231378716</v>
      </c>
      <c r="G64">
        <f t="shared" si="18"/>
        <v>2253.367328264867</v>
      </c>
      <c r="O64" s="938"/>
      <c r="P64" s="938"/>
      <c r="Q64" s="938"/>
      <c r="R64" s="938"/>
      <c r="S64" s="938"/>
      <c r="T64" s="938"/>
      <c r="AX64" s="35">
        <f t="shared" si="8"/>
        <v>60</v>
      </c>
      <c r="AY64" s="36">
        <v>72.66</v>
      </c>
      <c r="AZ64" s="36">
        <v>2431</v>
      </c>
      <c r="BA64" s="853">
        <f>AZ64*$AL$2</f>
        <v>2263.7883597883601</v>
      </c>
      <c r="BB64" s="36"/>
      <c r="BC64" s="851">
        <f t="shared" si="9"/>
        <v>0.56958762886597947</v>
      </c>
      <c r="BD64" s="791">
        <f>BA64/$BA$9</f>
        <v>0.8458594293667363</v>
      </c>
    </row>
    <row r="65" spans="2:56" x14ac:dyDescent="0.25">
      <c r="B65" s="938"/>
      <c r="C65">
        <f t="shared" si="20"/>
        <v>6.2000000000000028</v>
      </c>
      <c r="D65">
        <f t="shared" si="19"/>
        <v>31</v>
      </c>
      <c r="E65" s="49">
        <f t="shared" si="16"/>
        <v>0.91361151585725253</v>
      </c>
      <c r="F65" s="375">
        <f t="shared" si="17"/>
        <v>1.0222332010752175</v>
      </c>
      <c r="G65">
        <f t="shared" si="18"/>
        <v>2249.9710645444802</v>
      </c>
      <c r="O65" s="938"/>
      <c r="P65" s="938"/>
      <c r="Q65" s="938"/>
      <c r="R65" s="938"/>
      <c r="S65" s="938"/>
      <c r="T65" s="938"/>
      <c r="AX65" s="35">
        <f t="shared" si="8"/>
        <v>61</v>
      </c>
      <c r="AY65" s="36" t="s">
        <v>1174</v>
      </c>
      <c r="AZ65" s="36"/>
      <c r="BA65" s="853"/>
      <c r="BB65" s="36"/>
      <c r="BC65" s="851"/>
      <c r="BD65" s="791"/>
    </row>
    <row r="66" spans="2:56" x14ac:dyDescent="0.25">
      <c r="B66" s="938"/>
      <c r="C66">
        <f t="shared" si="20"/>
        <v>6.400000000000003</v>
      </c>
      <c r="D66">
        <f t="shared" si="19"/>
        <v>32</v>
      </c>
      <c r="E66" s="49">
        <f t="shared" si="16"/>
        <v>0.91227821478331672</v>
      </c>
      <c r="F66" s="375">
        <f t="shared" si="17"/>
        <v>1.0207413803164485</v>
      </c>
      <c r="G66">
        <f t="shared" si="18"/>
        <v>2246.6875148249183</v>
      </c>
      <c r="O66" s="938"/>
      <c r="P66" s="938"/>
      <c r="Q66" s="938"/>
      <c r="R66" s="938"/>
      <c r="S66" s="938"/>
      <c r="T66" s="938"/>
      <c r="AX66" s="35">
        <f t="shared" si="8"/>
        <v>62</v>
      </c>
      <c r="AY66" s="36"/>
      <c r="AZ66" s="36"/>
      <c r="BA66" s="853"/>
      <c r="BB66" s="36"/>
      <c r="BC66" s="851"/>
      <c r="BD66" s="791"/>
    </row>
    <row r="67" spans="2:56" x14ac:dyDescent="0.25">
      <c r="B67" s="938"/>
      <c r="C67">
        <f t="shared" si="20"/>
        <v>6.6000000000000032</v>
      </c>
      <c r="D67">
        <f t="shared" si="19"/>
        <v>33</v>
      </c>
      <c r="E67" s="49">
        <f t="shared" si="16"/>
        <v>0.91098780184975769</v>
      </c>
      <c r="F67" s="375">
        <f t="shared" si="17"/>
        <v>1.0192975467822978</v>
      </c>
      <c r="G67">
        <f t="shared" si="18"/>
        <v>2243.5095866668021</v>
      </c>
      <c r="O67" s="938"/>
      <c r="P67" s="938"/>
      <c r="Q67" s="938"/>
      <c r="R67" s="938"/>
      <c r="S67" s="938"/>
      <c r="T67" s="938"/>
      <c r="AX67" s="35">
        <f t="shared" si="8"/>
        <v>63</v>
      </c>
      <c r="AY67" s="36"/>
      <c r="AZ67" s="36"/>
      <c r="BA67" s="853"/>
      <c r="BB67" s="36"/>
      <c r="BC67" s="851"/>
      <c r="BD67" s="791"/>
    </row>
    <row r="68" spans="2:56" x14ac:dyDescent="0.25">
      <c r="B68" s="938"/>
      <c r="C68">
        <f t="shared" si="20"/>
        <v>6.8000000000000034</v>
      </c>
      <c r="D68">
        <f t="shared" si="19"/>
        <v>34</v>
      </c>
      <c r="E68" s="49">
        <f t="shared" si="16"/>
        <v>0.90973765889425406</v>
      </c>
      <c r="F68" s="375">
        <f t="shared" si="17"/>
        <v>1.0178987710302134</v>
      </c>
      <c r="G68">
        <f t="shared" si="18"/>
        <v>2240.4308322645134</v>
      </c>
      <c r="O68" s="938"/>
      <c r="P68" s="938"/>
      <c r="Q68" s="938"/>
      <c r="R68" s="938"/>
      <c r="S68" s="938"/>
      <c r="T68" s="938"/>
      <c r="AX68" s="35">
        <f t="shared" si="8"/>
        <v>64</v>
      </c>
      <c r="AY68" s="36"/>
      <c r="AZ68" s="36"/>
      <c r="BA68" s="853"/>
      <c r="BB68" s="36"/>
      <c r="BC68" s="851"/>
      <c r="BD68" s="791"/>
    </row>
    <row r="69" spans="2:56" x14ac:dyDescent="0.25">
      <c r="B69" s="938"/>
      <c r="C69">
        <f t="shared" si="20"/>
        <v>7.0000000000000036</v>
      </c>
      <c r="D69">
        <f t="shared" si="19"/>
        <v>35</v>
      </c>
      <c r="E69" s="49">
        <f t="shared" si="16"/>
        <v>0.90852539882296357</v>
      </c>
      <c r="F69" s="375">
        <f t="shared" si="17"/>
        <v>1.016542382158464</v>
      </c>
      <c r="G69">
        <f t="shared" si="18"/>
        <v>2237.4453728698309</v>
      </c>
      <c r="O69" s="938"/>
      <c r="P69" s="938"/>
      <c r="Q69" s="938"/>
      <c r="R69" s="938"/>
      <c r="S69" s="938"/>
      <c r="T69" s="938"/>
      <c r="AX69" s="35">
        <f t="shared" si="8"/>
        <v>65</v>
      </c>
      <c r="AY69" s="36">
        <v>78.709999999999994</v>
      </c>
      <c r="AZ69" s="36">
        <v>2426</v>
      </c>
      <c r="BA69" s="853">
        <f>AZ69*$AL$2</f>
        <v>2259.1322751322755</v>
      </c>
      <c r="BB69" s="36"/>
      <c r="BC69" s="851">
        <f t="shared" si="9"/>
        <v>0.56841611996251185</v>
      </c>
      <c r="BD69" s="791">
        <f>BA69/$BA$9</f>
        <v>0.84411969380654139</v>
      </c>
    </row>
    <row r="70" spans="2:56" x14ac:dyDescent="0.25">
      <c r="B70" s="938"/>
      <c r="C70">
        <f t="shared" si="20"/>
        <v>7.2000000000000037</v>
      </c>
      <c r="D70">
        <f t="shared" si="19"/>
        <v>36</v>
      </c>
      <c r="E70" s="49">
        <f t="shared" si="16"/>
        <v>0.90734883928338905</v>
      </c>
      <c r="F70" s="375">
        <f t="shared" si="17"/>
        <v>1.015225938348902</v>
      </c>
      <c r="G70">
        <f t="shared" si="18"/>
        <v>2234.5478339555225</v>
      </c>
      <c r="O70" s="938"/>
      <c r="P70" s="938"/>
      <c r="Q70" s="938"/>
      <c r="R70" s="938"/>
      <c r="S70" s="938"/>
      <c r="T70" s="938"/>
      <c r="AX70" s="35">
        <f t="shared" ref="AX70:AX104" si="21">AX69+1</f>
        <v>66</v>
      </c>
      <c r="AY70" s="36"/>
      <c r="AZ70" s="36"/>
      <c r="BA70" s="853"/>
      <c r="BB70" s="36"/>
      <c r="BC70" s="851"/>
      <c r="BD70" s="791"/>
    </row>
    <row r="71" spans="2:56" x14ac:dyDescent="0.25">
      <c r="B71" s="938"/>
      <c r="C71">
        <f t="shared" si="20"/>
        <v>7.4000000000000039</v>
      </c>
      <c r="D71">
        <f t="shared" si="19"/>
        <v>37</v>
      </c>
      <c r="E71" s="49">
        <f t="shared" ref="E71:E102" si="22">$D$34*(C71^-$D$35)</f>
        <v>0.90620597997599683</v>
      </c>
      <c r="F71" s="375">
        <f t="shared" ref="F71:F102" si="23">E71/$E$84</f>
        <v>1.0139472014811011</v>
      </c>
      <c r="G71">
        <f t="shared" si="18"/>
        <v>2231.7332893401726</v>
      </c>
      <c r="O71" s="938"/>
      <c r="P71" s="938"/>
      <c r="Q71" s="938"/>
      <c r="R71" s="938"/>
      <c r="S71" s="938"/>
      <c r="T71" s="938"/>
      <c r="AX71" s="35">
        <f t="shared" si="21"/>
        <v>67</v>
      </c>
      <c r="AY71" s="36"/>
      <c r="AZ71" s="36"/>
      <c r="BA71" s="853"/>
      <c r="BB71" s="36"/>
      <c r="BC71" s="851"/>
      <c r="BD71" s="791"/>
    </row>
    <row r="72" spans="2:56" x14ac:dyDescent="0.25">
      <c r="B72" s="938"/>
      <c r="C72">
        <f t="shared" si="20"/>
        <v>7.6000000000000041</v>
      </c>
      <c r="D72">
        <f t="shared" si="19"/>
        <v>38</v>
      </c>
      <c r="E72" s="49">
        <f t="shared" si="22"/>
        <v>0.9050949830180347</v>
      </c>
      <c r="F72" s="375">
        <f t="shared" si="23"/>
        <v>1.0127041151615763</v>
      </c>
      <c r="G72">
        <f t="shared" si="18"/>
        <v>2228.997212829725</v>
      </c>
      <c r="O72" s="938"/>
      <c r="P72" s="938"/>
      <c r="Q72" s="938"/>
      <c r="R72" s="938"/>
      <c r="S72" s="938"/>
      <c r="T72" s="938"/>
      <c r="AX72" s="35">
        <f t="shared" si="21"/>
        <v>68</v>
      </c>
      <c r="AY72" s="36"/>
      <c r="AZ72" s="36"/>
      <c r="BA72" s="853"/>
      <c r="BB72" s="36"/>
      <c r="BC72" s="851"/>
      <c r="BD72" s="791"/>
    </row>
    <row r="73" spans="2:56" x14ac:dyDescent="0.25">
      <c r="B73" s="938"/>
      <c r="C73">
        <f t="shared" si="20"/>
        <v>7.8000000000000043</v>
      </c>
      <c r="D73">
        <f t="shared" si="19"/>
        <v>39</v>
      </c>
      <c r="E73" s="49">
        <f t="shared" si="22"/>
        <v>0.90401415588032019</v>
      </c>
      <c r="F73" s="375">
        <f t="shared" si="23"/>
        <v>1.0114947856318821</v>
      </c>
      <c r="G73">
        <f t="shared" si="18"/>
        <v>2226.3354361955389</v>
      </c>
      <c r="O73" s="938"/>
      <c r="P73" s="938"/>
      <c r="Q73" s="938"/>
      <c r="R73" s="938"/>
      <c r="S73" s="938"/>
      <c r="T73" s="938"/>
      <c r="AX73" s="35">
        <f t="shared" si="21"/>
        <v>69</v>
      </c>
      <c r="AY73" s="36"/>
      <c r="AZ73" s="36"/>
      <c r="BA73" s="853"/>
      <c r="BB73" s="36"/>
      <c r="BC73" s="851"/>
      <c r="BD73" s="791"/>
    </row>
    <row r="74" spans="2:56" x14ac:dyDescent="0.25">
      <c r="B74" s="938"/>
      <c r="C74">
        <f t="shared" si="20"/>
        <v>8.0000000000000036</v>
      </c>
      <c r="D74">
        <f t="shared" si="19"/>
        <v>40</v>
      </c>
      <c r="E74" s="49">
        <f t="shared" si="22"/>
        <v>0.90296193650324952</v>
      </c>
      <c r="F74" s="375">
        <f t="shared" si="23"/>
        <v>1.0103174651150242</v>
      </c>
      <c r="G74">
        <f t="shared" si="18"/>
        <v>2223.7441125192595</v>
      </c>
      <c r="O74" s="938"/>
      <c r="P74" s="938"/>
      <c r="Q74" s="938"/>
      <c r="R74" s="938"/>
      <c r="S74" s="938"/>
      <c r="T74" s="938"/>
      <c r="AX74" s="35">
        <f t="shared" si="21"/>
        <v>70</v>
      </c>
      <c r="AY74" s="36">
        <v>84.77</v>
      </c>
      <c r="AZ74" s="36">
        <v>2422</v>
      </c>
      <c r="BA74" s="853">
        <f>AZ74*$AL$2</f>
        <v>2255.4074074074074</v>
      </c>
      <c r="BB74" s="36"/>
      <c r="BC74" s="851">
        <f>BA74/$BA$5</f>
        <v>0.56747891283973761</v>
      </c>
      <c r="BD74" s="791">
        <f>BA74/$BA$9</f>
        <v>0.84272790535838538</v>
      </c>
    </row>
    <row r="75" spans="2:56" x14ac:dyDescent="0.25">
      <c r="B75" s="938"/>
      <c r="C75">
        <f t="shared" si="20"/>
        <v>8.2000000000000028</v>
      </c>
      <c r="D75">
        <f t="shared" si="19"/>
        <v>41</v>
      </c>
      <c r="E75" s="49">
        <f t="shared" si="22"/>
        <v>0.90193688026676988</v>
      </c>
      <c r="F75" s="375">
        <f t="shared" si="23"/>
        <v>1.0091705372362578</v>
      </c>
      <c r="G75">
        <f t="shared" si="18"/>
        <v>2221.2196841034838</v>
      </c>
      <c r="O75" s="938"/>
      <c r="P75" s="938"/>
      <c r="Q75" s="938"/>
      <c r="R75" s="938"/>
      <c r="S75" s="938"/>
      <c r="T75" s="938"/>
      <c r="AX75" s="35">
        <f t="shared" si="21"/>
        <v>71</v>
      </c>
      <c r="AY75" s="36"/>
      <c r="AZ75" s="36"/>
      <c r="BA75" s="853"/>
      <c r="BB75" s="36"/>
      <c r="BC75" s="851"/>
      <c r="BD75" s="791"/>
    </row>
    <row r="76" spans="2:56" x14ac:dyDescent="0.25">
      <c r="B76" s="938"/>
      <c r="C76">
        <f t="shared" si="20"/>
        <v>8.4000000000000021</v>
      </c>
      <c r="D76">
        <f t="shared" si="19"/>
        <v>42</v>
      </c>
      <c r="E76" s="49">
        <f t="shared" si="22"/>
        <v>0.90093764854426894</v>
      </c>
      <c r="F76" s="375">
        <f t="shared" si="23"/>
        <v>1.0080525042161184</v>
      </c>
      <c r="G76">
        <f t="shared" si="18"/>
        <v>2218.7588542831718</v>
      </c>
      <c r="O76" s="938"/>
      <c r="P76" s="938"/>
      <c r="Q76" s="938"/>
      <c r="R76" s="938"/>
      <c r="S76" s="938"/>
      <c r="T76" s="938"/>
      <c r="AX76" s="35">
        <f t="shared" si="21"/>
        <v>72</v>
      </c>
      <c r="AY76" s="36"/>
      <c r="AZ76" s="36"/>
      <c r="BA76" s="853"/>
      <c r="BB76" s="36"/>
      <c r="BC76" s="851"/>
      <c r="BD76" s="791"/>
    </row>
    <row r="77" spans="2:56" x14ac:dyDescent="0.25">
      <c r="B77" s="938"/>
      <c r="C77">
        <f t="shared" si="20"/>
        <v>8.6000000000000014</v>
      </c>
      <c r="D77">
        <f t="shared" si="19"/>
        <v>43</v>
      </c>
      <c r="E77" s="49">
        <f t="shared" si="22"/>
        <v>0.89996299861510487</v>
      </c>
      <c r="F77" s="375">
        <f t="shared" si="23"/>
        <v>1.0069619755836261</v>
      </c>
      <c r="G77">
        <f t="shared" si="18"/>
        <v>2216.3585625830156</v>
      </c>
      <c r="O77" s="938"/>
      <c r="P77" s="938"/>
      <c r="Q77" s="938"/>
      <c r="R77" s="938"/>
      <c r="S77" s="938"/>
      <c r="T77" s="938"/>
      <c r="AX77" s="35">
        <f t="shared" si="21"/>
        <v>73</v>
      </c>
      <c r="AY77" s="36"/>
      <c r="AZ77" s="36"/>
      <c r="BA77" s="853"/>
      <c r="BB77" s="36"/>
      <c r="BC77" s="851"/>
      <c r="BD77" s="791"/>
    </row>
    <row r="78" spans="2:56" x14ac:dyDescent="0.25">
      <c r="B78" s="938"/>
      <c r="C78">
        <f t="shared" si="20"/>
        <v>8.8000000000000007</v>
      </c>
      <c r="D78">
        <f t="shared" si="19"/>
        <v>44</v>
      </c>
      <c r="E78" s="49">
        <f t="shared" si="22"/>
        <v>0.89901177474698102</v>
      </c>
      <c r="F78" s="375">
        <f t="shared" si="23"/>
        <v>1.0058976581984198</v>
      </c>
      <c r="G78">
        <f t="shared" si="18"/>
        <v>2214.0159627558069</v>
      </c>
      <c r="O78" s="938"/>
      <c r="P78" s="938"/>
      <c r="Q78" s="938"/>
      <c r="R78" s="938"/>
      <c r="S78" s="938"/>
      <c r="T78" s="938"/>
      <c r="AX78" s="35">
        <f t="shared" si="21"/>
        <v>74</v>
      </c>
      <c r="AY78" s="36"/>
      <c r="AZ78" s="36"/>
      <c r="BA78" s="853"/>
      <c r="BB78" s="36"/>
      <c r="BC78" s="851"/>
      <c r="BD78" s="791"/>
    </row>
    <row r="79" spans="2:56" x14ac:dyDescent="0.25">
      <c r="B79" s="938"/>
      <c r="C79">
        <f t="shared" si="20"/>
        <v>9</v>
      </c>
      <c r="D79">
        <f t="shared" si="19"/>
        <v>45</v>
      </c>
      <c r="E79" s="49">
        <f t="shared" si="22"/>
        <v>0.89808290028925486</v>
      </c>
      <c r="F79" s="375">
        <f t="shared" si="23"/>
        <v>1.00485834740402</v>
      </c>
      <c r="G79">
        <f t="shared" si="18"/>
        <v>2211.7284033104588</v>
      </c>
      <c r="O79" s="938"/>
      <c r="P79" s="938"/>
      <c r="Q79" s="938"/>
      <c r="R79" s="938"/>
      <c r="S79" s="938"/>
      <c r="T79" s="938"/>
      <c r="AX79" s="35">
        <f t="shared" si="21"/>
        <v>75</v>
      </c>
      <c r="AY79" s="36">
        <v>90.82</v>
      </c>
      <c r="AZ79" s="36">
        <v>2418</v>
      </c>
      <c r="BA79" s="853">
        <f>AZ79*$AL$2</f>
        <v>2251.6825396825398</v>
      </c>
      <c r="BB79" s="36"/>
      <c r="BC79" s="851">
        <f>BA79/$BA$5</f>
        <v>0.5665417057169635</v>
      </c>
      <c r="BD79" s="791">
        <f>BA79/$BA$9</f>
        <v>0.84133611691022958</v>
      </c>
    </row>
    <row r="80" spans="2:56" x14ac:dyDescent="0.25">
      <c r="B80" s="938"/>
      <c r="C80">
        <f t="shared" si="20"/>
        <v>9.1999999999999993</v>
      </c>
      <c r="D80">
        <f t="shared" si="19"/>
        <v>46</v>
      </c>
      <c r="E80" s="49">
        <f t="shared" si="22"/>
        <v>0.89717537064288244</v>
      </c>
      <c r="F80" s="375">
        <f t="shared" si="23"/>
        <v>1.00384291916195</v>
      </c>
      <c r="G80">
        <f t="shared" si="18"/>
        <v>2209.4934101989302</v>
      </c>
      <c r="O80" s="938"/>
      <c r="P80" s="938"/>
      <c r="Q80" s="938"/>
      <c r="R80" s="938"/>
      <c r="S80" s="938"/>
      <c r="T80" s="938"/>
      <c r="AX80" s="35">
        <f t="shared" si="21"/>
        <v>76</v>
      </c>
      <c r="AY80" s="36"/>
      <c r="AZ80" s="36"/>
      <c r="BA80" s="853"/>
      <c r="BB80" s="36"/>
      <c r="BC80" s="851"/>
      <c r="BD80" s="791"/>
    </row>
    <row r="81" spans="2:56" x14ac:dyDescent="0.25">
      <c r="B81" s="938"/>
      <c r="C81">
        <f t="shared" si="20"/>
        <v>9.3999999999999986</v>
      </c>
      <c r="D81">
        <f t="shared" si="19"/>
        <v>47</v>
      </c>
      <c r="E81" s="49">
        <f t="shared" si="22"/>
        <v>0.89628824699303811</v>
      </c>
      <c r="F81" s="375">
        <f t="shared" si="23"/>
        <v>1.0028503230392105</v>
      </c>
      <c r="G81">
        <f t="shared" si="18"/>
        <v>2207.3086713814141</v>
      </c>
      <c r="O81" s="938"/>
      <c r="P81" s="938"/>
      <c r="Q81" s="938"/>
      <c r="R81" s="938"/>
      <c r="S81" s="938"/>
      <c r="T81" s="938"/>
      <c r="AX81" s="35">
        <f t="shared" si="21"/>
        <v>77</v>
      </c>
      <c r="AY81" s="36"/>
      <c r="AZ81" s="36"/>
      <c r="BA81" s="853"/>
      <c r="BB81" s="36"/>
      <c r="BC81" s="851"/>
      <c r="BD81" s="791"/>
    </row>
    <row r="82" spans="2:56" x14ac:dyDescent="0.25">
      <c r="B82" s="938"/>
      <c r="C82">
        <f t="shared" si="20"/>
        <v>9.5999999999999979</v>
      </c>
      <c r="D82">
        <f t="shared" si="19"/>
        <v>48</v>
      </c>
      <c r="E82" s="49">
        <f t="shared" si="22"/>
        <v>0.89542065070735466</v>
      </c>
      <c r="F82" s="375">
        <f t="shared" si="23"/>
        <v>1.001879575940513</v>
      </c>
      <c r="G82">
        <f t="shared" si="18"/>
        <v>2205.172023030761</v>
      </c>
      <c r="O82" s="938"/>
      <c r="P82" s="938"/>
      <c r="Q82" s="938"/>
      <c r="R82" s="938"/>
      <c r="S82" s="938"/>
      <c r="T82" s="938"/>
      <c r="AX82" s="35">
        <f t="shared" si="21"/>
        <v>78</v>
      </c>
      <c r="AY82" s="36"/>
      <c r="AZ82" s="36"/>
      <c r="BA82" s="853"/>
      <c r="BB82" s="36"/>
      <c r="BC82" s="851"/>
      <c r="BD82" s="791"/>
    </row>
    <row r="83" spans="2:56" x14ac:dyDescent="0.25">
      <c r="B83" s="938"/>
      <c r="C83">
        <f t="shared" si="20"/>
        <v>9.7999999999999972</v>
      </c>
      <c r="D83">
        <f t="shared" si="19"/>
        <v>49</v>
      </c>
      <c r="E83" s="49">
        <f t="shared" si="22"/>
        <v>0.89457175831683045</v>
      </c>
      <c r="F83" s="375">
        <f t="shared" si="23"/>
        <v>1.0009297564924517</v>
      </c>
      <c r="G83">
        <f t="shared" si="18"/>
        <v>2203.0814371718479</v>
      </c>
      <c r="O83" s="938"/>
      <c r="P83" s="938"/>
      <c r="Q83" s="938"/>
      <c r="R83" s="938"/>
      <c r="S83" s="938"/>
      <c r="T83" s="938"/>
      <c r="AX83" s="35">
        <f t="shared" si="21"/>
        <v>79</v>
      </c>
      <c r="AY83" s="36"/>
      <c r="AZ83" s="36"/>
      <c r="BA83" s="853"/>
      <c r="BB83" s="36"/>
      <c r="BC83" s="851"/>
      <c r="BD83" s="791"/>
    </row>
    <row r="84" spans="2:56" x14ac:dyDescent="0.25">
      <c r="B84" s="938"/>
      <c r="C84">
        <f t="shared" si="20"/>
        <v>9.9999999999999964</v>
      </c>
      <c r="D84" s="52">
        <f t="shared" si="19"/>
        <v>50</v>
      </c>
      <c r="E84" s="49">
        <f t="shared" si="22"/>
        <v>0.89374079700824305</v>
      </c>
      <c r="F84" s="793">
        <f t="shared" si="23"/>
        <v>1</v>
      </c>
      <c r="G84" s="793">
        <f>D5</f>
        <v>2201.0350105806469</v>
      </c>
      <c r="O84" s="938"/>
      <c r="P84" s="938"/>
      <c r="Q84" s="938"/>
      <c r="R84" s="938"/>
      <c r="S84" s="938"/>
      <c r="T84" s="938"/>
      <c r="AX84" s="35">
        <f t="shared" si="21"/>
        <v>80</v>
      </c>
      <c r="AY84" s="36">
        <v>96.88</v>
      </c>
      <c r="AZ84" s="36">
        <v>2414</v>
      </c>
      <c r="BA84" s="853">
        <f>AZ84*$AL$2</f>
        <v>2247.9576719576721</v>
      </c>
      <c r="BB84" s="36"/>
      <c r="BC84" s="851">
        <f>BA84/$BA$5</f>
        <v>0.56560449859418938</v>
      </c>
      <c r="BD84" s="791">
        <f>BA84/$BA$9</f>
        <v>0.83994432846207367</v>
      </c>
    </row>
    <row r="85" spans="2:56" x14ac:dyDescent="0.25">
      <c r="B85" s="938"/>
      <c r="C85">
        <f t="shared" si="20"/>
        <v>10.199999999999996</v>
      </c>
      <c r="D85">
        <f t="shared" si="19"/>
        <v>51</v>
      </c>
      <c r="E85" s="49">
        <f t="shared" si="22"/>
        <v>0.89292704056685268</v>
      </c>
      <c r="F85" s="375">
        <f t="shared" si="23"/>
        <v>0.99908949390683033</v>
      </c>
      <c r="G85">
        <f t="shared" ref="G85:G116" si="24">$G$84*F85</f>
        <v>2199.0309547922334</v>
      </c>
      <c r="O85" s="938"/>
      <c r="P85" s="938"/>
      <c r="Q85" s="938"/>
      <c r="R85" s="938"/>
      <c r="S85" s="938"/>
      <c r="T85" s="938"/>
      <c r="AX85" s="35">
        <f t="shared" si="21"/>
        <v>81</v>
      </c>
      <c r="AY85" s="36"/>
      <c r="AZ85" s="36"/>
      <c r="BA85" s="853"/>
      <c r="BB85" s="36"/>
      <c r="BC85" s="851"/>
      <c r="BD85" s="791"/>
    </row>
    <row r="86" spans="2:56" x14ac:dyDescent="0.25">
      <c r="B86" s="938"/>
      <c r="C86">
        <f t="shared" si="20"/>
        <v>10.399999999999995</v>
      </c>
      <c r="D86">
        <f t="shared" si="19"/>
        <v>52</v>
      </c>
      <c r="E86" s="49">
        <f t="shared" si="22"/>
        <v>0.89212980571653788</v>
      </c>
      <c r="F86" s="375">
        <f t="shared" si="23"/>
        <v>0.99819747370031908</v>
      </c>
      <c r="G86">
        <f t="shared" si="24"/>
        <v>2197.0675870875571</v>
      </c>
      <c r="O86" s="938"/>
      <c r="P86" s="938"/>
      <c r="Q86" s="938"/>
      <c r="R86" s="938"/>
      <c r="S86" s="938"/>
      <c r="T86" s="938"/>
      <c r="AX86" s="35">
        <f t="shared" si="21"/>
        <v>82</v>
      </c>
      <c r="AY86" s="36"/>
      <c r="AZ86" s="36"/>
      <c r="BA86" s="853"/>
      <c r="BB86" s="36"/>
      <c r="BC86" s="851"/>
      <c r="BD86" s="791"/>
    </row>
    <row r="87" spans="2:56" x14ac:dyDescent="0.25">
      <c r="B87" s="938"/>
      <c r="C87">
        <f t="shared" si="20"/>
        <v>10.599999999999994</v>
      </c>
      <c r="D87">
        <f t="shared" si="19"/>
        <v>53</v>
      </c>
      <c r="E87" s="49">
        <f t="shared" si="22"/>
        <v>0.89134844881160935</v>
      </c>
      <c r="F87" s="375">
        <f t="shared" si="23"/>
        <v>0.99732321921004163</v>
      </c>
      <c r="G87">
        <f t="shared" si="24"/>
        <v>2195.1433223462986</v>
      </c>
      <c r="O87" s="938"/>
      <c r="P87" s="938"/>
      <c r="Q87" s="938"/>
      <c r="R87" s="938"/>
      <c r="S87" s="938"/>
      <c r="T87" s="938"/>
      <c r="AX87" s="35">
        <f t="shared" si="21"/>
        <v>83</v>
      </c>
      <c r="AY87" s="36"/>
      <c r="AZ87" s="36"/>
      <c r="BA87" s="853"/>
      <c r="BB87" s="36"/>
      <c r="BC87" s="851"/>
      <c r="BD87" s="791"/>
    </row>
    <row r="88" spans="2:56" x14ac:dyDescent="0.25">
      <c r="B88" s="938"/>
      <c r="C88">
        <f t="shared" si="20"/>
        <v>10.799999999999994</v>
      </c>
      <c r="D88">
        <f t="shared" si="19"/>
        <v>54</v>
      </c>
      <c r="E88" s="49">
        <f t="shared" si="22"/>
        <v>0.89058236284056125</v>
      </c>
      <c r="F88" s="375">
        <f t="shared" si="23"/>
        <v>0.99646605125529175</v>
      </c>
      <c r="G88">
        <f t="shared" si="24"/>
        <v>2193.2566656679464</v>
      </c>
      <c r="O88" s="938"/>
      <c r="P88" s="938"/>
      <c r="Q88" s="938"/>
      <c r="R88" s="938"/>
      <c r="S88" s="938"/>
      <c r="T88" s="938"/>
      <c r="AX88" s="35">
        <f t="shared" si="21"/>
        <v>84</v>
      </c>
      <c r="AY88" s="36"/>
      <c r="AZ88" s="36"/>
      <c r="BA88" s="853"/>
      <c r="BB88" s="36"/>
      <c r="BC88" s="851"/>
      <c r="BD88" s="791"/>
    </row>
    <row r="89" spans="2:56" x14ac:dyDescent="0.25">
      <c r="B89" s="938"/>
      <c r="C89">
        <f t="shared" si="20"/>
        <v>10.999999999999993</v>
      </c>
      <c r="D89">
        <f t="shared" si="19"/>
        <v>55</v>
      </c>
      <c r="E89" s="49">
        <f t="shared" si="22"/>
        <v>0.88983097470717165</v>
      </c>
      <c r="F89" s="375">
        <f t="shared" si="23"/>
        <v>0.99562532860292452</v>
      </c>
      <c r="G89">
        <f t="shared" si="24"/>
        <v>2191.406205675898</v>
      </c>
      <c r="O89" s="938"/>
      <c r="P89" s="938"/>
      <c r="Q89" s="938"/>
      <c r="R89" s="938"/>
      <c r="S89" s="938"/>
      <c r="T89" s="938"/>
      <c r="AX89" s="35">
        <f t="shared" si="21"/>
        <v>85</v>
      </c>
      <c r="AY89" s="36">
        <v>102.93</v>
      </c>
      <c r="AZ89" s="36">
        <v>2410</v>
      </c>
      <c r="BA89" s="853">
        <f>AZ89*$AL$2</f>
        <v>2244.2328042328045</v>
      </c>
      <c r="BB89" s="36"/>
      <c r="BC89" s="851">
        <f>BA89/$BA$5</f>
        <v>0.56466729147141526</v>
      </c>
      <c r="BD89" s="791">
        <f>BA89/$BA$9</f>
        <v>0.83855254001391788</v>
      </c>
    </row>
    <row r="90" spans="2:56" x14ac:dyDescent="0.25">
      <c r="B90" s="938"/>
      <c r="C90">
        <f t="shared" si="20"/>
        <v>11.199999999999992</v>
      </c>
      <c r="D90">
        <f t="shared" si="19"/>
        <v>56</v>
      </c>
      <c r="E90" s="49">
        <f t="shared" si="22"/>
        <v>0.88909374275873598</v>
      </c>
      <c r="F90" s="375">
        <f t="shared" si="23"/>
        <v>0.99480044520171518</v>
      </c>
      <c r="G90">
        <f t="shared" si="24"/>
        <v>2189.5906084301896</v>
      </c>
      <c r="O90" s="938"/>
      <c r="P90" s="938"/>
      <c r="Q90" s="938"/>
      <c r="R90" s="938"/>
      <c r="S90" s="938"/>
      <c r="T90" s="938"/>
      <c r="AX90" s="35">
        <f t="shared" si="21"/>
        <v>86</v>
      </c>
      <c r="AY90" s="36"/>
      <c r="AZ90" s="36"/>
      <c r="BA90" s="853"/>
      <c r="BB90" s="36"/>
      <c r="BC90" s="851"/>
      <c r="BD90" s="791"/>
    </row>
    <row r="91" spans="2:56" x14ac:dyDescent="0.25">
      <c r="B91" s="938"/>
      <c r="C91">
        <f t="shared" si="20"/>
        <v>11.399999999999991</v>
      </c>
      <c r="D91">
        <f t="shared" si="19"/>
        <v>57</v>
      </c>
      <c r="E91" s="49">
        <f t="shared" si="22"/>
        <v>0.88837015453500201</v>
      </c>
      <c r="F91" s="375">
        <f t="shared" si="23"/>
        <v>0.99399082766365932</v>
      </c>
      <c r="G91">
        <f t="shared" si="24"/>
        <v>2187.8086118837482</v>
      </c>
      <c r="O91" s="938"/>
      <c r="P91" s="938"/>
      <c r="Q91" s="938"/>
      <c r="R91" s="938"/>
      <c r="S91" s="938"/>
      <c r="T91" s="938"/>
      <c r="AX91" s="35">
        <f t="shared" si="21"/>
        <v>87</v>
      </c>
      <c r="AY91" s="36"/>
      <c r="AZ91" s="36"/>
      <c r="BA91" s="853"/>
      <c r="BB91" s="36"/>
      <c r="BC91" s="851"/>
      <c r="BD91" s="791"/>
    </row>
    <row r="92" spans="2:56" x14ac:dyDescent="0.25">
      <c r="B92" s="938"/>
      <c r="C92">
        <f t="shared" si="20"/>
        <v>11.599999999999991</v>
      </c>
      <c r="D92">
        <f t="shared" si="19"/>
        <v>58</v>
      </c>
      <c r="E92" s="49">
        <f t="shared" si="22"/>
        <v>0.88765972471459798</v>
      </c>
      <c r="F92" s="375">
        <f t="shared" si="23"/>
        <v>0.99319593296624575</v>
      </c>
      <c r="G92">
        <f t="shared" si="24"/>
        <v>2186.0590208250164</v>
      </c>
      <c r="O92" s="938"/>
      <c r="P92" s="938"/>
      <c r="Q92" s="938"/>
      <c r="R92" s="938"/>
      <c r="S92" s="938"/>
      <c r="T92" s="938"/>
      <c r="AX92" s="35">
        <f t="shared" si="21"/>
        <v>88</v>
      </c>
      <c r="AY92" s="36"/>
      <c r="AZ92" s="36"/>
      <c r="BA92" s="853"/>
      <c r="BB92" s="36"/>
      <c r="BC92" s="851"/>
      <c r="BD92" s="791"/>
    </row>
    <row r="93" spans="2:56" x14ac:dyDescent="0.25">
      <c r="B93" s="938"/>
      <c r="C93">
        <f t="shared" si="20"/>
        <v>11.79999999999999</v>
      </c>
      <c r="D93">
        <f t="shared" si="19"/>
        <v>59</v>
      </c>
      <c r="E93" s="49">
        <f t="shared" si="22"/>
        <v>0.88696199323855385</v>
      </c>
      <c r="F93" s="375">
        <f t="shared" si="23"/>
        <v>0.99241524635287892</v>
      </c>
      <c r="G93">
        <f t="shared" si="24"/>
        <v>2184.3407022567044</v>
      </c>
      <c r="O93" s="938"/>
      <c r="P93" s="938"/>
      <c r="Q93" s="938"/>
      <c r="R93" s="938"/>
      <c r="S93" s="938"/>
      <c r="T93" s="938"/>
      <c r="AX93" s="35">
        <f t="shared" si="21"/>
        <v>89</v>
      </c>
      <c r="AY93" s="36"/>
      <c r="AZ93" s="36"/>
      <c r="BA93" s="853"/>
      <c r="BB93" s="36"/>
      <c r="BC93" s="851"/>
      <c r="BD93" s="791"/>
    </row>
    <row r="94" spans="2:56" x14ac:dyDescent="0.25">
      <c r="B94" s="938"/>
      <c r="C94">
        <f t="shared" si="20"/>
        <v>11.999999999999989</v>
      </c>
      <c r="D94">
        <f t="shared" si="19"/>
        <v>60</v>
      </c>
      <c r="E94" s="49">
        <f t="shared" si="22"/>
        <v>0.88627652359291975</v>
      </c>
      <c r="F94" s="375">
        <f t="shared" si="23"/>
        <v>0.99164827941131295</v>
      </c>
      <c r="G94">
        <f t="shared" si="24"/>
        <v>2182.6525811663596</v>
      </c>
      <c r="O94" s="938"/>
      <c r="P94" s="938"/>
      <c r="Q94" s="938"/>
      <c r="R94" s="938"/>
      <c r="S94" s="938"/>
      <c r="T94" s="938"/>
      <c r="AX94" s="35">
        <f t="shared" si="21"/>
        <v>90</v>
      </c>
      <c r="AY94" s="36">
        <v>108.99</v>
      </c>
      <c r="AZ94" s="36">
        <v>2407</v>
      </c>
      <c r="BA94" s="853">
        <f>AZ94*$AL$2</f>
        <v>2241.4391534391534</v>
      </c>
      <c r="BB94" s="36"/>
      <c r="BC94" s="851">
        <f>BA94/$BA$5</f>
        <v>0.56396438612933453</v>
      </c>
      <c r="BD94" s="791">
        <f>BA94/$BA$9</f>
        <v>0.83750869867780087</v>
      </c>
    </row>
    <row r="95" spans="2:56" x14ac:dyDescent="0.25">
      <c r="B95" s="938"/>
      <c r="C95">
        <f t="shared" si="20"/>
        <v>12.199999999999989</v>
      </c>
      <c r="D95">
        <f t="shared" si="19"/>
        <v>61</v>
      </c>
      <c r="E95" s="49">
        <f t="shared" si="22"/>
        <v>0.88560290123458851</v>
      </c>
      <c r="F95" s="375">
        <f t="shared" si="23"/>
        <v>0.99089456831231626</v>
      </c>
      <c r="G95">
        <f t="shared" si="24"/>
        <v>2180.9936366496045</v>
      </c>
      <c r="O95" s="938"/>
      <c r="P95" s="938"/>
      <c r="Q95" s="938"/>
      <c r="R95" s="938"/>
      <c r="S95" s="938"/>
      <c r="T95" s="938"/>
      <c r="AX95" s="35">
        <f t="shared" si="21"/>
        <v>91</v>
      </c>
      <c r="AY95" s="36"/>
      <c r="AZ95" s="36"/>
      <c r="BA95" s="853"/>
      <c r="BB95" s="36"/>
      <c r="BC95" s="851"/>
      <c r="BD95" s="791"/>
    </row>
    <row r="96" spans="2:56" x14ac:dyDescent="0.25">
      <c r="B96" s="938"/>
      <c r="C96">
        <f t="shared" si="20"/>
        <v>12.399999999999988</v>
      </c>
      <c r="D96">
        <f t="shared" si="19"/>
        <v>62</v>
      </c>
      <c r="E96" s="49">
        <f t="shared" si="22"/>
        <v>0.88494073214624636</v>
      </c>
      <c r="F96" s="375">
        <f t="shared" si="23"/>
        <v>0.99015367219281636</v>
      </c>
      <c r="G96">
        <f t="shared" si="24"/>
        <v>2179.3628983513818</v>
      </c>
      <c r="O96" s="938"/>
      <c r="P96" s="938"/>
      <c r="Q96" s="938"/>
      <c r="R96" s="938"/>
      <c r="S96" s="938"/>
      <c r="T96" s="938"/>
      <c r="AX96" s="35">
        <f t="shared" si="21"/>
        <v>92</v>
      </c>
      <c r="AY96" s="36"/>
      <c r="AZ96" s="36"/>
      <c r="BA96" s="853"/>
      <c r="BB96" s="36"/>
      <c r="BC96" s="851"/>
      <c r="BD96" s="791"/>
    </row>
    <row r="97" spans="2:56" x14ac:dyDescent="0.25">
      <c r="B97" s="938"/>
      <c r="C97">
        <f t="shared" si="20"/>
        <v>12.599999999999987</v>
      </c>
      <c r="D97">
        <f t="shared" si="19"/>
        <v>63</v>
      </c>
      <c r="E97" s="49">
        <f t="shared" si="22"/>
        <v>0.88428964150796274</v>
      </c>
      <c r="F97" s="375">
        <f t="shared" si="23"/>
        <v>0.98942517166955157</v>
      </c>
      <c r="G97">
        <f t="shared" si="24"/>
        <v>2177.7594431944499</v>
      </c>
      <c r="O97" s="938"/>
      <c r="P97" s="938"/>
      <c r="Q97" s="938"/>
      <c r="R97" s="938"/>
      <c r="S97" s="938"/>
      <c r="T97" s="938"/>
      <c r="AX97" s="35">
        <f t="shared" si="21"/>
        <v>93</v>
      </c>
      <c r="AY97" s="36"/>
      <c r="AZ97" s="36"/>
      <c r="BA97" s="853"/>
      <c r="BB97" s="36"/>
      <c r="BC97" s="851"/>
      <c r="BD97" s="791"/>
    </row>
    <row r="98" spans="2:56" x14ac:dyDescent="0.25">
      <c r="B98" s="938"/>
      <c r="C98">
        <f t="shared" si="20"/>
        <v>12.799999999999986</v>
      </c>
      <c r="D98">
        <f t="shared" si="19"/>
        <v>64</v>
      </c>
      <c r="E98" s="49">
        <f t="shared" si="22"/>
        <v>0.88364927247431679</v>
      </c>
      <c r="F98" s="375">
        <f t="shared" si="23"/>
        <v>0.98870866747080677</v>
      </c>
      <c r="G98">
        <f t="shared" si="24"/>
        <v>2176.1823923677844</v>
      </c>
      <c r="O98" s="938"/>
      <c r="P98" s="938"/>
      <c r="Q98" s="938"/>
      <c r="R98" s="938"/>
      <c r="S98" s="938"/>
      <c r="T98" s="938"/>
      <c r="AX98" s="35">
        <f t="shared" si="21"/>
        <v>94</v>
      </c>
      <c r="AY98" s="36"/>
      <c r="AZ98" s="36"/>
      <c r="BA98" s="853"/>
      <c r="BB98" s="36"/>
      <c r="BC98" s="851"/>
      <c r="BD98" s="791"/>
    </row>
    <row r="99" spans="2:56" x14ac:dyDescent="0.25">
      <c r="B99" s="938"/>
      <c r="C99">
        <f t="shared" si="20"/>
        <v>12.999999999999986</v>
      </c>
      <c r="D99">
        <f t="shared" si="19"/>
        <v>65</v>
      </c>
      <c r="E99" s="49">
        <f t="shared" si="22"/>
        <v>0.8830192850471702</v>
      </c>
      <c r="F99" s="375">
        <f t="shared" si="23"/>
        <v>0.98800377917516735</v>
      </c>
      <c r="G99">
        <f t="shared" si="24"/>
        <v>2174.6309085505336</v>
      </c>
      <c r="O99" s="938"/>
      <c r="P99" s="938"/>
      <c r="Q99" s="938"/>
      <c r="R99" s="938"/>
      <c r="S99" s="938"/>
      <c r="T99" s="938"/>
      <c r="AX99" s="35">
        <f t="shared" si="21"/>
        <v>95</v>
      </c>
      <c r="AY99" s="36">
        <v>115.04</v>
      </c>
      <c r="AZ99" s="36">
        <v>2404</v>
      </c>
      <c r="BA99" s="853">
        <f>AZ99*$AL$2</f>
        <v>2238.6455026455028</v>
      </c>
      <c r="BB99" s="36"/>
      <c r="BC99" s="851">
        <f>BA99/$BA$5</f>
        <v>0.56326148078725402</v>
      </c>
      <c r="BD99" s="791">
        <f>BA99/$BA$9</f>
        <v>0.83646485734168396</v>
      </c>
    </row>
    <row r="100" spans="2:56" x14ac:dyDescent="0.25">
      <c r="B100" s="938"/>
      <c r="C100">
        <f t="shared" si="20"/>
        <v>13.199999999999985</v>
      </c>
      <c r="D100">
        <f t="shared" si="19"/>
        <v>66</v>
      </c>
      <c r="E100" s="49">
        <f t="shared" si="22"/>
        <v>0.88239935503525835</v>
      </c>
      <c r="F100" s="375">
        <f t="shared" si="23"/>
        <v>0.98731014404741324</v>
      </c>
      <c r="G100">
        <f t="shared" si="24"/>
        <v>2173.1041933497781</v>
      </c>
      <c r="O100" s="938"/>
      <c r="P100" s="938"/>
      <c r="Q100" s="938"/>
      <c r="R100" s="938"/>
      <c r="S100" s="938"/>
      <c r="T100" s="938"/>
      <c r="AX100" s="35">
        <f t="shared" si="21"/>
        <v>96</v>
      </c>
      <c r="AY100" s="36"/>
      <c r="AZ100" s="36"/>
      <c r="BA100" s="853"/>
      <c r="BB100" s="36"/>
      <c r="BC100" s="851"/>
      <c r="BD100" s="791"/>
    </row>
    <row r="101" spans="2:56" x14ac:dyDescent="0.25">
      <c r="B101" s="938"/>
      <c r="C101">
        <f t="shared" si="20"/>
        <v>13.399999999999984</v>
      </c>
      <c r="D101">
        <f t="shared" si="19"/>
        <v>67</v>
      </c>
      <c r="E101" s="49">
        <f t="shared" si="22"/>
        <v>0.88178917309270954</v>
      </c>
      <c r="F101" s="375">
        <f t="shared" si="23"/>
        <v>0.98662741596272541</v>
      </c>
      <c r="G101">
        <f t="shared" si="24"/>
        <v>2171.6014849326739</v>
      </c>
      <c r="O101" s="938"/>
      <c r="P101" s="938"/>
      <c r="Q101" s="938"/>
      <c r="R101" s="938"/>
      <c r="S101" s="938"/>
      <c r="T101" s="938"/>
      <c r="AX101" s="35">
        <f t="shared" si="21"/>
        <v>97</v>
      </c>
      <c r="AY101" s="36"/>
      <c r="AZ101" s="36"/>
      <c r="BA101" s="853"/>
      <c r="BB101" s="36"/>
      <c r="BC101" s="851"/>
      <c r="BD101" s="791"/>
    </row>
    <row r="102" spans="2:56" x14ac:dyDescent="0.25">
      <c r="B102" s="938"/>
      <c r="C102">
        <f t="shared" si="20"/>
        <v>13.599999999999984</v>
      </c>
      <c r="D102">
        <f t="shared" si="19"/>
        <v>68</v>
      </c>
      <c r="E102" s="49">
        <f t="shared" si="22"/>
        <v>0.88118844382942385</v>
      </c>
      <c r="F102" s="375">
        <f t="shared" si="23"/>
        <v>0.985955264411295</v>
      </c>
      <c r="G102">
        <f t="shared" si="24"/>
        <v>2170.1220558355594</v>
      </c>
      <c r="O102" s="938"/>
      <c r="P102" s="938"/>
      <c r="Q102" s="938"/>
      <c r="R102" s="938"/>
      <c r="S102" s="938"/>
      <c r="T102" s="938"/>
      <c r="AX102" s="35">
        <f t="shared" si="21"/>
        <v>98</v>
      </c>
      <c r="AY102" s="36"/>
      <c r="AZ102" s="36"/>
      <c r="BA102" s="853"/>
      <c r="BB102" s="36"/>
      <c r="BC102" s="851"/>
      <c r="BD102" s="791"/>
    </row>
    <row r="103" spans="2:56" x14ac:dyDescent="0.25">
      <c r="B103" s="938"/>
      <c r="C103">
        <f t="shared" si="20"/>
        <v>13.799999999999983</v>
      </c>
      <c r="D103">
        <f t="shared" si="19"/>
        <v>69</v>
      </c>
      <c r="E103" s="49">
        <f t="shared" ref="E103:E134" si="25">$D$34*(C103^-$D$35)</f>
        <v>0.8805968849869692</v>
      </c>
      <c r="F103" s="375">
        <f t="shared" ref="F103:F134" si="26">E103/$E$84</f>
        <v>0.98529337357623992</v>
      </c>
      <c r="G103">
        <f t="shared" si="24"/>
        <v>2168.6652109344204</v>
      </c>
      <c r="O103" s="938"/>
      <c r="P103" s="938"/>
      <c r="Q103" s="938"/>
      <c r="R103" s="938"/>
      <c r="S103" s="938"/>
      <c r="T103" s="938"/>
      <c r="AX103" s="35">
        <f t="shared" si="21"/>
        <v>99</v>
      </c>
      <c r="AY103" s="36"/>
      <c r="AZ103" s="36"/>
      <c r="BA103" s="853"/>
      <c r="BB103" s="36"/>
      <c r="BC103" s="851"/>
      <c r="BD103" s="791"/>
    </row>
    <row r="104" spans="2:56" ht="15.75" thickBot="1" x14ac:dyDescent="0.3">
      <c r="B104" s="938"/>
      <c r="C104">
        <f t="shared" si="20"/>
        <v>13.999999999999982</v>
      </c>
      <c r="D104">
        <f t="shared" ref="D104:D109" si="27">1+D103</f>
        <v>70</v>
      </c>
      <c r="E104" s="49">
        <f t="shared" si="25"/>
        <v>0.88001422667429885</v>
      </c>
      <c r="F104" s="375">
        <f t="shared" si="26"/>
        <v>0.98464144147845412</v>
      </c>
      <c r="G104">
        <f t="shared" si="24"/>
        <v>2167.2302855626726</v>
      </c>
      <c r="O104" s="938"/>
      <c r="P104" s="938"/>
      <c r="Q104" s="938"/>
      <c r="R104" s="938"/>
      <c r="S104" s="938"/>
      <c r="T104" s="938"/>
      <c r="AX104" s="38">
        <f t="shared" si="21"/>
        <v>100</v>
      </c>
      <c r="AY104" s="39">
        <v>121.1</v>
      </c>
      <c r="AZ104" s="39">
        <v>2401</v>
      </c>
      <c r="BA104" s="857">
        <f>AZ104*$AL$2</f>
        <v>2235.8518518518522</v>
      </c>
      <c r="BB104" s="39"/>
      <c r="BC104" s="949">
        <f>BA104/$BA$5</f>
        <v>0.56255857544517351</v>
      </c>
      <c r="BD104" s="791">
        <f>BA104/$BA$9</f>
        <v>0.83542101600556717</v>
      </c>
    </row>
    <row r="105" spans="2:56" x14ac:dyDescent="0.25">
      <c r="B105" s="938"/>
      <c r="C105">
        <f t="shared" ref="C105:C134" si="28">C104+0.2</f>
        <v>14.199999999999982</v>
      </c>
      <c r="D105">
        <f t="shared" si="27"/>
        <v>71</v>
      </c>
      <c r="E105" s="49">
        <f t="shared" si="25"/>
        <v>0.87944021065815792</v>
      </c>
      <c r="F105" s="375">
        <f t="shared" si="26"/>
        <v>0.98399917918264923</v>
      </c>
      <c r="G105">
        <f t="shared" si="24"/>
        <v>2165.8166437636301</v>
      </c>
      <c r="O105" s="938"/>
      <c r="P105" s="938"/>
      <c r="Q105" s="938"/>
      <c r="R105" s="938"/>
      <c r="S105" s="938"/>
      <c r="T105" s="938"/>
      <c r="AX105" s="36"/>
    </row>
    <row r="106" spans="2:56" x14ac:dyDescent="0.25">
      <c r="B106" s="938"/>
      <c r="C106">
        <f t="shared" si="28"/>
        <v>14.399999999999981</v>
      </c>
      <c r="D106">
        <f t="shared" si="27"/>
        <v>72</v>
      </c>
      <c r="E106" s="49">
        <f t="shared" si="25"/>
        <v>0.87887458970355881</v>
      </c>
      <c r="F106" s="375">
        <f t="shared" si="26"/>
        <v>0.98336631005941744</v>
      </c>
      <c r="G106">
        <f t="shared" si="24"/>
        <v>2164.4236766662816</v>
      </c>
      <c r="O106" s="938"/>
      <c r="P106" s="938"/>
      <c r="Q106" s="938"/>
      <c r="R106" s="938"/>
      <c r="S106" s="938"/>
      <c r="T106" s="938"/>
    </row>
    <row r="107" spans="2:56" x14ac:dyDescent="0.25">
      <c r="B107" s="938"/>
      <c r="C107">
        <f t="shared" si="28"/>
        <v>14.59999999999998</v>
      </c>
      <c r="D107">
        <f t="shared" si="27"/>
        <v>73</v>
      </c>
      <c r="E107" s="49">
        <f t="shared" si="25"/>
        <v>0.87831712696014785</v>
      </c>
      <c r="F107" s="375">
        <f t="shared" si="26"/>
        <v>0.98274256909864111</v>
      </c>
      <c r="G107">
        <f t="shared" si="24"/>
        <v>2163.0508009740797</v>
      </c>
      <c r="O107" s="938"/>
      <c r="P107" s="938"/>
      <c r="Q107" s="938"/>
      <c r="R107" s="938"/>
      <c r="S107" s="938"/>
      <c r="T107" s="938"/>
    </row>
    <row r="108" spans="2:56" x14ac:dyDescent="0.25">
      <c r="B108" s="938"/>
      <c r="C108">
        <f t="shared" si="28"/>
        <v>14.799999999999979</v>
      </c>
      <c r="D108">
        <f t="shared" si="27"/>
        <v>74</v>
      </c>
      <c r="E108" s="49">
        <f t="shared" si="25"/>
        <v>0.8777675953906916</v>
      </c>
      <c r="F108" s="375">
        <f t="shared" si="26"/>
        <v>0.98212770227003066</v>
      </c>
      <c r="G108">
        <f t="shared" si="24"/>
        <v>2161.6974575574632</v>
      </c>
      <c r="O108" s="938"/>
      <c r="P108" s="938"/>
      <c r="Q108" s="938"/>
      <c r="R108" s="938"/>
      <c r="S108" s="938"/>
      <c r="T108" s="938"/>
    </row>
    <row r="109" spans="2:56" x14ac:dyDescent="0.25">
      <c r="B109" s="938"/>
      <c r="C109">
        <f t="shared" si="28"/>
        <v>14.999999999999979</v>
      </c>
      <c r="D109">
        <f t="shared" si="27"/>
        <v>75</v>
      </c>
      <c r="E109" s="49">
        <f t="shared" si="25"/>
        <v>0.87722577723826378</v>
      </c>
      <c r="F109" s="375">
        <f t="shared" si="26"/>
        <v>0.98152146592696388</v>
      </c>
      <c r="G109">
        <f t="shared" si="24"/>
        <v>2160.3631101416872</v>
      </c>
      <c r="O109" s="938"/>
      <c r="P109" s="938"/>
      <c r="Q109" s="938"/>
      <c r="R109" s="938"/>
      <c r="S109" s="938"/>
      <c r="T109" s="938"/>
    </row>
    <row r="110" spans="2:56" x14ac:dyDescent="0.25">
      <c r="B110" s="938"/>
      <c r="C110">
        <f t="shared" si="28"/>
        <v>15.199999999999978</v>
      </c>
      <c r="D110">
        <f t="shared" ref="D110:D124" si="29">1+D109</f>
        <v>76</v>
      </c>
      <c r="E110" s="49">
        <f t="shared" si="25"/>
        <v>0.87669146352903415</v>
      </c>
      <c r="F110" s="375">
        <f t="shared" si="26"/>
        <v>0.98092362625016027</v>
      </c>
      <c r="G110">
        <f t="shared" si="24"/>
        <v>2159.0472440823282</v>
      </c>
      <c r="O110" s="938"/>
      <c r="P110" s="938"/>
      <c r="Q110" s="938"/>
      <c r="R110" s="938"/>
      <c r="S110" s="938"/>
      <c r="T110" s="938"/>
    </row>
    <row r="111" spans="2:56" x14ac:dyDescent="0.25">
      <c r="B111" s="938"/>
      <c r="C111">
        <f t="shared" si="28"/>
        <v>15.399999999999977</v>
      </c>
      <c r="D111">
        <f t="shared" si="29"/>
        <v>77</v>
      </c>
      <c r="E111" s="49">
        <f t="shared" si="25"/>
        <v>0.87616445360784734</v>
      </c>
      <c r="F111" s="375">
        <f t="shared" si="26"/>
        <v>0.98033395872804319</v>
      </c>
      <c r="G111">
        <f t="shared" si="24"/>
        <v>2157.7493652215462</v>
      </c>
      <c r="O111" s="938"/>
      <c r="P111" s="938"/>
      <c r="Q111" s="938"/>
      <c r="R111" s="938"/>
      <c r="S111" s="938"/>
      <c r="T111" s="938"/>
    </row>
    <row r="112" spans="2:56" x14ac:dyDescent="0.25">
      <c r="B112" s="938"/>
      <c r="C112">
        <f t="shared" si="28"/>
        <v>15.599999999999977</v>
      </c>
      <c r="D112">
        <f t="shared" si="29"/>
        <v>78</v>
      </c>
      <c r="E112" s="49">
        <f t="shared" si="25"/>
        <v>0.87564455470403413</v>
      </c>
      <c r="F112" s="375">
        <f t="shared" si="26"/>
        <v>0.97975224767092961</v>
      </c>
      <c r="G112">
        <f t="shared" si="24"/>
        <v>2156.468998818797</v>
      </c>
      <c r="O112" s="938"/>
      <c r="P112" s="938"/>
      <c r="Q112" s="938"/>
      <c r="R112" s="938"/>
      <c r="S112" s="938"/>
      <c r="T112" s="938"/>
    </row>
    <row r="113" spans="2:20" x14ac:dyDescent="0.25">
      <c r="B113" s="938"/>
      <c r="C113">
        <f t="shared" si="28"/>
        <v>15.799999999999976</v>
      </c>
      <c r="D113">
        <f t="shared" si="29"/>
        <v>79</v>
      </c>
      <c r="E113" s="49">
        <f t="shared" si="25"/>
        <v>0.87513158152512482</v>
      </c>
      <c r="F113" s="375">
        <f t="shared" si="26"/>
        <v>0.97917828575643884</v>
      </c>
      <c r="G113">
        <f t="shared" si="24"/>
        <v>2155.2056885502629</v>
      </c>
      <c r="O113" s="938"/>
      <c r="P113" s="938"/>
      <c r="Q113" s="938"/>
      <c r="R113" s="938"/>
      <c r="S113" s="938"/>
      <c r="T113" s="938"/>
    </row>
    <row r="114" spans="2:20" x14ac:dyDescent="0.25">
      <c r="B114" s="938"/>
      <c r="C114">
        <f t="shared" si="28"/>
        <v>15.999999999999975</v>
      </c>
      <c r="D114">
        <f t="shared" si="29"/>
        <v>80</v>
      </c>
      <c r="E114" s="49">
        <f t="shared" si="25"/>
        <v>0.87462535587634693</v>
      </c>
      <c r="F114" s="375">
        <f t="shared" si="26"/>
        <v>0.97861187360375157</v>
      </c>
      <c r="G114">
        <f t="shared" si="24"/>
        <v>2153.9589955717802</v>
      </c>
      <c r="O114" s="938"/>
      <c r="P114" s="938"/>
      <c r="Q114" s="938"/>
      <c r="R114" s="938"/>
      <c r="S114" s="938"/>
      <c r="T114" s="938"/>
    </row>
    <row r="115" spans="2:20" x14ac:dyDescent="0.25">
      <c r="B115" s="938"/>
      <c r="C115">
        <f t="shared" si="28"/>
        <v>16.199999999999974</v>
      </c>
      <c r="D115">
        <f t="shared" si="29"/>
        <v>81</v>
      </c>
      <c r="E115" s="49">
        <f t="shared" si="25"/>
        <v>0.87412570630396713</v>
      </c>
      <c r="F115" s="375">
        <f t="shared" si="26"/>
        <v>0.97805281937454736</v>
      </c>
      <c r="G115">
        <f t="shared" si="24"/>
        <v>2152.7284976404885</v>
      </c>
      <c r="O115" s="938"/>
      <c r="P115" s="938"/>
      <c r="Q115" s="938"/>
      <c r="R115" s="938"/>
      <c r="S115" s="938"/>
      <c r="T115" s="938"/>
    </row>
    <row r="116" spans="2:20" x14ac:dyDescent="0.25">
      <c r="B116" s="938"/>
      <c r="C116">
        <f t="shared" si="28"/>
        <v>16.399999999999974</v>
      </c>
      <c r="D116">
        <f t="shared" si="29"/>
        <v>82</v>
      </c>
      <c r="E116" s="49">
        <f t="shared" si="25"/>
        <v>0.87363246776071246</v>
      </c>
      <c r="F116" s="375">
        <f t="shared" si="26"/>
        <v>0.97750093839864727</v>
      </c>
      <c r="G116">
        <f t="shared" si="24"/>
        <v>2151.5137882908589</v>
      </c>
      <c r="O116" s="938"/>
      <c r="P116" s="938"/>
      <c r="Q116" s="938"/>
      <c r="R116" s="938"/>
      <c r="S116" s="938"/>
      <c r="T116" s="938"/>
    </row>
    <row r="117" spans="2:20" x14ac:dyDescent="0.25">
      <c r="B117" s="938"/>
      <c r="C117">
        <f t="shared" si="28"/>
        <v>16.599999999999973</v>
      </c>
      <c r="D117">
        <f t="shared" si="29"/>
        <v>83</v>
      </c>
      <c r="E117" s="49">
        <f t="shared" si="25"/>
        <v>0.87314548129164993</v>
      </c>
      <c r="F117" s="375">
        <f t="shared" si="26"/>
        <v>0.97695605282254649</v>
      </c>
      <c r="G117">
        <f t="shared" ref="G117:G134" si="30">$G$84*F117</f>
        <v>2150.3144760611008</v>
      </c>
      <c r="O117" s="938"/>
      <c r="P117" s="938"/>
      <c r="Q117" s="938"/>
      <c r="R117" s="938"/>
      <c r="S117" s="938"/>
      <c r="T117" s="938"/>
    </row>
    <row r="118" spans="2:20" x14ac:dyDescent="0.25">
      <c r="B118" s="938"/>
      <c r="C118">
        <f t="shared" si="28"/>
        <v>16.799999999999972</v>
      </c>
      <c r="D118">
        <f t="shared" si="29"/>
        <v>84</v>
      </c>
      <c r="E118" s="49">
        <f t="shared" si="25"/>
        <v>0.8726645937390457</v>
      </c>
      <c r="F118" s="375">
        <f t="shared" si="26"/>
        <v>0.97641799127918405</v>
      </c>
      <c r="G118">
        <f t="shared" si="30"/>
        <v>2149.1301837663127</v>
      </c>
      <c r="O118" s="938"/>
      <c r="P118" s="938"/>
      <c r="Q118" s="938"/>
      <c r="R118" s="938"/>
      <c r="S118" s="938"/>
      <c r="T118" s="938"/>
    </row>
    <row r="119" spans="2:20" x14ac:dyDescent="0.25">
      <c r="B119" s="938"/>
      <c r="C119">
        <f t="shared" si="28"/>
        <v>16.999999999999972</v>
      </c>
      <c r="D119">
        <f t="shared" si="29"/>
        <v>85</v>
      </c>
      <c r="E119" s="49">
        <f t="shared" si="25"/>
        <v>0.87218965746484522</v>
      </c>
      <c r="F119" s="375">
        <f t="shared" si="26"/>
        <v>0.97588658857742727</v>
      </c>
      <c r="G119">
        <f t="shared" si="30"/>
        <v>2147.9605478150293</v>
      </c>
      <c r="O119" s="938"/>
      <c r="P119" s="938"/>
      <c r="Q119" s="938"/>
      <c r="R119" s="938"/>
      <c r="S119" s="938"/>
      <c r="T119" s="938"/>
    </row>
    <row r="120" spans="2:20" x14ac:dyDescent="0.25">
      <c r="B120" s="938"/>
      <c r="C120">
        <f t="shared" si="28"/>
        <v>17.199999999999971</v>
      </c>
      <c r="D120">
        <f t="shared" si="29"/>
        <v>86</v>
      </c>
      <c r="E120" s="49">
        <f t="shared" si="25"/>
        <v>0.87172053008952888</v>
      </c>
      <c r="F120" s="375">
        <f t="shared" si="26"/>
        <v>0.97536168540987944</v>
      </c>
      <c r="G120">
        <f t="shared" si="30"/>
        <v>2146.8052175660914</v>
      </c>
      <c r="O120" s="938"/>
      <c r="P120" s="938"/>
      <c r="Q120" s="938"/>
      <c r="R120" s="938"/>
      <c r="S120" s="938"/>
      <c r="T120" s="938"/>
    </row>
    <row r="121" spans="2:20" x14ac:dyDescent="0.25">
      <c r="B121" s="938"/>
      <c r="C121">
        <f t="shared" si="28"/>
        <v>17.39999999999997</v>
      </c>
      <c r="D121">
        <f t="shared" si="29"/>
        <v>87</v>
      </c>
      <c r="E121" s="49">
        <f t="shared" si="25"/>
        <v>0.87125707424619747</v>
      </c>
      <c r="F121" s="375">
        <f t="shared" si="26"/>
        <v>0.9748431280777281</v>
      </c>
      <c r="G121">
        <f t="shared" si="30"/>
        <v>2145.6638547230332</v>
      </c>
      <c r="O121" s="938"/>
      <c r="P121" s="938"/>
      <c r="Q121" s="938"/>
      <c r="R121" s="938"/>
      <c r="S121" s="938"/>
      <c r="T121" s="938"/>
    </row>
    <row r="122" spans="2:20" x14ac:dyDescent="0.25">
      <c r="B122" s="938"/>
      <c r="C122">
        <f t="shared" si="28"/>
        <v>17.599999999999969</v>
      </c>
      <c r="D122">
        <f t="shared" si="29"/>
        <v>88</v>
      </c>
      <c r="E122" s="49">
        <f t="shared" si="25"/>
        <v>0.87079915734883762</v>
      </c>
      <c r="F122" s="375">
        <f t="shared" si="26"/>
        <v>0.9743307682314587</v>
      </c>
      <c r="G122">
        <f t="shared" si="30"/>
        <v>2144.5361327633786</v>
      </c>
      <c r="O122" s="938"/>
      <c r="P122" s="938"/>
      <c r="Q122" s="938"/>
      <c r="R122" s="938"/>
      <c r="S122" s="938"/>
      <c r="T122" s="938"/>
    </row>
    <row r="123" spans="2:20" x14ac:dyDescent="0.25">
      <c r="B123" s="938"/>
      <c r="C123">
        <f t="shared" si="28"/>
        <v>17.799999999999969</v>
      </c>
      <c r="D123">
        <f t="shared" si="29"/>
        <v>89</v>
      </c>
      <c r="E123" s="49">
        <f t="shared" si="25"/>
        <v>0.87034665137379674</v>
      </c>
      <c r="F123" s="375">
        <f t="shared" si="26"/>
        <v>0.97382446262634859</v>
      </c>
      <c r="G123">
        <f t="shared" si="30"/>
        <v>2143.421736400478</v>
      </c>
      <c r="O123" s="938"/>
      <c r="P123" s="938"/>
      <c r="Q123" s="938"/>
      <c r="R123" s="938"/>
      <c r="S123" s="938"/>
      <c r="T123" s="938"/>
    </row>
    <row r="124" spans="2:20" x14ac:dyDescent="0.25">
      <c r="B124" s="938"/>
      <c r="C124">
        <f t="shared" si="28"/>
        <v>17.999999999999968</v>
      </c>
      <c r="D124">
        <f t="shared" si="29"/>
        <v>90</v>
      </c>
      <c r="E124" s="49">
        <f t="shared" si="25"/>
        <v>0.86989943265357617</v>
      </c>
      <c r="F124" s="375">
        <f t="shared" si="26"/>
        <v>0.97332407289174361</v>
      </c>
      <c r="G124">
        <f t="shared" si="30"/>
        <v>2142.3203610756773</v>
      </c>
      <c r="O124" s="938"/>
      <c r="P124" s="938"/>
      <c r="Q124" s="938"/>
      <c r="R124" s="938"/>
      <c r="S124" s="938"/>
      <c r="T124" s="938"/>
    </row>
    <row r="125" spans="2:20" x14ac:dyDescent="0.25">
      <c r="B125" s="938"/>
      <c r="C125">
        <f t="shared" si="28"/>
        <v>18.199999999999967</v>
      </c>
      <c r="D125">
        <f>1+D124</f>
        <v>91</v>
      </c>
      <c r="E125" s="49">
        <f t="shared" si="25"/>
        <v>0.86945738168211961</v>
      </c>
      <c r="F125" s="375">
        <f t="shared" si="26"/>
        <v>0.97282946531319703</v>
      </c>
      <c r="G125">
        <f t="shared" si="30"/>
        <v>2141.2317124787978</v>
      </c>
      <c r="O125" s="938"/>
      <c r="P125" s="938"/>
      <c r="Q125" s="938"/>
      <c r="R125" s="938"/>
      <c r="S125" s="938"/>
      <c r="T125" s="938"/>
    </row>
    <row r="126" spans="2:20" x14ac:dyDescent="0.25">
      <c r="B126" s="938"/>
      <c r="C126">
        <f t="shared" si="28"/>
        <v>18.399999999999967</v>
      </c>
      <c r="D126">
        <f t="shared" ref="D126:D133" si="31">1+D125</f>
        <v>92</v>
      </c>
      <c r="E126" s="49">
        <f t="shared" si="25"/>
        <v>0.86902038293083739</v>
      </c>
      <c r="F126" s="375">
        <f t="shared" si="26"/>
        <v>0.97234051062661997</v>
      </c>
      <c r="G126">
        <f t="shared" si="30"/>
        <v>2140.1555060950541</v>
      </c>
      <c r="O126" s="938"/>
      <c r="P126" s="938"/>
      <c r="Q126" s="938"/>
      <c r="R126" s="938"/>
      <c r="S126" s="938"/>
      <c r="T126" s="938"/>
    </row>
    <row r="127" spans="2:20" x14ac:dyDescent="0.25">
      <c r="B127" s="938"/>
      <c r="C127">
        <f t="shared" si="28"/>
        <v>18.599999999999966</v>
      </c>
      <c r="D127">
        <f t="shared" si="31"/>
        <v>93</v>
      </c>
      <c r="E127" s="49">
        <f t="shared" si="25"/>
        <v>0.86858832467466462</v>
      </c>
      <c r="F127" s="375">
        <f t="shared" si="26"/>
        <v>0.97185708382365987</v>
      </c>
      <c r="G127">
        <f t="shared" si="30"/>
        <v>2139.091466776686</v>
      </c>
      <c r="O127" s="938"/>
      <c r="P127" s="938"/>
      <c r="Q127" s="938"/>
      <c r="R127" s="938"/>
      <c r="S127" s="938"/>
      <c r="T127" s="938"/>
    </row>
    <row r="128" spans="2:20" x14ac:dyDescent="0.25">
      <c r="B128" s="938"/>
      <c r="C128">
        <f t="shared" si="28"/>
        <v>18.799999999999965</v>
      </c>
      <c r="D128">
        <f t="shared" si="31"/>
        <v>94</v>
      </c>
      <c r="E128" s="49">
        <f t="shared" si="25"/>
        <v>0.86816109882750492</v>
      </c>
      <c r="F128" s="375">
        <f t="shared" si="26"/>
        <v>0.97137906396757867</v>
      </c>
      <c r="G128">
        <f t="shared" si="30"/>
        <v>2138.0393283376984</v>
      </c>
      <c r="O128" s="938"/>
      <c r="P128" s="938"/>
      <c r="Q128" s="938"/>
      <c r="R128" s="938"/>
      <c r="S128" s="938"/>
      <c r="T128" s="938"/>
    </row>
    <row r="129" spans="1:20" x14ac:dyDescent="0.25">
      <c r="B129" s="938"/>
      <c r="C129">
        <f t="shared" si="28"/>
        <v>18.999999999999964</v>
      </c>
      <c r="D129">
        <f t="shared" si="31"/>
        <v>95</v>
      </c>
      <c r="E129" s="49">
        <f t="shared" si="25"/>
        <v>0.86773860078645981</v>
      </c>
      <c r="F129" s="375">
        <f t="shared" si="26"/>
        <v>0.97090633401896342</v>
      </c>
      <c r="G129">
        <f t="shared" si="30"/>
        <v>2136.9988331702461</v>
      </c>
      <c r="O129" s="938"/>
      <c r="P129" s="938"/>
      <c r="Q129" s="938"/>
      <c r="R129" s="938"/>
      <c r="S129" s="938"/>
      <c r="T129" s="938"/>
    </row>
    <row r="130" spans="1:20" x14ac:dyDescent="0.25">
      <c r="B130" s="938"/>
      <c r="C130">
        <f t="shared" si="28"/>
        <v>19.199999999999964</v>
      </c>
      <c r="D130">
        <f t="shared" si="31"/>
        <v>96</v>
      </c>
      <c r="E130" s="49">
        <f t="shared" si="25"/>
        <v>0.86732072928428672</v>
      </c>
      <c r="F130" s="375">
        <f t="shared" si="26"/>
        <v>0.97043878067064149</v>
      </c>
      <c r="G130">
        <f t="shared" si="30"/>
        <v>2135.9697318812755</v>
      </c>
      <c r="O130" s="938"/>
      <c r="P130" s="938"/>
      <c r="Q130" s="938"/>
      <c r="R130" s="938"/>
      <c r="S130" s="938"/>
      <c r="T130" s="938"/>
    </row>
    <row r="131" spans="1:20" x14ac:dyDescent="0.25">
      <c r="B131" s="938"/>
      <c r="C131">
        <f t="shared" si="28"/>
        <v>19.399999999999963</v>
      </c>
      <c r="D131">
        <f t="shared" si="31"/>
        <v>97</v>
      </c>
      <c r="E131" s="49">
        <f t="shared" si="25"/>
        <v>0.86690738624957009</v>
      </c>
      <c r="F131" s="375">
        <f t="shared" si="26"/>
        <v>0.96997629419122788</v>
      </c>
      <c r="G131">
        <f t="shared" si="30"/>
        <v>2134.9517829481661</v>
      </c>
      <c r="O131" s="938"/>
      <c r="P131" s="938"/>
      <c r="Q131" s="938"/>
      <c r="R131" s="938"/>
      <c r="S131" s="938"/>
      <c r="T131" s="938"/>
    </row>
    <row r="132" spans="1:20" x14ac:dyDescent="0.25">
      <c r="B132" s="938"/>
      <c r="C132">
        <f t="shared" si="28"/>
        <v>19.599999999999962</v>
      </c>
      <c r="D132">
        <f t="shared" si="31"/>
        <v>98</v>
      </c>
      <c r="E132" s="49">
        <f t="shared" si="25"/>
        <v>0.86649847667412871</v>
      </c>
      <c r="F132" s="375">
        <f t="shared" si="26"/>
        <v>0.96951876827676797</v>
      </c>
      <c r="G132">
        <f t="shared" si="30"/>
        <v>2133.9447523921917</v>
      </c>
      <c r="O132" s="938"/>
      <c r="P132" s="938"/>
      <c r="Q132" s="938"/>
      <c r="R132" s="938"/>
      <c r="S132" s="938"/>
      <c r="T132" s="938"/>
    </row>
    <row r="133" spans="1:20" x14ac:dyDescent="0.25">
      <c r="B133" s="938"/>
      <c r="C133">
        <f t="shared" si="28"/>
        <v>19.799999999999962</v>
      </c>
      <c r="D133">
        <f t="shared" si="31"/>
        <v>99</v>
      </c>
      <c r="E133" s="49">
        <f t="shared" si="25"/>
        <v>0.86609390848721435</v>
      </c>
      <c r="F133" s="375">
        <f t="shared" si="26"/>
        <v>0.96906609990997905</v>
      </c>
      <c r="G133">
        <f t="shared" si="30"/>
        <v>2132.9484134687068</v>
      </c>
      <c r="O133" s="938"/>
      <c r="P133" s="938"/>
      <c r="Q133" s="938"/>
      <c r="R133" s="938"/>
      <c r="S133" s="938"/>
      <c r="T133" s="938"/>
    </row>
    <row r="134" spans="1:20" x14ac:dyDescent="0.25">
      <c r="B134" s="938"/>
      <c r="C134">
        <f t="shared" si="28"/>
        <v>19.999999999999961</v>
      </c>
      <c r="D134">
        <f>1+D133</f>
        <v>100</v>
      </c>
      <c r="E134" s="49">
        <f t="shared" si="25"/>
        <v>0.86569359243608746</v>
      </c>
      <c r="F134" s="375">
        <f t="shared" si="26"/>
        <v>0.96861818922662779</v>
      </c>
      <c r="G134">
        <f t="shared" si="30"/>
        <v>2131.9625463730376</v>
      </c>
      <c r="O134" s="938"/>
      <c r="P134" s="938"/>
      <c r="Q134" s="938"/>
      <c r="R134" s="938"/>
      <c r="S134" s="938"/>
      <c r="T134" s="938"/>
    </row>
    <row r="139" spans="1:20" x14ac:dyDescent="0.25">
      <c r="A139" s="711"/>
    </row>
    <row r="140" spans="1:20" x14ac:dyDescent="0.25">
      <c r="A140" s="473"/>
    </row>
    <row r="141" spans="1:20" x14ac:dyDescent="0.25">
      <c r="A141" s="473"/>
    </row>
    <row r="142" spans="1:20" x14ac:dyDescent="0.25">
      <c r="A142" s="473"/>
    </row>
    <row r="143" spans="1:20" x14ac:dyDescent="0.25">
      <c r="A143" s="473"/>
    </row>
    <row r="144" spans="1:20" x14ac:dyDescent="0.25">
      <c r="A144" s="473"/>
    </row>
    <row r="145" spans="1:1" x14ac:dyDescent="0.25">
      <c r="A145" s="473"/>
    </row>
    <row r="146" spans="1:1" x14ac:dyDescent="0.25">
      <c r="A146" s="473"/>
    </row>
    <row r="147" spans="1:1" x14ac:dyDescent="0.25">
      <c r="A147" s="473"/>
    </row>
    <row r="148" spans="1:1" x14ac:dyDescent="0.25">
      <c r="A148" s="473"/>
    </row>
    <row r="149" spans="1:1" x14ac:dyDescent="0.25">
      <c r="A149" s="473"/>
    </row>
    <row r="150" spans="1:1" x14ac:dyDescent="0.25">
      <c r="A150" s="473"/>
    </row>
    <row r="151" spans="1:1" x14ac:dyDescent="0.25">
      <c r="A151" s="473"/>
    </row>
    <row r="152" spans="1:1" x14ac:dyDescent="0.25">
      <c r="A152" s="473"/>
    </row>
    <row r="153" spans="1:1" x14ac:dyDescent="0.25">
      <c r="A153" s="473"/>
    </row>
    <row r="154" spans="1:1" x14ac:dyDescent="0.25">
      <c r="A154" s="473"/>
    </row>
    <row r="155" spans="1:1" x14ac:dyDescent="0.25">
      <c r="A155" s="473"/>
    </row>
    <row r="156" spans="1:1" x14ac:dyDescent="0.25">
      <c r="A156" s="473"/>
    </row>
    <row r="157" spans="1:1" x14ac:dyDescent="0.25">
      <c r="A157" s="219"/>
    </row>
    <row r="158" spans="1:1" x14ac:dyDescent="0.25">
      <c r="A158" s="219"/>
    </row>
    <row r="159" spans="1:1" x14ac:dyDescent="0.25">
      <c r="A159" s="219"/>
    </row>
    <row r="160" spans="1:1" x14ac:dyDescent="0.25">
      <c r="A160" s="219"/>
    </row>
    <row r="161" spans="1:1" x14ac:dyDescent="0.25">
      <c r="A161" s="219"/>
    </row>
    <row r="165" spans="1:1" x14ac:dyDescent="0.25">
      <c r="A165" s="219"/>
    </row>
    <row r="166" spans="1:1" x14ac:dyDescent="0.25">
      <c r="A166" s="219"/>
    </row>
    <row r="167" spans="1:1" x14ac:dyDescent="0.25">
      <c r="A167" s="219"/>
    </row>
    <row r="168" spans="1:1" x14ac:dyDescent="0.25">
      <c r="A168" s="219"/>
    </row>
    <row r="169" spans="1:1" x14ac:dyDescent="0.25">
      <c r="A169" s="219"/>
    </row>
    <row r="170" spans="1:1" x14ac:dyDescent="0.25">
      <c r="A170" s="219"/>
    </row>
    <row r="171" spans="1:1" x14ac:dyDescent="0.25">
      <c r="A171" s="219"/>
    </row>
    <row r="172" spans="1:1" x14ac:dyDescent="0.25">
      <c r="A172" s="219"/>
    </row>
    <row r="173" spans="1:1" x14ac:dyDescent="0.25">
      <c r="A173" s="219"/>
    </row>
    <row r="174" spans="1:1" x14ac:dyDescent="0.25">
      <c r="A174" s="219"/>
    </row>
    <row r="175" spans="1:1" x14ac:dyDescent="0.25">
      <c r="A175" s="219"/>
    </row>
    <row r="176" spans="1:1" x14ac:dyDescent="0.25">
      <c r="A176" s="219"/>
    </row>
    <row r="177" spans="1:1" x14ac:dyDescent="0.25">
      <c r="A177" s="219"/>
    </row>
    <row r="178" spans="1:1" x14ac:dyDescent="0.25">
      <c r="A178" s="219"/>
    </row>
    <row r="179" spans="1:1" x14ac:dyDescent="0.25">
      <c r="A179" s="219"/>
    </row>
    <row r="180" spans="1:1" x14ac:dyDescent="0.25">
      <c r="A180" s="219"/>
    </row>
    <row r="181" spans="1:1" x14ac:dyDescent="0.25">
      <c r="A181" s="219"/>
    </row>
    <row r="182" spans="1:1" x14ac:dyDescent="0.25">
      <c r="A182" s="219"/>
    </row>
    <row r="183" spans="1:1" x14ac:dyDescent="0.25">
      <c r="A183" s="219"/>
    </row>
    <row r="184" spans="1:1" x14ac:dyDescent="0.25">
      <c r="A184" s="219"/>
    </row>
    <row r="185" spans="1:1" x14ac:dyDescent="0.25">
      <c r="A185" s="219"/>
    </row>
    <row r="186" spans="1:1" x14ac:dyDescent="0.25">
      <c r="A186" s="219"/>
    </row>
    <row r="187" spans="1:1" x14ac:dyDescent="0.25">
      <c r="A187" s="219"/>
    </row>
    <row r="188" spans="1:1" x14ac:dyDescent="0.25">
      <c r="A188" s="219"/>
    </row>
    <row r="189" spans="1:1" x14ac:dyDescent="0.25">
      <c r="A189" s="219"/>
    </row>
    <row r="190" spans="1:1" x14ac:dyDescent="0.25">
      <c r="A190" s="219"/>
    </row>
    <row r="191" spans="1:1" x14ac:dyDescent="0.25">
      <c r="A191" s="219"/>
    </row>
    <row r="192" spans="1:1" x14ac:dyDescent="0.25">
      <c r="A192" s="219"/>
    </row>
    <row r="193" spans="1:1" x14ac:dyDescent="0.25">
      <c r="A193" s="219"/>
    </row>
    <row r="194" spans="1:1" x14ac:dyDescent="0.25">
      <c r="A194" s="219"/>
    </row>
    <row r="195" spans="1:1" x14ac:dyDescent="0.25">
      <c r="A195" s="219"/>
    </row>
    <row r="196" spans="1:1" x14ac:dyDescent="0.25">
      <c r="A196" s="219"/>
    </row>
    <row r="197" spans="1:1" x14ac:dyDescent="0.25">
      <c r="A197" s="219"/>
    </row>
    <row r="198" spans="1:1" x14ac:dyDescent="0.25">
      <c r="A198" s="219"/>
    </row>
    <row r="199" spans="1:1" x14ac:dyDescent="0.25">
      <c r="A199" s="219"/>
    </row>
    <row r="200" spans="1:1" x14ac:dyDescent="0.25">
      <c r="A200" s="219"/>
    </row>
    <row r="201" spans="1:1" x14ac:dyDescent="0.25">
      <c r="A201" s="219"/>
    </row>
    <row r="202" spans="1:1" x14ac:dyDescent="0.25">
      <c r="A202" s="219"/>
    </row>
    <row r="203" spans="1:1" x14ac:dyDescent="0.25">
      <c r="A203" s="219"/>
    </row>
    <row r="204" spans="1:1" x14ac:dyDescent="0.25">
      <c r="A204" s="219"/>
    </row>
    <row r="205" spans="1:1" x14ac:dyDescent="0.25">
      <c r="A205" s="219"/>
    </row>
    <row r="206" spans="1:1" x14ac:dyDescent="0.25">
      <c r="A206" s="219"/>
    </row>
    <row r="207" spans="1:1" x14ac:dyDescent="0.25">
      <c r="A207" s="219"/>
    </row>
    <row r="208" spans="1:1" x14ac:dyDescent="0.25">
      <c r="A208" s="219"/>
    </row>
    <row r="209" spans="1:1" x14ac:dyDescent="0.25">
      <c r="A209" s="219"/>
    </row>
    <row r="210" spans="1:1" x14ac:dyDescent="0.25">
      <c r="A210" s="219"/>
    </row>
    <row r="211" spans="1:1" x14ac:dyDescent="0.25">
      <c r="A211" s="219"/>
    </row>
    <row r="212" spans="1:1" x14ac:dyDescent="0.25">
      <c r="A212" s="219"/>
    </row>
    <row r="213" spans="1:1" x14ac:dyDescent="0.25">
      <c r="A213" s="219"/>
    </row>
    <row r="214" spans="1:1" x14ac:dyDescent="0.25">
      <c r="A214" s="219"/>
    </row>
    <row r="215" spans="1:1" x14ac:dyDescent="0.25">
      <c r="A215" s="219"/>
    </row>
    <row r="216" spans="1:1" x14ac:dyDescent="0.25">
      <c r="A216" s="219"/>
    </row>
    <row r="217" spans="1:1" x14ac:dyDescent="0.25">
      <c r="A217" s="219"/>
    </row>
    <row r="218" spans="1:1" x14ac:dyDescent="0.25">
      <c r="A218" s="219"/>
    </row>
    <row r="219" spans="1:1" x14ac:dyDescent="0.25">
      <c r="A219" s="219"/>
    </row>
    <row r="220" spans="1:1" x14ac:dyDescent="0.25">
      <c r="A220" s="219"/>
    </row>
    <row r="221" spans="1:1" x14ac:dyDescent="0.25">
      <c r="A221" s="219"/>
    </row>
    <row r="222" spans="1:1" x14ac:dyDescent="0.25">
      <c r="A222" s="219"/>
    </row>
    <row r="223" spans="1:1" x14ac:dyDescent="0.25">
      <c r="A223" s="219"/>
    </row>
    <row r="224" spans="1:1" x14ac:dyDescent="0.25">
      <c r="A224" s="219"/>
    </row>
    <row r="225" spans="1:1" x14ac:dyDescent="0.25">
      <c r="A225" s="219"/>
    </row>
    <row r="226" spans="1:1" x14ac:dyDescent="0.25">
      <c r="A226" s="219"/>
    </row>
    <row r="227" spans="1:1" x14ac:dyDescent="0.25">
      <c r="A227" s="219"/>
    </row>
    <row r="228" spans="1:1" x14ac:dyDescent="0.25">
      <c r="A228" s="219"/>
    </row>
    <row r="229" spans="1:1" x14ac:dyDescent="0.25">
      <c r="A229" s="219"/>
    </row>
    <row r="230" spans="1:1" x14ac:dyDescent="0.25">
      <c r="A230" s="219"/>
    </row>
    <row r="231" spans="1:1" x14ac:dyDescent="0.25">
      <c r="A231" s="219"/>
    </row>
    <row r="232" spans="1:1" x14ac:dyDescent="0.25">
      <c r="A232" s="219"/>
    </row>
    <row r="233" spans="1:1" x14ac:dyDescent="0.25">
      <c r="A233" s="219"/>
    </row>
    <row r="234" spans="1:1" x14ac:dyDescent="0.25">
      <c r="A234" s="219"/>
    </row>
    <row r="235" spans="1:1" x14ac:dyDescent="0.25">
      <c r="A235" s="219"/>
    </row>
    <row r="236" spans="1:1" x14ac:dyDescent="0.25">
      <c r="A236" s="219"/>
    </row>
    <row r="237" spans="1:1" x14ac:dyDescent="0.25">
      <c r="A237" s="219"/>
    </row>
    <row r="238" spans="1:1" x14ac:dyDescent="0.25">
      <c r="A238" s="219"/>
    </row>
    <row r="239" spans="1:1" x14ac:dyDescent="0.25">
      <c r="A239" s="219"/>
    </row>
    <row r="240" spans="1:1" x14ac:dyDescent="0.25">
      <c r="A240" s="219"/>
    </row>
    <row r="241" spans="1:1" x14ac:dyDescent="0.25">
      <c r="A241" s="219"/>
    </row>
    <row r="242" spans="1:1" x14ac:dyDescent="0.25">
      <c r="A242" s="219"/>
    </row>
    <row r="243" spans="1:1" x14ac:dyDescent="0.25">
      <c r="A243" s="219"/>
    </row>
    <row r="244" spans="1:1" x14ac:dyDescent="0.25">
      <c r="A244" s="219"/>
    </row>
    <row r="245" spans="1:1" x14ac:dyDescent="0.25">
      <c r="A245" s="219"/>
    </row>
    <row r="246" spans="1:1" x14ac:dyDescent="0.25">
      <c r="A246" s="219"/>
    </row>
    <row r="247" spans="1:1" x14ac:dyDescent="0.25">
      <c r="A247" s="219"/>
    </row>
    <row r="248" spans="1:1" x14ac:dyDescent="0.25">
      <c r="A248" s="219"/>
    </row>
    <row r="249" spans="1:1" x14ac:dyDescent="0.25">
      <c r="A249" s="219"/>
    </row>
    <row r="250" spans="1:1" x14ac:dyDescent="0.25">
      <c r="A250" s="219"/>
    </row>
    <row r="251" spans="1:1" x14ac:dyDescent="0.25">
      <c r="A251" s="219"/>
    </row>
    <row r="252" spans="1:1" x14ac:dyDescent="0.25">
      <c r="A252" s="219"/>
    </row>
    <row r="253" spans="1:1" x14ac:dyDescent="0.25">
      <c r="A253" s="219"/>
    </row>
    <row r="254" spans="1:1" x14ac:dyDescent="0.25">
      <c r="A254" s="219"/>
    </row>
    <row r="255" spans="1:1" x14ac:dyDescent="0.25">
      <c r="A255" s="219"/>
    </row>
    <row r="256" spans="1:1" x14ac:dyDescent="0.25">
      <c r="A256" s="219"/>
    </row>
    <row r="257" spans="1:1" x14ac:dyDescent="0.25">
      <c r="A257" s="219"/>
    </row>
    <row r="258" spans="1:1" x14ac:dyDescent="0.25">
      <c r="A258" s="219"/>
    </row>
    <row r="259" spans="1:1" x14ac:dyDescent="0.25">
      <c r="A259" s="219"/>
    </row>
    <row r="260" spans="1:1" x14ac:dyDescent="0.25">
      <c r="A260" s="219"/>
    </row>
    <row r="261" spans="1:1" x14ac:dyDescent="0.25">
      <c r="A261" s="219"/>
    </row>
    <row r="262" spans="1:1" x14ac:dyDescent="0.25">
      <c r="A262" s="219"/>
    </row>
    <row r="263" spans="1:1" x14ac:dyDescent="0.25">
      <c r="A263" s="219"/>
    </row>
    <row r="264" spans="1:1" x14ac:dyDescent="0.25">
      <c r="A264" s="219"/>
    </row>
    <row r="265" spans="1:1" x14ac:dyDescent="0.25">
      <c r="A265" s="219"/>
    </row>
    <row r="266" spans="1:1" x14ac:dyDescent="0.25">
      <c r="A266" s="219"/>
    </row>
    <row r="267" spans="1:1" x14ac:dyDescent="0.25">
      <c r="A267" s="219"/>
    </row>
    <row r="268" spans="1:1" x14ac:dyDescent="0.25">
      <c r="A268" s="219"/>
    </row>
    <row r="269" spans="1:1" x14ac:dyDescent="0.25">
      <c r="A269" s="219"/>
    </row>
    <row r="270" spans="1:1" x14ac:dyDescent="0.25">
      <c r="A270" s="219"/>
    </row>
    <row r="271" spans="1:1" x14ac:dyDescent="0.25">
      <c r="A271" s="219"/>
    </row>
    <row r="272" spans="1:1" x14ac:dyDescent="0.25">
      <c r="A272" s="219"/>
    </row>
    <row r="273" spans="1:1" x14ac:dyDescent="0.25">
      <c r="A273" s="219"/>
    </row>
    <row r="274" spans="1:1" x14ac:dyDescent="0.25">
      <c r="A274" s="219"/>
    </row>
    <row r="275" spans="1:1" x14ac:dyDescent="0.25">
      <c r="A275" s="219"/>
    </row>
    <row r="276" spans="1:1" x14ac:dyDescent="0.25">
      <c r="A276" s="219"/>
    </row>
    <row r="277" spans="1:1" x14ac:dyDescent="0.25">
      <c r="A277" s="219"/>
    </row>
    <row r="278" spans="1:1" x14ac:dyDescent="0.25">
      <c r="A278" s="219"/>
    </row>
    <row r="279" spans="1:1" x14ac:dyDescent="0.25">
      <c r="A279" s="219"/>
    </row>
    <row r="280" spans="1:1" x14ac:dyDescent="0.25">
      <c r="A280" s="219"/>
    </row>
    <row r="281" spans="1:1" x14ac:dyDescent="0.25">
      <c r="A281" s="219"/>
    </row>
    <row r="282" spans="1:1" x14ac:dyDescent="0.25">
      <c r="A282" s="219"/>
    </row>
    <row r="283" spans="1:1" x14ac:dyDescent="0.25">
      <c r="A283" s="219"/>
    </row>
    <row r="284" spans="1:1" x14ac:dyDescent="0.25">
      <c r="A284" s="219"/>
    </row>
    <row r="285" spans="1:1" x14ac:dyDescent="0.25">
      <c r="A285" s="219"/>
    </row>
    <row r="286" spans="1:1" x14ac:dyDescent="0.25">
      <c r="A286" s="219"/>
    </row>
    <row r="287" spans="1:1" x14ac:dyDescent="0.25">
      <c r="A287" s="219"/>
    </row>
    <row r="288" spans="1:1" x14ac:dyDescent="0.25">
      <c r="A288" s="219"/>
    </row>
    <row r="289" spans="1:1" x14ac:dyDescent="0.25">
      <c r="A289" s="219"/>
    </row>
    <row r="290" spans="1:1" x14ac:dyDescent="0.25">
      <c r="A290" s="219"/>
    </row>
    <row r="291" spans="1:1" x14ac:dyDescent="0.25">
      <c r="A291" s="219"/>
    </row>
    <row r="292" spans="1:1" x14ac:dyDescent="0.25">
      <c r="A292" s="219"/>
    </row>
    <row r="293" spans="1:1" x14ac:dyDescent="0.25">
      <c r="A293" s="219"/>
    </row>
    <row r="294" spans="1:1" x14ac:dyDescent="0.25">
      <c r="A294" s="219"/>
    </row>
    <row r="295" spans="1:1" x14ac:dyDescent="0.25">
      <c r="A295" s="219"/>
    </row>
    <row r="296" spans="1:1" x14ac:dyDescent="0.25">
      <c r="A296" s="219"/>
    </row>
    <row r="297" spans="1:1" x14ac:dyDescent="0.25">
      <c r="A297" s="219"/>
    </row>
    <row r="298" spans="1:1" x14ac:dyDescent="0.25">
      <c r="A298" s="219"/>
    </row>
    <row r="299" spans="1:1" x14ac:dyDescent="0.25">
      <c r="A299" s="219"/>
    </row>
    <row r="300" spans="1:1" x14ac:dyDescent="0.25">
      <c r="A300" s="219"/>
    </row>
    <row r="301" spans="1:1" x14ac:dyDescent="0.25">
      <c r="A301" s="219"/>
    </row>
    <row r="302" spans="1:1" x14ac:dyDescent="0.25">
      <c r="A302" s="219"/>
    </row>
    <row r="303" spans="1:1" x14ac:dyDescent="0.25">
      <c r="A303" s="219"/>
    </row>
  </sheetData>
  <sheetProtection password="DFD3" sheet="1" objects="1" scenarios="1"/>
  <mergeCells count="3">
    <mergeCell ref="H3:M3"/>
    <mergeCell ref="C15:D18"/>
    <mergeCell ref="C20:D27"/>
  </mergeCells>
  <pageMargins left="0.7" right="0.7" top="0.75" bottom="0.75" header="0.3" footer="0.3"/>
  <pageSetup orientation="portrait" horizontalDpi="4294967293" verticalDpi="0"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E303"/>
  <sheetViews>
    <sheetView workbookViewId="0">
      <selection activeCell="K1" sqref="K1"/>
    </sheetView>
  </sheetViews>
  <sheetFormatPr defaultRowHeight="15" x14ac:dyDescent="0.25"/>
  <cols>
    <col min="1" max="1" width="140.42578125" style="856" customWidth="1"/>
    <col min="2" max="2" width="24.140625" customWidth="1"/>
    <col min="3" max="3" width="21.140625" customWidth="1"/>
    <col min="4" max="4" width="11.42578125" customWidth="1"/>
    <col min="5" max="5" width="17.140625" customWidth="1"/>
    <col min="6" max="6" width="13.28515625" bestFit="1" customWidth="1"/>
    <col min="7" max="7" width="15.42578125" customWidth="1"/>
    <col min="9" max="9" width="21.140625" customWidth="1"/>
    <col min="10" max="10" width="21.42578125" customWidth="1"/>
    <col min="16" max="16" width="17.28515625" customWidth="1"/>
    <col min="24" max="24" width="22.5703125" customWidth="1"/>
    <col min="25" max="25" width="19.7109375" customWidth="1"/>
    <col min="26" max="26" width="9.140625" customWidth="1"/>
    <col min="27" max="27" width="6.28515625" customWidth="1"/>
    <col min="28" max="28" width="7.5703125" customWidth="1"/>
    <col min="29" max="29" width="8.28515625" customWidth="1"/>
  </cols>
  <sheetData>
    <row r="1" spans="1:25" x14ac:dyDescent="0.25">
      <c r="A1" s="845"/>
      <c r="B1" s="32"/>
      <c r="C1" s="33"/>
      <c r="D1" s="33"/>
      <c r="E1" s="33"/>
      <c r="F1" s="33"/>
      <c r="G1" s="33"/>
      <c r="H1" s="33"/>
      <c r="I1" s="33"/>
      <c r="J1" s="34"/>
      <c r="K1" s="36"/>
      <c r="L1" s="36"/>
      <c r="M1" s="36"/>
    </row>
    <row r="2" spans="1:25" x14ac:dyDescent="0.25">
      <c r="A2" s="845"/>
      <c r="B2" s="35"/>
      <c r="C2" s="36"/>
      <c r="G2" s="36"/>
      <c r="H2" s="36"/>
      <c r="I2" s="36"/>
      <c r="J2" s="37"/>
      <c r="K2" s="36"/>
      <c r="L2" s="36"/>
      <c r="M2" s="36"/>
    </row>
    <row r="3" spans="1:25" x14ac:dyDescent="0.25">
      <c r="A3" s="845"/>
      <c r="B3" s="35"/>
      <c r="C3" s="36"/>
      <c r="D3" s="36"/>
      <c r="E3" s="36"/>
      <c r="F3" s="36"/>
      <c r="G3" s="36"/>
      <c r="H3" s="36"/>
      <c r="I3" s="36"/>
      <c r="J3" s="37"/>
      <c r="K3" s="36"/>
      <c r="L3" s="36"/>
      <c r="M3" s="36"/>
    </row>
    <row r="4" spans="1:25" ht="15.75" thickBot="1" x14ac:dyDescent="0.3">
      <c r="A4" s="845"/>
      <c r="B4" s="35"/>
      <c r="C4" s="36"/>
      <c r="D4" s="36"/>
      <c r="E4" s="36"/>
      <c r="F4" s="36"/>
      <c r="G4" s="36"/>
      <c r="H4" s="36"/>
      <c r="I4" s="36"/>
      <c r="J4" s="37"/>
      <c r="K4" s="36"/>
      <c r="L4" s="36"/>
      <c r="M4" s="36"/>
    </row>
    <row r="5" spans="1:25" ht="23.25" x14ac:dyDescent="0.35">
      <c r="A5" s="221" t="s">
        <v>591</v>
      </c>
      <c r="B5" s="35"/>
      <c r="C5" s="36"/>
      <c r="D5" s="36"/>
      <c r="E5" s="36"/>
      <c r="F5" s="36"/>
      <c r="G5" s="36"/>
      <c r="H5" s="36"/>
      <c r="I5" s="36"/>
      <c r="J5" s="37"/>
      <c r="K5" s="36"/>
      <c r="L5" s="36"/>
      <c r="M5" s="36"/>
      <c r="X5" s="1283" t="s">
        <v>1340</v>
      </c>
      <c r="Y5" s="34" t="s">
        <v>1335</v>
      </c>
    </row>
    <row r="6" spans="1:25" ht="15.75" thickBot="1" x14ac:dyDescent="0.3">
      <c r="A6" s="845"/>
      <c r="B6" s="35"/>
      <c r="C6" s="36"/>
      <c r="D6" s="36"/>
      <c r="E6" s="36"/>
      <c r="F6" s="36"/>
      <c r="G6" s="36"/>
      <c r="H6" s="36"/>
      <c r="I6" s="36"/>
      <c r="J6" s="37"/>
      <c r="K6" s="36"/>
      <c r="L6" s="36"/>
      <c r="M6" s="36"/>
      <c r="X6" s="1284"/>
      <c r="Y6" s="40" t="s">
        <v>1339</v>
      </c>
    </row>
    <row r="7" spans="1:25" ht="15.75" x14ac:dyDescent="0.25">
      <c r="A7" s="223" t="s">
        <v>594</v>
      </c>
      <c r="B7" s="35"/>
      <c r="C7" s="36"/>
      <c r="D7" s="36"/>
      <c r="E7" s="36"/>
      <c r="F7" s="36"/>
      <c r="G7" s="36"/>
      <c r="H7" s="36"/>
      <c r="I7" s="36"/>
      <c r="J7" s="37"/>
      <c r="K7" s="36"/>
      <c r="L7" s="36"/>
      <c r="M7" s="36"/>
      <c r="X7" s="35" t="s">
        <v>1336</v>
      </c>
      <c r="Y7" s="955">
        <v>7.6688544900458247E-2</v>
      </c>
    </row>
    <row r="8" spans="1:25" ht="15.75" x14ac:dyDescent="0.25">
      <c r="A8" s="224"/>
      <c r="B8" s="35"/>
      <c r="C8" s="36"/>
      <c r="D8" s="36"/>
      <c r="E8" s="36"/>
      <c r="F8" s="36"/>
      <c r="G8" s="36"/>
      <c r="H8" s="36"/>
      <c r="I8" s="36"/>
      <c r="J8" s="37"/>
      <c r="K8" s="36"/>
      <c r="L8" s="36"/>
      <c r="M8" s="36"/>
      <c r="X8" s="35" t="s">
        <v>959</v>
      </c>
      <c r="Y8" s="953">
        <v>0.37803462419839712</v>
      </c>
    </row>
    <row r="9" spans="1:25" ht="15.75" x14ac:dyDescent="0.25">
      <c r="A9" s="223" t="s">
        <v>597</v>
      </c>
      <c r="B9" s="35"/>
      <c r="C9" s="36"/>
      <c r="D9" s="36"/>
      <c r="E9" s="36"/>
      <c r="F9" s="36"/>
      <c r="G9" s="36"/>
      <c r="H9" s="36"/>
      <c r="I9" s="36"/>
      <c r="J9" s="37"/>
      <c r="K9" s="36"/>
      <c r="L9" s="36"/>
      <c r="M9" s="36"/>
      <c r="X9" s="35" t="s">
        <v>1337</v>
      </c>
      <c r="Y9" s="953">
        <v>3.7268055547201716E-2</v>
      </c>
    </row>
    <row r="10" spans="1:25" ht="16.5" thickBot="1" x14ac:dyDescent="0.3">
      <c r="A10" s="223"/>
      <c r="B10" s="35"/>
      <c r="C10" s="36"/>
      <c r="D10" s="36"/>
      <c r="E10" s="36"/>
      <c r="F10" s="36"/>
      <c r="G10" s="36"/>
      <c r="H10" s="36"/>
      <c r="I10" s="36"/>
      <c r="J10" s="37"/>
      <c r="K10" s="36"/>
      <c r="L10" s="36"/>
      <c r="M10" s="36"/>
      <c r="X10" s="35" t="s">
        <v>1338</v>
      </c>
      <c r="Y10" s="954">
        <v>0.50800877535394307</v>
      </c>
    </row>
    <row r="11" spans="1:25" ht="16.5" thickBot="1" x14ac:dyDescent="0.3">
      <c r="A11" s="223" t="s">
        <v>600</v>
      </c>
      <c r="B11" s="35"/>
      <c r="C11" s="36"/>
      <c r="D11" s="36"/>
      <c r="E11" s="36"/>
      <c r="F11" s="36"/>
      <c r="G11" s="36"/>
      <c r="H11" s="36"/>
      <c r="I11" s="36"/>
      <c r="J11" s="37"/>
      <c r="K11" s="36"/>
      <c r="L11" s="36"/>
      <c r="M11" s="36"/>
      <c r="X11" s="47" t="s">
        <v>624</v>
      </c>
      <c r="Y11" s="908">
        <f>SUM(Y7:Y10)</f>
        <v>1</v>
      </c>
    </row>
    <row r="12" spans="1:25" x14ac:dyDescent="0.25">
      <c r="A12" s="845"/>
      <c r="B12" s="35"/>
      <c r="C12" s="36"/>
      <c r="D12" s="36"/>
      <c r="E12" s="36"/>
      <c r="F12" s="36"/>
      <c r="G12" s="36"/>
      <c r="H12" s="36"/>
      <c r="I12" s="36"/>
      <c r="J12" s="37"/>
      <c r="K12" s="36"/>
      <c r="L12" s="36"/>
      <c r="M12" s="36"/>
    </row>
    <row r="13" spans="1:25" x14ac:dyDescent="0.25">
      <c r="A13" s="845"/>
      <c r="B13" s="35"/>
      <c r="C13" s="36"/>
      <c r="D13" s="36"/>
      <c r="E13" s="36"/>
      <c r="F13" s="36"/>
      <c r="G13" s="36"/>
      <c r="H13" s="36"/>
      <c r="I13" s="36"/>
      <c r="J13" s="37"/>
      <c r="K13" s="36"/>
      <c r="L13" s="36"/>
      <c r="M13" s="36"/>
    </row>
    <row r="14" spans="1:25" x14ac:dyDescent="0.25">
      <c r="A14" s="845"/>
      <c r="B14" s="35" t="s">
        <v>1286</v>
      </c>
      <c r="C14" s="36"/>
      <c r="D14" s="36"/>
      <c r="E14" s="36"/>
      <c r="F14" s="36"/>
      <c r="G14" s="36"/>
      <c r="H14" s="36"/>
      <c r="I14" s="36"/>
      <c r="J14" s="37"/>
      <c r="K14" s="36"/>
      <c r="L14" s="36"/>
      <c r="M14" s="36"/>
    </row>
    <row r="15" spans="1:25" x14ac:dyDescent="0.25">
      <c r="A15" s="845"/>
      <c r="B15" s="35"/>
      <c r="C15" s="36"/>
      <c r="D15" s="36"/>
      <c r="E15" s="36"/>
      <c r="F15" s="36"/>
      <c r="G15" s="36"/>
      <c r="H15" s="36"/>
      <c r="I15" s="36"/>
      <c r="J15" s="37"/>
      <c r="K15" s="36"/>
      <c r="L15" s="36"/>
      <c r="M15" s="36"/>
    </row>
    <row r="16" spans="1:25" ht="15.75" thickBot="1" x14ac:dyDescent="0.3">
      <c r="A16" s="845"/>
      <c r="B16" s="38"/>
      <c r="C16" s="39"/>
      <c r="D16" s="39"/>
      <c r="E16" s="39"/>
      <c r="F16" s="39"/>
      <c r="G16" s="39"/>
      <c r="H16" s="39"/>
      <c r="I16" s="39"/>
      <c r="J16" s="40"/>
      <c r="K16" s="36"/>
      <c r="L16" s="36"/>
      <c r="M16" s="36"/>
    </row>
    <row r="17" spans="1:10" x14ac:dyDescent="0.25">
      <c r="A17" s="845"/>
      <c r="D17" t="s">
        <v>38</v>
      </c>
      <c r="E17" t="s">
        <v>329</v>
      </c>
      <c r="F17" t="str">
        <f>CONCATENATE(B24, "  Cost $/kW")</f>
        <v>2010  Cost $/kW</v>
      </c>
      <c r="G17" t="s">
        <v>412</v>
      </c>
      <c r="H17" t="s">
        <v>1287</v>
      </c>
      <c r="I17" t="s">
        <v>330</v>
      </c>
      <c r="J17" t="s">
        <v>433</v>
      </c>
    </row>
    <row r="18" spans="1:10" x14ac:dyDescent="0.25">
      <c r="A18" s="845"/>
      <c r="B18" t="s">
        <v>39</v>
      </c>
      <c r="C18">
        <v>21520.78</v>
      </c>
      <c r="D18">
        <v>100</v>
      </c>
      <c r="E18" s="27">
        <f t="shared" ref="E18:E23" si="0">$C$18+($C$19*D18)+($C$20*D18^2)+($C$21*D18^3)</f>
        <v>3444.4079999999972</v>
      </c>
      <c r="F18" s="97">
        <f>E18*$B$25</f>
        <v>4888.8371612903184</v>
      </c>
      <c r="G18">
        <v>67.709999999999994</v>
      </c>
      <c r="I18" s="564">
        <f>'Default Data'!C3</f>
        <v>200</v>
      </c>
      <c r="J18" s="55">
        <f>J19*(B25)</f>
        <v>2201.0350105806469</v>
      </c>
    </row>
    <row r="19" spans="1:10" x14ac:dyDescent="0.25">
      <c r="A19" s="845"/>
      <c r="B19" t="s">
        <v>40</v>
      </c>
      <c r="C19">
        <v>-331.34</v>
      </c>
      <c r="D19">
        <f>D18+20</f>
        <v>120</v>
      </c>
      <c r="E19" s="27">
        <f t="shared" si="0"/>
        <v>2437.5183040000038</v>
      </c>
      <c r="F19" s="97">
        <f t="shared" ref="F19:F34" si="1">E19*$B$25</f>
        <v>3459.7033992258121</v>
      </c>
      <c r="G19">
        <v>64.489999999999995</v>
      </c>
      <c r="J19" s="153">
        <f>IF(I18&lt;191,($C$18+($C$19*I18)+($C$20*I18^2)+($C$21*I18^3)),(E23-3.08*(I18-190)))</f>
        <v>1550.7292120000013</v>
      </c>
    </row>
    <row r="20" spans="1:10" ht="15.75" x14ac:dyDescent="0.25">
      <c r="A20" s="223" t="s">
        <v>608</v>
      </c>
      <c r="B20" t="s">
        <v>41</v>
      </c>
      <c r="C20">
        <v>1.854876</v>
      </c>
      <c r="D20">
        <f>D19+20</f>
        <v>140</v>
      </c>
      <c r="E20" s="27">
        <f t="shared" si="0"/>
        <v>1909.0833920000023</v>
      </c>
      <c r="F20" s="97">
        <f t="shared" si="1"/>
        <v>2709.6667499354871</v>
      </c>
      <c r="G20">
        <v>62.46</v>
      </c>
    </row>
    <row r="21" spans="1:10" x14ac:dyDescent="0.25">
      <c r="A21" s="845"/>
      <c r="B21" t="s">
        <v>42</v>
      </c>
      <c r="C21">
        <v>-3.4911320000000001E-3</v>
      </c>
      <c r="D21">
        <f>D20+20</f>
        <v>160</v>
      </c>
      <c r="E21" s="27">
        <f t="shared" si="0"/>
        <v>1691.5289280000015</v>
      </c>
      <c r="F21" s="97">
        <f t="shared" si="1"/>
        <v>2400.8797687741958</v>
      </c>
      <c r="G21">
        <v>61.17</v>
      </c>
    </row>
    <row r="22" spans="1:10" x14ac:dyDescent="0.25">
      <c r="A22" s="845"/>
      <c r="D22">
        <f>D21+20</f>
        <v>180</v>
      </c>
      <c r="E22" s="27">
        <f t="shared" si="0"/>
        <v>1617.280576000001</v>
      </c>
      <c r="F22" s="97">
        <f t="shared" si="1"/>
        <v>2295.4950110967757</v>
      </c>
      <c r="G22">
        <v>60.44</v>
      </c>
    </row>
    <row r="23" spans="1:10" x14ac:dyDescent="0.25">
      <c r="A23" s="845"/>
      <c r="B23" t="s">
        <v>357</v>
      </c>
      <c r="D23">
        <v>190</v>
      </c>
      <c r="E23" s="27">
        <f t="shared" si="0"/>
        <v>1581.5292120000013</v>
      </c>
      <c r="F23" s="97">
        <f t="shared" si="1"/>
        <v>2244.7511396129053</v>
      </c>
      <c r="G23">
        <v>60.27</v>
      </c>
    </row>
    <row r="24" spans="1:10" x14ac:dyDescent="0.25">
      <c r="A24" s="845"/>
      <c r="B24">
        <f>ProjectData!B14</f>
        <v>2010</v>
      </c>
      <c r="D24">
        <f>D22+20</f>
        <v>200</v>
      </c>
      <c r="E24" s="27">
        <f>$E$23-3.08*(D24-$D$23)</f>
        <v>1550.7292120000013</v>
      </c>
      <c r="F24" s="154">
        <f t="shared" si="1"/>
        <v>2201.0350105806469</v>
      </c>
      <c r="G24">
        <v>60.23</v>
      </c>
      <c r="H24">
        <v>12.29</v>
      </c>
    </row>
    <row r="25" spans="1:10" x14ac:dyDescent="0.25">
      <c r="A25" s="845"/>
      <c r="B25">
        <f>LOOKUP(B24,'CERA PCCI power plant index'!C19:C29,'CERA PCCI power plant index'!E19:E29)/'CERA PCCI power plant index'!E23</f>
        <v>1.4193548387096775</v>
      </c>
      <c r="D25">
        <f t="shared" ref="D25:D34" si="2">D24+20</f>
        <v>220</v>
      </c>
      <c r="E25" s="27">
        <f t="shared" ref="E25:E34" si="3">$E$23-3.08*(D25-$D$23)</f>
        <v>1489.1292120000012</v>
      </c>
      <c r="F25" s="97">
        <f>E25*$B$25</f>
        <v>2113.6027525161307</v>
      </c>
      <c r="G25">
        <v>60.55</v>
      </c>
      <c r="H25">
        <v>11.63</v>
      </c>
    </row>
    <row r="26" spans="1:10" x14ac:dyDescent="0.25">
      <c r="A26" s="845"/>
      <c r="D26">
        <f t="shared" si="2"/>
        <v>240</v>
      </c>
      <c r="E26" s="27">
        <f t="shared" si="3"/>
        <v>1427.5292120000013</v>
      </c>
      <c r="F26" s="97">
        <f t="shared" si="1"/>
        <v>2026.1704944516148</v>
      </c>
      <c r="G26">
        <v>61.52</v>
      </c>
      <c r="H26">
        <v>11.57</v>
      </c>
    </row>
    <row r="27" spans="1:10" x14ac:dyDescent="0.25">
      <c r="A27" s="845"/>
      <c r="D27">
        <f t="shared" si="2"/>
        <v>260</v>
      </c>
      <c r="E27" s="27">
        <f t="shared" si="3"/>
        <v>1365.9292120000014</v>
      </c>
      <c r="F27" s="97">
        <f t="shared" si="1"/>
        <v>1938.7382363870988</v>
      </c>
      <c r="G27">
        <v>63.35</v>
      </c>
      <c r="H27">
        <v>11.62</v>
      </c>
    </row>
    <row r="28" spans="1:10" x14ac:dyDescent="0.25">
      <c r="A28" s="845"/>
      <c r="D28">
        <f t="shared" si="2"/>
        <v>280</v>
      </c>
      <c r="E28" s="27">
        <f t="shared" si="3"/>
        <v>1304.3292120000012</v>
      </c>
      <c r="F28" s="97">
        <f t="shared" si="1"/>
        <v>1851.3059783225824</v>
      </c>
      <c r="G28">
        <v>66.42</v>
      </c>
      <c r="H28">
        <v>12.28</v>
      </c>
    </row>
    <row r="29" spans="1:10" x14ac:dyDescent="0.25">
      <c r="A29" s="845"/>
      <c r="D29">
        <f t="shared" si="2"/>
        <v>300</v>
      </c>
      <c r="E29" s="27">
        <f t="shared" si="3"/>
        <v>1242.7292120000013</v>
      </c>
      <c r="F29" s="97">
        <f t="shared" si="1"/>
        <v>1763.8737202580664</v>
      </c>
      <c r="G29">
        <v>71.510000000000005</v>
      </c>
    </row>
    <row r="30" spans="1:10" x14ac:dyDescent="0.25">
      <c r="A30" s="845"/>
      <c r="D30">
        <f t="shared" si="2"/>
        <v>320</v>
      </c>
      <c r="E30" s="27">
        <f t="shared" si="3"/>
        <v>1181.1292120000012</v>
      </c>
      <c r="F30" s="97">
        <f t="shared" si="1"/>
        <v>1676.4414621935503</v>
      </c>
    </row>
    <row r="31" spans="1:10" x14ac:dyDescent="0.25">
      <c r="A31" s="845"/>
      <c r="D31">
        <f t="shared" si="2"/>
        <v>340</v>
      </c>
      <c r="E31" s="27">
        <f t="shared" si="3"/>
        <v>1119.5292120000013</v>
      </c>
      <c r="F31" s="97">
        <f t="shared" si="1"/>
        <v>1589.0092041290341</v>
      </c>
    </row>
    <row r="32" spans="1:10" x14ac:dyDescent="0.25">
      <c r="A32" s="845"/>
      <c r="D32">
        <f t="shared" si="2"/>
        <v>360</v>
      </c>
      <c r="E32" s="27">
        <f t="shared" si="3"/>
        <v>1057.9292120000014</v>
      </c>
      <c r="F32" s="97">
        <f t="shared" si="1"/>
        <v>1501.5769460645181</v>
      </c>
    </row>
    <row r="33" spans="1:31" x14ac:dyDescent="0.25">
      <c r="A33" s="845"/>
      <c r="D33">
        <f t="shared" si="2"/>
        <v>380</v>
      </c>
      <c r="E33" s="27">
        <f t="shared" si="3"/>
        <v>996.32921200000123</v>
      </c>
      <c r="F33" s="97">
        <f t="shared" si="1"/>
        <v>1414.1446880000019</v>
      </c>
    </row>
    <row r="34" spans="1:31" x14ac:dyDescent="0.25">
      <c r="A34" s="845"/>
      <c r="D34">
        <f t="shared" si="2"/>
        <v>400</v>
      </c>
      <c r="E34" s="27">
        <f t="shared" si="3"/>
        <v>934.72921200000121</v>
      </c>
      <c r="F34" s="97">
        <f t="shared" si="1"/>
        <v>1326.7124299354857</v>
      </c>
    </row>
    <row r="35" spans="1:31" x14ac:dyDescent="0.25">
      <c r="A35" s="845"/>
      <c r="E35" s="27"/>
      <c r="F35" s="97"/>
    </row>
    <row r="36" spans="1:31" x14ac:dyDescent="0.25">
      <c r="A36" s="845"/>
      <c r="B36" t="s">
        <v>437</v>
      </c>
      <c r="C36" s="787" t="str">
        <f>ProjectData!B18</f>
        <v>Binary</v>
      </c>
      <c r="E36" s="27"/>
      <c r="F36" s="97"/>
    </row>
    <row r="37" spans="1:31" x14ac:dyDescent="0.25">
      <c r="A37" s="845"/>
      <c r="B37" t="s">
        <v>330</v>
      </c>
      <c r="C37" s="564">
        <f>'Default Data'!C3</f>
        <v>200</v>
      </c>
      <c r="E37" s="27"/>
      <c r="F37" s="97"/>
    </row>
    <row r="38" spans="1:31" ht="15.75" thickBot="1" x14ac:dyDescent="0.3">
      <c r="A38" s="845"/>
      <c r="B38" t="s">
        <v>132</v>
      </c>
      <c r="C38" s="928">
        <f>'Default Data'!C5</f>
        <v>80</v>
      </c>
      <c r="E38" s="27"/>
      <c r="F38" s="97"/>
    </row>
    <row r="39" spans="1:31" ht="15.75" thickBot="1" x14ac:dyDescent="0.3">
      <c r="A39" s="845"/>
      <c r="B39" t="s">
        <v>436</v>
      </c>
      <c r="C39" s="923">
        <f>ProjectData!G19</f>
        <v>1.8639767008858921</v>
      </c>
      <c r="E39" s="27"/>
      <c r="F39" s="97"/>
      <c r="Z39" s="1285" t="s">
        <v>1288</v>
      </c>
      <c r="AA39" s="1286"/>
      <c r="AB39" s="1286"/>
      <c r="AC39" s="1286"/>
      <c r="AD39" s="1287"/>
    </row>
    <row r="40" spans="1:31" x14ac:dyDescent="0.25">
      <c r="A40" s="845"/>
      <c r="B40" s="938" t="s">
        <v>1332</v>
      </c>
      <c r="C40" s="53">
        <f>C38*2.20462*60*60</f>
        <v>634930.55999999994</v>
      </c>
      <c r="E40" s="27"/>
      <c r="F40" s="97"/>
      <c r="Z40" t="s">
        <v>1054</v>
      </c>
      <c r="AA40" t="s">
        <v>38</v>
      </c>
      <c r="AB40" t="s">
        <v>1289</v>
      </c>
      <c r="AC40" t="s">
        <v>1290</v>
      </c>
    </row>
    <row r="41" spans="1:31" x14ac:dyDescent="0.25">
      <c r="A41" s="845"/>
      <c r="B41" t="s">
        <v>407</v>
      </c>
      <c r="C41" s="53">
        <f>C40*C39</f>
        <v>1183495.7705204319</v>
      </c>
      <c r="E41" s="27"/>
      <c r="F41" s="97"/>
      <c r="J41" s="95" t="s">
        <v>444</v>
      </c>
      <c r="K41" s="95"/>
      <c r="L41" s="95" t="s">
        <v>1291</v>
      </c>
      <c r="M41" s="95"/>
      <c r="N41" s="95"/>
      <c r="Z41">
        <v>50</v>
      </c>
      <c r="AA41">
        <v>100</v>
      </c>
      <c r="AB41">
        <v>409786</v>
      </c>
      <c r="AC41">
        <v>311577</v>
      </c>
      <c r="AE41" s="48"/>
    </row>
    <row r="42" spans="1:31" x14ac:dyDescent="0.25">
      <c r="A42" s="845"/>
      <c r="B42" t="s">
        <v>441</v>
      </c>
      <c r="C42" s="53">
        <f>IF(C36="Binary",'Brine effectiveness'!C13,'Brine effectiveness'!C24)</f>
        <v>10.869252965999998</v>
      </c>
      <c r="E42" s="27"/>
      <c r="F42" s="97"/>
      <c r="H42" t="s">
        <v>140</v>
      </c>
      <c r="J42" s="95" t="s">
        <v>445</v>
      </c>
      <c r="K42" s="95"/>
      <c r="L42" s="95"/>
      <c r="M42" s="95"/>
      <c r="N42" s="95"/>
      <c r="Z42">
        <v>50</v>
      </c>
      <c r="AA42">
        <f>AA41+20</f>
        <v>120</v>
      </c>
      <c r="AB42">
        <v>57893</v>
      </c>
      <c r="AC42">
        <v>45972</v>
      </c>
      <c r="AE42" s="48"/>
    </row>
    <row r="43" spans="1:31" x14ac:dyDescent="0.25">
      <c r="A43" s="845"/>
      <c r="B43" t="s">
        <v>440</v>
      </c>
      <c r="C43" t="s">
        <v>438</v>
      </c>
      <c r="D43" t="s">
        <v>439</v>
      </c>
      <c r="E43" s="27" t="s">
        <v>407</v>
      </c>
      <c r="F43" t="s">
        <v>435</v>
      </c>
      <c r="H43" t="s">
        <v>48</v>
      </c>
      <c r="I43" t="s">
        <v>43</v>
      </c>
      <c r="J43">
        <v>10</v>
      </c>
      <c r="K43" t="s">
        <v>446</v>
      </c>
      <c r="L43">
        <v>20</v>
      </c>
      <c r="M43" t="s">
        <v>446</v>
      </c>
      <c r="N43">
        <v>30</v>
      </c>
      <c r="O43" t="s">
        <v>446</v>
      </c>
      <c r="P43">
        <v>40</v>
      </c>
      <c r="Q43" t="s">
        <v>446</v>
      </c>
      <c r="R43">
        <v>50</v>
      </c>
      <c r="S43" t="s">
        <v>446</v>
      </c>
      <c r="T43">
        <v>100</v>
      </c>
      <c r="U43" t="s">
        <v>446</v>
      </c>
      <c r="Z43">
        <v>50</v>
      </c>
      <c r="AA43">
        <f>AA42+20</f>
        <v>140</v>
      </c>
      <c r="AB43">
        <v>18281</v>
      </c>
      <c r="AC43">
        <v>14940</v>
      </c>
      <c r="AE43" s="48"/>
    </row>
    <row r="44" spans="1:31" x14ac:dyDescent="0.25">
      <c r="A44" s="845"/>
      <c r="B44" s="173">
        <v>5</v>
      </c>
      <c r="C44">
        <f>B44*1000/(('Brine effectiveness'!$C$14*D44)/1000)</f>
        <v>0.93198835044294603</v>
      </c>
      <c r="D44">
        <f>$C$40</f>
        <v>634930.55999999994</v>
      </c>
      <c r="E44" s="27">
        <f>D44*C44</f>
        <v>591747.88526021596</v>
      </c>
      <c r="F44" s="97">
        <f>'Brine effectiveness'!$C$13*E44/1000000</f>
        <v>6.431857456988828</v>
      </c>
      <c r="H44">
        <v>150</v>
      </c>
      <c r="I44">
        <v>6.34</v>
      </c>
      <c r="J44">
        <v>11.44</v>
      </c>
      <c r="K44" s="49">
        <f t="shared" ref="K44:K49" si="4">(J44-J$43)/J44</f>
        <v>0.12587412587412583</v>
      </c>
      <c r="L44">
        <v>29.53</v>
      </c>
      <c r="M44" s="49">
        <f t="shared" ref="M44:M49" si="5">(L44-L$43)/L$43</f>
        <v>0.47650000000000003</v>
      </c>
      <c r="N44">
        <v>44.29</v>
      </c>
      <c r="O44" s="49">
        <f t="shared" ref="O44:O49" si="6">(N44-N$43)/N44</f>
        <v>0.32264619552946489</v>
      </c>
      <c r="P44">
        <v>59</v>
      </c>
      <c r="Q44" s="49">
        <f t="shared" ref="Q44:Q49" si="7">(P44-P$43)/P44</f>
        <v>0.32203389830508472</v>
      </c>
      <c r="R44">
        <v>73.72</v>
      </c>
      <c r="S44" s="49">
        <f t="shared" ref="S44:S49" si="8">(R44-R$43)/R44</f>
        <v>0.32175800325556159</v>
      </c>
      <c r="T44">
        <v>147.29</v>
      </c>
      <c r="U44" s="49">
        <f t="shared" ref="U44:U49" si="9">(T44-T$43)/T44</f>
        <v>0.32106728223233072</v>
      </c>
      <c r="Z44">
        <v>50</v>
      </c>
      <c r="AA44">
        <f>AA43+20</f>
        <v>160</v>
      </c>
      <c r="AB44">
        <v>9918</v>
      </c>
      <c r="AC44">
        <v>8259</v>
      </c>
      <c r="AE44" s="48"/>
    </row>
    <row r="45" spans="1:31" x14ac:dyDescent="0.25">
      <c r="A45" s="845"/>
      <c r="B45" s="173">
        <f>B44+5</f>
        <v>10</v>
      </c>
      <c r="C45" s="1031">
        <f>B45*1000/(('Brine effectiveness'!$C$14*D45)/1000)</f>
        <v>1.8639767008858921</v>
      </c>
      <c r="D45">
        <f t="shared" ref="D45:D63" si="10">$C$40</f>
        <v>634930.55999999994</v>
      </c>
      <c r="E45" s="27">
        <f t="shared" ref="E45:E63" si="11">D45*C45</f>
        <v>1183495.7705204319</v>
      </c>
      <c r="F45" s="97">
        <f>'Brine effectiveness'!$C$13*E45/1000000</f>
        <v>12.863714913977656</v>
      </c>
      <c r="H45">
        <v>175</v>
      </c>
      <c r="I45">
        <v>7.55</v>
      </c>
      <c r="J45">
        <v>11.31</v>
      </c>
      <c r="K45" s="49">
        <f t="shared" si="4"/>
        <v>0.11582670203359863</v>
      </c>
      <c r="L45">
        <v>26.63</v>
      </c>
      <c r="M45" s="49">
        <f t="shared" si="5"/>
        <v>0.33149999999999996</v>
      </c>
      <c r="N45">
        <v>39.93</v>
      </c>
      <c r="O45" s="49">
        <f t="shared" si="6"/>
        <v>0.24868519909842224</v>
      </c>
      <c r="P45">
        <v>53.23</v>
      </c>
      <c r="Q45" s="49">
        <f t="shared" si="7"/>
        <v>0.24854405410482805</v>
      </c>
      <c r="R45">
        <v>66.53</v>
      </c>
      <c r="S45" s="49">
        <f t="shared" si="8"/>
        <v>0.2484593416503833</v>
      </c>
      <c r="T45">
        <v>132.99</v>
      </c>
      <c r="U45" s="49">
        <f t="shared" si="9"/>
        <v>0.24806376419279649</v>
      </c>
      <c r="Z45">
        <v>50</v>
      </c>
      <c r="AA45">
        <f>AA44+20</f>
        <v>180</v>
      </c>
      <c r="AB45">
        <v>6697</v>
      </c>
      <c r="AC45">
        <v>5637</v>
      </c>
      <c r="AE45" s="48"/>
    </row>
    <row r="46" spans="1:31" x14ac:dyDescent="0.25">
      <c r="A46" s="845"/>
      <c r="B46" s="173">
        <f t="shared" ref="B46:B63" si="12">B45+5</f>
        <v>15</v>
      </c>
      <c r="C46" s="1031">
        <f>B46*1000/(('Brine effectiveness'!$C$14*D46)/1000)</f>
        <v>2.7959650513288379</v>
      </c>
      <c r="D46">
        <f t="shared" si="10"/>
        <v>634930.55999999994</v>
      </c>
      <c r="E46" s="27">
        <f t="shared" si="11"/>
        <v>1775243.6557806476</v>
      </c>
      <c r="F46" s="97">
        <f>'Brine effectiveness'!$C$13*E46/1000000</f>
        <v>19.295572370966482</v>
      </c>
      <c r="H46">
        <v>200</v>
      </c>
      <c r="I46">
        <v>9.7899999999999991</v>
      </c>
      <c r="J46">
        <v>12.29</v>
      </c>
      <c r="K46" s="49">
        <f t="shared" si="4"/>
        <v>0.1863303498779495</v>
      </c>
      <c r="L46">
        <v>24.59</v>
      </c>
      <c r="M46" s="49">
        <f t="shared" si="5"/>
        <v>0.22949999999999998</v>
      </c>
      <c r="N46">
        <v>36.89</v>
      </c>
      <c r="O46" s="49">
        <f t="shared" si="6"/>
        <v>0.18677148278666306</v>
      </c>
      <c r="P46">
        <v>49.18</v>
      </c>
      <c r="Q46" s="49">
        <f t="shared" si="7"/>
        <v>0.18666124440829604</v>
      </c>
      <c r="R46">
        <v>61.47</v>
      </c>
      <c r="S46" s="49">
        <f t="shared" si="8"/>
        <v>0.18659508703432567</v>
      </c>
      <c r="T46">
        <v>122.9</v>
      </c>
      <c r="U46" s="49">
        <f t="shared" si="9"/>
        <v>0.18633034987794958</v>
      </c>
      <c r="Z46">
        <v>50</v>
      </c>
      <c r="AA46">
        <v>190</v>
      </c>
      <c r="AE46" s="48"/>
    </row>
    <row r="47" spans="1:31" x14ac:dyDescent="0.25">
      <c r="A47" s="845"/>
      <c r="B47" s="173">
        <f t="shared" si="12"/>
        <v>20</v>
      </c>
      <c r="C47" s="1031">
        <f>B47*1000/(('Brine effectiveness'!$C$14*D47)/1000)</f>
        <v>3.7279534017717841</v>
      </c>
      <c r="D47">
        <f t="shared" si="10"/>
        <v>634930.55999999994</v>
      </c>
      <c r="E47" s="27">
        <f t="shared" si="11"/>
        <v>2366991.5410408638</v>
      </c>
      <c r="F47" s="97">
        <f>'Brine effectiveness'!$C$13*E47/1000000</f>
        <v>25.727429827955312</v>
      </c>
      <c r="H47">
        <v>225</v>
      </c>
      <c r="I47">
        <v>13.74</v>
      </c>
      <c r="J47">
        <v>11.61</v>
      </c>
      <c r="K47" s="49">
        <f t="shared" si="4"/>
        <v>0.1386735572782084</v>
      </c>
      <c r="L47">
        <v>23.21</v>
      </c>
      <c r="M47" s="49">
        <f t="shared" si="5"/>
        <v>0.16050000000000003</v>
      </c>
      <c r="N47">
        <v>34.82</v>
      </c>
      <c r="O47" s="49">
        <f t="shared" si="6"/>
        <v>0.13842619184376795</v>
      </c>
      <c r="P47">
        <v>46.43</v>
      </c>
      <c r="Q47" s="49">
        <f t="shared" si="7"/>
        <v>0.13848804652164548</v>
      </c>
      <c r="R47">
        <v>58.03</v>
      </c>
      <c r="S47" s="49">
        <f t="shared" si="8"/>
        <v>0.13837670170601415</v>
      </c>
      <c r="T47">
        <v>116.06</v>
      </c>
      <c r="U47" s="49">
        <f t="shared" si="9"/>
        <v>0.13837670170601415</v>
      </c>
      <c r="Z47">
        <v>50</v>
      </c>
      <c r="AA47">
        <f>AA45+20</f>
        <v>200</v>
      </c>
      <c r="AB47">
        <v>2694</v>
      </c>
      <c r="AC47">
        <v>2275</v>
      </c>
      <c r="AE47" s="48"/>
    </row>
    <row r="48" spans="1:31" x14ac:dyDescent="0.25">
      <c r="A48" s="845"/>
      <c r="B48" s="173">
        <f t="shared" si="12"/>
        <v>25</v>
      </c>
      <c r="C48" s="1031">
        <f>B48*1000/(('Brine effectiveness'!$C$14*D48)/1000)</f>
        <v>4.6599417522147304</v>
      </c>
      <c r="D48">
        <f t="shared" si="10"/>
        <v>634930.55999999994</v>
      </c>
      <c r="E48" s="27">
        <f t="shared" si="11"/>
        <v>2958739.4263010798</v>
      </c>
      <c r="F48" s="97">
        <f>'Brine effectiveness'!$C$13*E48/1000000</f>
        <v>32.159287284944142</v>
      </c>
      <c r="H48">
        <v>250</v>
      </c>
      <c r="I48">
        <v>15.53</v>
      </c>
      <c r="J48">
        <v>11.59</v>
      </c>
      <c r="K48" s="49">
        <f t="shared" si="4"/>
        <v>0.13718723037100949</v>
      </c>
      <c r="L48">
        <v>23.17</v>
      </c>
      <c r="M48" s="49">
        <f t="shared" si="5"/>
        <v>0.15850000000000009</v>
      </c>
      <c r="N48">
        <v>34.76</v>
      </c>
      <c r="O48" s="49">
        <f t="shared" si="6"/>
        <v>0.13693901035673184</v>
      </c>
      <c r="P48">
        <v>46.34</v>
      </c>
      <c r="Q48" s="49">
        <f t="shared" si="7"/>
        <v>0.13681484678463537</v>
      </c>
      <c r="R48">
        <v>57.93</v>
      </c>
      <c r="S48" s="49">
        <f t="shared" si="8"/>
        <v>0.1368893492145693</v>
      </c>
      <c r="T48">
        <v>115.86</v>
      </c>
      <c r="U48" s="49">
        <f t="shared" si="9"/>
        <v>0.1368893492145693</v>
      </c>
      <c r="Z48">
        <v>50</v>
      </c>
      <c r="AA48">
        <f t="shared" ref="AA48:AA57" si="13">AA47+20</f>
        <v>220</v>
      </c>
      <c r="AB48">
        <v>1508</v>
      </c>
      <c r="AC48">
        <v>1267</v>
      </c>
      <c r="AE48" s="48"/>
    </row>
    <row r="49" spans="1:31" x14ac:dyDescent="0.25">
      <c r="A49" s="845"/>
      <c r="B49" s="173">
        <f t="shared" si="12"/>
        <v>30</v>
      </c>
      <c r="C49" s="1031">
        <f>B49*1000/(('Brine effectiveness'!$C$14*D49)/1000)</f>
        <v>5.5919301026576758</v>
      </c>
      <c r="D49">
        <f t="shared" si="10"/>
        <v>634930.55999999994</v>
      </c>
      <c r="E49" s="27">
        <f t="shared" si="11"/>
        <v>3550487.3115612953</v>
      </c>
      <c r="F49" s="97">
        <f>'Brine effectiveness'!$C$13*E49/1000000</f>
        <v>38.591144741932965</v>
      </c>
      <c r="H49">
        <v>275</v>
      </c>
      <c r="I49">
        <v>15.45</v>
      </c>
      <c r="J49">
        <v>11.97</v>
      </c>
      <c r="K49" s="49">
        <f t="shared" si="4"/>
        <v>0.16457811194653305</v>
      </c>
      <c r="L49">
        <v>23.95</v>
      </c>
      <c r="M49" s="49">
        <f t="shared" si="5"/>
        <v>0.19749999999999995</v>
      </c>
      <c r="N49">
        <v>35.18</v>
      </c>
      <c r="O49" s="49">
        <f t="shared" si="6"/>
        <v>0.14724275156338829</v>
      </c>
      <c r="P49">
        <v>46.9</v>
      </c>
      <c r="Q49" s="49">
        <f t="shared" si="7"/>
        <v>0.14712153518123663</v>
      </c>
      <c r="R49">
        <v>58.63</v>
      </c>
      <c r="S49" s="49">
        <f t="shared" si="8"/>
        <v>0.14719426914548869</v>
      </c>
      <c r="T49">
        <v>117.25</v>
      </c>
      <c r="U49" s="49">
        <f t="shared" si="9"/>
        <v>0.14712153518123666</v>
      </c>
      <c r="Z49">
        <v>50</v>
      </c>
      <c r="AA49">
        <f t="shared" si="13"/>
        <v>240</v>
      </c>
      <c r="AB49">
        <v>1517</v>
      </c>
      <c r="AC49">
        <v>1257</v>
      </c>
      <c r="AE49" s="48"/>
    </row>
    <row r="50" spans="1:31" x14ac:dyDescent="0.25">
      <c r="A50" s="845"/>
      <c r="B50" s="173">
        <f t="shared" si="12"/>
        <v>35</v>
      </c>
      <c r="C50" s="1031">
        <f>B50*1000/(('Brine effectiveness'!$C$14*D50)/1000)</f>
        <v>6.523918453100622</v>
      </c>
      <c r="D50">
        <f t="shared" si="10"/>
        <v>634930.55999999994</v>
      </c>
      <c r="E50" s="27">
        <f t="shared" si="11"/>
        <v>4142235.1968215113</v>
      </c>
      <c r="F50" s="97">
        <f>'Brine effectiveness'!$C$13*E50/1000000</f>
        <v>45.023002198921795</v>
      </c>
      <c r="Z50">
        <v>50</v>
      </c>
      <c r="AA50">
        <f t="shared" si="13"/>
        <v>260</v>
      </c>
      <c r="AB50">
        <v>1640</v>
      </c>
      <c r="AC50">
        <v>1324</v>
      </c>
      <c r="AE50" s="48"/>
    </row>
    <row r="51" spans="1:31" x14ac:dyDescent="0.25">
      <c r="A51" s="845"/>
      <c r="B51" s="173">
        <f t="shared" si="12"/>
        <v>40</v>
      </c>
      <c r="C51" s="1031">
        <f>B51*1000/(('Brine effectiveness'!$C$14*D51)/1000)</f>
        <v>7.4559068035435683</v>
      </c>
      <c r="D51">
        <f t="shared" si="10"/>
        <v>634930.55999999994</v>
      </c>
      <c r="E51" s="27">
        <f t="shared" si="11"/>
        <v>4733983.0820817277</v>
      </c>
      <c r="F51" s="97">
        <f>'Brine effectiveness'!$C$13*E51/1000000</f>
        <v>51.454859655910624</v>
      </c>
      <c r="Z51">
        <v>50</v>
      </c>
      <c r="AA51">
        <f t="shared" si="13"/>
        <v>280</v>
      </c>
      <c r="AB51">
        <v>1970</v>
      </c>
      <c r="AC51">
        <v>1523</v>
      </c>
      <c r="AE51" s="48"/>
    </row>
    <row r="52" spans="1:31" x14ac:dyDescent="0.25">
      <c r="B52" s="173">
        <f t="shared" si="12"/>
        <v>45</v>
      </c>
      <c r="C52" s="1031">
        <f>B52*1000/(('Brine effectiveness'!$C$14*D52)/1000)</f>
        <v>8.3878951539865145</v>
      </c>
      <c r="D52">
        <f t="shared" si="10"/>
        <v>634930.55999999994</v>
      </c>
      <c r="E52" s="27">
        <f t="shared" si="11"/>
        <v>5325730.9673419436</v>
      </c>
      <c r="F52" s="97">
        <f>'Brine effectiveness'!$C$13*E52/1000000</f>
        <v>57.886717112899461</v>
      </c>
      <c r="P52" t="s">
        <v>48</v>
      </c>
      <c r="Q52">
        <v>240.72368179402685</v>
      </c>
      <c r="Z52">
        <v>50</v>
      </c>
      <c r="AA52">
        <f t="shared" si="13"/>
        <v>300</v>
      </c>
      <c r="AE52" s="48"/>
    </row>
    <row r="53" spans="1:31" x14ac:dyDescent="0.25">
      <c r="B53" s="173">
        <f t="shared" si="12"/>
        <v>50</v>
      </c>
      <c r="C53" s="1031">
        <f>B53*1000/(('Brine effectiveness'!$C$14*D53)/1000)</f>
        <v>9.3198835044294608</v>
      </c>
      <c r="D53">
        <f t="shared" si="10"/>
        <v>634930.55999999994</v>
      </c>
      <c r="E53" s="27">
        <f t="shared" si="11"/>
        <v>5917478.8526021596</v>
      </c>
      <c r="F53" s="97">
        <f>'Brine effectiveness'!$C$13*E53/1000000</f>
        <v>64.318574569888284</v>
      </c>
      <c r="P53" t="s">
        <v>447</v>
      </c>
      <c r="Q53">
        <v>50</v>
      </c>
      <c r="S53">
        <f>0.000038*Q52^2 - 0.018295*Q52 + 2.374871</f>
        <v>0.17285109868421111</v>
      </c>
      <c r="Z53">
        <v>50</v>
      </c>
      <c r="AA53">
        <f t="shared" si="13"/>
        <v>320</v>
      </c>
      <c r="AE53" s="48"/>
    </row>
    <row r="54" spans="1:31" x14ac:dyDescent="0.25">
      <c r="B54" s="173">
        <f t="shared" si="12"/>
        <v>55</v>
      </c>
      <c r="C54" s="1031">
        <f>B54*1000/(('Brine effectiveness'!$C$14*D54)/1000)</f>
        <v>10.251871854872405</v>
      </c>
      <c r="D54">
        <f t="shared" si="10"/>
        <v>634930.55999999994</v>
      </c>
      <c r="E54" s="27">
        <f t="shared" si="11"/>
        <v>6509226.7378623746</v>
      </c>
      <c r="F54" s="97">
        <f>'Brine effectiveness'!$C$13*E54/1000000</f>
        <v>70.750432026877107</v>
      </c>
      <c r="P54" t="s">
        <v>448</v>
      </c>
      <c r="Q54">
        <f>(1+S53)*Q53</f>
        <v>58.642554934210558</v>
      </c>
      <c r="Z54">
        <v>50</v>
      </c>
      <c r="AA54">
        <f t="shared" si="13"/>
        <v>340</v>
      </c>
      <c r="AE54" s="48"/>
    </row>
    <row r="55" spans="1:31" x14ac:dyDescent="0.25">
      <c r="B55" s="173">
        <f t="shared" si="12"/>
        <v>60</v>
      </c>
      <c r="C55" s="1031">
        <f>B55*1000/(('Brine effectiveness'!$C$14*D55)/1000)</f>
        <v>11.183860205315352</v>
      </c>
      <c r="D55">
        <f t="shared" si="10"/>
        <v>634930.55999999994</v>
      </c>
      <c r="E55" s="27">
        <f t="shared" si="11"/>
        <v>7100974.6231225906</v>
      </c>
      <c r="F55" s="97">
        <f>'Brine effectiveness'!$C$13*E55/1000000</f>
        <v>77.182289483865929</v>
      </c>
      <c r="Z55">
        <v>50</v>
      </c>
      <c r="AA55">
        <f t="shared" si="13"/>
        <v>360</v>
      </c>
      <c r="AE55" s="48"/>
    </row>
    <row r="56" spans="1:31" x14ac:dyDescent="0.25">
      <c r="B56" s="173">
        <f t="shared" si="12"/>
        <v>65</v>
      </c>
      <c r="C56" s="1031">
        <f>B56*1000/(('Brine effectiveness'!$C$14*D56)/1000)</f>
        <v>12.115848555758298</v>
      </c>
      <c r="D56">
        <f t="shared" si="10"/>
        <v>634930.55999999994</v>
      </c>
      <c r="E56" s="27">
        <f t="shared" si="11"/>
        <v>7692722.5083828066</v>
      </c>
      <c r="F56" s="97">
        <f>'Brine effectiveness'!$C$13*E56/1000000</f>
        <v>83.614146940854752</v>
      </c>
      <c r="P56" t="s">
        <v>1292</v>
      </c>
      <c r="Z56">
        <v>50</v>
      </c>
      <c r="AA56">
        <f t="shared" si="13"/>
        <v>380</v>
      </c>
      <c r="AE56" s="48"/>
    </row>
    <row r="57" spans="1:31" x14ac:dyDescent="0.25">
      <c r="B57" s="173">
        <f t="shared" si="12"/>
        <v>70</v>
      </c>
      <c r="C57" s="1031">
        <f>B57*1000/(('Brine effectiveness'!$C$14*D57)/1000)</f>
        <v>13.047836906201244</v>
      </c>
      <c r="D57">
        <f t="shared" si="10"/>
        <v>634930.55999999994</v>
      </c>
      <c r="E57" s="27">
        <f t="shared" si="11"/>
        <v>8284470.3936430225</v>
      </c>
      <c r="F57" s="97">
        <f>'Brine effectiveness'!$C$13*E57/1000000</f>
        <v>90.046004397843589</v>
      </c>
      <c r="Z57">
        <v>50</v>
      </c>
      <c r="AA57">
        <f t="shared" si="13"/>
        <v>400</v>
      </c>
      <c r="AE57" s="48"/>
    </row>
    <row r="58" spans="1:31" x14ac:dyDescent="0.25">
      <c r="B58" s="173">
        <f t="shared" si="12"/>
        <v>75</v>
      </c>
      <c r="C58" s="1031">
        <f>B58*1000/(('Brine effectiveness'!$C$14*D58)/1000)</f>
        <v>13.97982525664419</v>
      </c>
      <c r="D58">
        <f t="shared" si="10"/>
        <v>634930.55999999994</v>
      </c>
      <c r="E58" s="27">
        <f t="shared" si="11"/>
        <v>8876218.2789032385</v>
      </c>
      <c r="F58" s="97">
        <f>'Brine effectiveness'!$C$13*E58/1000000</f>
        <v>96.477861854832426</v>
      </c>
      <c r="AE58" s="48"/>
    </row>
    <row r="59" spans="1:31" x14ac:dyDescent="0.25">
      <c r="B59" s="173">
        <f t="shared" si="12"/>
        <v>80</v>
      </c>
      <c r="C59" s="1031">
        <f>B59*1000/(('Brine effectiveness'!$C$14*D59)/1000)</f>
        <v>14.911813607087137</v>
      </c>
      <c r="D59">
        <f t="shared" si="10"/>
        <v>634930.55999999994</v>
      </c>
      <c r="E59" s="27">
        <f t="shared" si="11"/>
        <v>9467966.1641634554</v>
      </c>
      <c r="F59" s="97">
        <f>'Brine effectiveness'!$C$13*E59/1000000</f>
        <v>102.90971931182125</v>
      </c>
      <c r="AE59" s="48"/>
    </row>
    <row r="60" spans="1:31" x14ac:dyDescent="0.25">
      <c r="B60" s="173">
        <f t="shared" si="12"/>
        <v>85</v>
      </c>
      <c r="C60" s="1031">
        <f>B60*1000/(('Brine effectiveness'!$C$14*D60)/1000)</f>
        <v>15.843801957530083</v>
      </c>
      <c r="D60">
        <f t="shared" si="10"/>
        <v>634930.55999999994</v>
      </c>
      <c r="E60" s="27">
        <f t="shared" si="11"/>
        <v>10059714.04942367</v>
      </c>
      <c r="F60" s="97">
        <f>'Brine effectiveness'!$C$13*E60/1000000</f>
        <v>109.34157676881007</v>
      </c>
      <c r="AE60" s="48"/>
    </row>
    <row r="61" spans="1:31" x14ac:dyDescent="0.25">
      <c r="B61" s="173">
        <f t="shared" si="12"/>
        <v>90</v>
      </c>
      <c r="C61" s="1031">
        <f>B61*1000/(('Brine effectiveness'!$C$14*D61)/1000)</f>
        <v>16.775790307973029</v>
      </c>
      <c r="D61">
        <f t="shared" si="10"/>
        <v>634930.55999999994</v>
      </c>
      <c r="E61" s="27">
        <f t="shared" si="11"/>
        <v>10651461.934683887</v>
      </c>
      <c r="F61" s="97">
        <f>'Brine effectiveness'!$C$13*E61/1000000</f>
        <v>115.77343422579892</v>
      </c>
    </row>
    <row r="62" spans="1:31" x14ac:dyDescent="0.25">
      <c r="B62" s="173">
        <f>B61+5</f>
        <v>95</v>
      </c>
      <c r="C62" s="1031">
        <f>B62*1000/(('Brine effectiveness'!$C$14*D62)/1000)</f>
        <v>17.707778658415975</v>
      </c>
      <c r="D62">
        <f t="shared" si="10"/>
        <v>634930.55999999994</v>
      </c>
      <c r="E62" s="27">
        <f t="shared" si="11"/>
        <v>11243209.819944102</v>
      </c>
      <c r="F62" s="97">
        <f>'Brine effectiveness'!$C$13*E62/1000000</f>
        <v>122.20529168278773</v>
      </c>
    </row>
    <row r="63" spans="1:31" x14ac:dyDescent="0.25">
      <c r="B63" s="173">
        <f t="shared" si="12"/>
        <v>100</v>
      </c>
      <c r="C63" s="1031">
        <f>B63*1000/(('Brine effectiveness'!$C$14*D63)/1000)</f>
        <v>18.639767008858922</v>
      </c>
      <c r="D63">
        <f t="shared" si="10"/>
        <v>634930.55999999994</v>
      </c>
      <c r="E63" s="27">
        <f t="shared" si="11"/>
        <v>11834957.705204319</v>
      </c>
      <c r="F63" s="97">
        <f>'Brine effectiveness'!$C$13*E63/1000000</f>
        <v>128.63714913977657</v>
      </c>
    </row>
    <row r="64" spans="1:31" x14ac:dyDescent="0.25">
      <c r="E64" s="27"/>
      <c r="F64" s="97"/>
    </row>
    <row r="69" spans="16:31" x14ac:dyDescent="0.25">
      <c r="P69" t="s">
        <v>1293</v>
      </c>
      <c r="X69" t="s">
        <v>1291</v>
      </c>
    </row>
    <row r="70" spans="16:31" x14ac:dyDescent="0.25">
      <c r="P70" t="s">
        <v>1294</v>
      </c>
      <c r="Q70">
        <v>50</v>
      </c>
    </row>
    <row r="71" spans="16:31" x14ac:dyDescent="0.25">
      <c r="P71" s="14" t="s">
        <v>712</v>
      </c>
      <c r="Q71" s="1280" t="s">
        <v>1295</v>
      </c>
      <c r="R71" s="1281"/>
      <c r="S71" s="1281"/>
      <c r="T71" s="1281"/>
      <c r="U71" s="1282"/>
      <c r="V71" s="1280" t="s">
        <v>1296</v>
      </c>
      <c r="W71" s="1281"/>
      <c r="X71" s="1281"/>
      <c r="Y71" s="1281"/>
      <c r="Z71" s="1282"/>
      <c r="AA71" s="1280" t="s">
        <v>1297</v>
      </c>
      <c r="AB71" s="1281"/>
      <c r="AC71" s="1281"/>
      <c r="AD71" s="1281"/>
      <c r="AE71" s="1282"/>
    </row>
    <row r="72" spans="16:31" x14ac:dyDescent="0.25">
      <c r="P72" t="s">
        <v>140</v>
      </c>
      <c r="Q72" s="12"/>
      <c r="R72" s="36"/>
      <c r="S72" s="36"/>
      <c r="T72" s="36"/>
      <c r="U72" s="25"/>
      <c r="V72" s="12"/>
      <c r="W72" s="36"/>
      <c r="X72" s="36"/>
      <c r="Y72" s="36"/>
      <c r="Z72" s="143"/>
      <c r="AA72" s="12"/>
      <c r="AB72" s="36"/>
      <c r="AC72" s="36"/>
      <c r="AD72" s="36"/>
      <c r="AE72" s="143"/>
    </row>
    <row r="73" spans="16:31" x14ac:dyDescent="0.25">
      <c r="P73" t="s">
        <v>509</v>
      </c>
      <c r="Q73" s="12" t="s">
        <v>43</v>
      </c>
      <c r="R73" s="36" t="s">
        <v>1298</v>
      </c>
      <c r="S73" s="36" t="s">
        <v>1299</v>
      </c>
      <c r="T73" s="36" t="s">
        <v>1300</v>
      </c>
      <c r="U73" s="143" t="s">
        <v>446</v>
      </c>
      <c r="V73" s="12" t="s">
        <v>43</v>
      </c>
      <c r="W73" s="929" t="s">
        <v>1301</v>
      </c>
      <c r="X73" s="36" t="s">
        <v>1299</v>
      </c>
      <c r="Y73" s="36" t="s">
        <v>1300</v>
      </c>
      <c r="Z73" s="143" t="s">
        <v>446</v>
      </c>
      <c r="AA73" s="12" t="s">
        <v>43</v>
      </c>
      <c r="AB73" s="36" t="s">
        <v>1298</v>
      </c>
      <c r="AC73" s="36" t="s">
        <v>1299</v>
      </c>
      <c r="AD73" s="36" t="s">
        <v>1300</v>
      </c>
      <c r="AE73" s="143" t="s">
        <v>446</v>
      </c>
    </row>
    <row r="74" spans="16:31" x14ac:dyDescent="0.25">
      <c r="P74">
        <v>150</v>
      </c>
      <c r="Q74" s="12">
        <v>7.1340000000000003</v>
      </c>
      <c r="R74" s="36">
        <v>70.09</v>
      </c>
      <c r="S74" s="358">
        <v>5427</v>
      </c>
      <c r="T74" s="358">
        <v>3871</v>
      </c>
      <c r="U74" s="930">
        <f t="shared" ref="U74:U79" si="14">(R74-$Q$70)/$Q$70</f>
        <v>0.40180000000000005</v>
      </c>
      <c r="V74" s="12">
        <v>7.2190000000000003</v>
      </c>
      <c r="W74" s="931">
        <v>69.03</v>
      </c>
      <c r="X74" s="932">
        <v>5464</v>
      </c>
      <c r="Y74" s="932">
        <v>3958</v>
      </c>
      <c r="Z74" s="930">
        <f t="shared" ref="Z74:Z79" si="15">(W74-$Q$70)/$Q$70</f>
        <v>0.38060000000000005</v>
      </c>
      <c r="AA74" s="933">
        <v>7.2190000000000003</v>
      </c>
      <c r="AB74" s="931">
        <v>67.25</v>
      </c>
      <c r="AC74" s="932">
        <v>5327</v>
      </c>
      <c r="AD74" s="932">
        <v>3961</v>
      </c>
      <c r="AE74" s="930">
        <f t="shared" ref="AE74:AE79" si="16">(AB74-$Q$70)/$Q$70</f>
        <v>0.34499999999999997</v>
      </c>
    </row>
    <row r="75" spans="16:31" x14ac:dyDescent="0.25">
      <c r="P75">
        <v>175</v>
      </c>
      <c r="Q75" s="12">
        <v>8.2159999999999993</v>
      </c>
      <c r="R75" s="36">
        <v>64.819999999999993</v>
      </c>
      <c r="S75" s="358">
        <v>3337</v>
      </c>
      <c r="T75" s="358">
        <v>2574</v>
      </c>
      <c r="U75" s="930">
        <f t="shared" si="14"/>
        <v>0.29639999999999989</v>
      </c>
      <c r="V75" s="12">
        <v>8.5719999999999992</v>
      </c>
      <c r="W75" s="931">
        <v>63.21</v>
      </c>
      <c r="X75" s="932">
        <v>3549</v>
      </c>
      <c r="Y75" s="932">
        <v>2807</v>
      </c>
      <c r="Z75" s="930">
        <f t="shared" si="15"/>
        <v>0.26419999999999999</v>
      </c>
      <c r="AA75" s="933">
        <v>9.0709999999999997</v>
      </c>
      <c r="AB75" s="931">
        <v>60.62</v>
      </c>
      <c r="AC75" s="932">
        <v>3902</v>
      </c>
      <c r="AD75" s="932">
        <v>3218</v>
      </c>
      <c r="AE75" s="930">
        <f t="shared" si="16"/>
        <v>0.21239999999999995</v>
      </c>
    </row>
    <row r="76" spans="16:31" x14ac:dyDescent="0.25">
      <c r="P76">
        <v>200</v>
      </c>
      <c r="Q76" s="12">
        <v>10.304</v>
      </c>
      <c r="R76" s="36">
        <v>60.78</v>
      </c>
      <c r="S76" s="358">
        <v>2369</v>
      </c>
      <c r="T76" s="358">
        <v>1949</v>
      </c>
      <c r="U76" s="930">
        <f t="shared" si="14"/>
        <v>0.21560000000000001</v>
      </c>
      <c r="V76" s="12">
        <v>10.57</v>
      </c>
      <c r="W76" s="931">
        <v>59.57</v>
      </c>
      <c r="X76" s="932">
        <v>2443</v>
      </c>
      <c r="Y76" s="932">
        <v>2050</v>
      </c>
      <c r="Z76" s="930">
        <f t="shared" si="15"/>
        <v>0.19140000000000001</v>
      </c>
      <c r="AA76" s="933">
        <v>11.246</v>
      </c>
      <c r="AB76" s="931">
        <v>57.19</v>
      </c>
      <c r="AC76" s="932">
        <v>2802</v>
      </c>
      <c r="AD76" s="932">
        <v>2449</v>
      </c>
      <c r="AE76" s="930">
        <f t="shared" si="16"/>
        <v>0.14379999999999996</v>
      </c>
    </row>
    <row r="77" spans="16:31" x14ac:dyDescent="0.25">
      <c r="P77">
        <v>225</v>
      </c>
      <c r="Q77" s="12">
        <v>13.737</v>
      </c>
      <c r="R77" s="36">
        <v>58.03</v>
      </c>
      <c r="S77" s="358">
        <v>1902</v>
      </c>
      <c r="T77" s="358">
        <v>1639</v>
      </c>
      <c r="U77" s="930">
        <f t="shared" si="14"/>
        <v>0.16060000000000002</v>
      </c>
      <c r="V77" s="12">
        <v>13.737</v>
      </c>
      <c r="W77" s="931">
        <v>57.15</v>
      </c>
      <c r="X77" s="932">
        <v>1874</v>
      </c>
      <c r="Y77" s="932">
        <v>1640</v>
      </c>
      <c r="Z77" s="930">
        <f t="shared" si="15"/>
        <v>0.14299999999999996</v>
      </c>
      <c r="AA77" s="933">
        <v>13.737</v>
      </c>
      <c r="AB77" s="931">
        <v>55.35</v>
      </c>
      <c r="AC77" s="932">
        <v>1817</v>
      </c>
      <c r="AD77" s="932">
        <v>1641</v>
      </c>
      <c r="AE77" s="930">
        <f t="shared" si="16"/>
        <v>0.10700000000000003</v>
      </c>
    </row>
    <row r="78" spans="16:31" x14ac:dyDescent="0.25">
      <c r="P78">
        <v>250</v>
      </c>
      <c r="Q78" s="12">
        <v>15.528</v>
      </c>
      <c r="R78" s="36">
        <v>57.93</v>
      </c>
      <c r="S78" s="358">
        <v>1966</v>
      </c>
      <c r="T78" s="358">
        <v>1697</v>
      </c>
      <c r="U78" s="930">
        <f t="shared" si="14"/>
        <v>0.15859999999999999</v>
      </c>
      <c r="V78" s="12">
        <v>15.528</v>
      </c>
      <c r="W78" s="931">
        <v>56.87</v>
      </c>
      <c r="X78" s="932">
        <v>1931</v>
      </c>
      <c r="Y78" s="932">
        <v>1698</v>
      </c>
      <c r="Z78" s="930">
        <f t="shared" si="15"/>
        <v>0.13739999999999994</v>
      </c>
      <c r="AA78" s="933">
        <v>15.528</v>
      </c>
      <c r="AB78" s="931">
        <v>54.76</v>
      </c>
      <c r="AC78" s="932">
        <v>1861</v>
      </c>
      <c r="AD78" s="932">
        <v>1699</v>
      </c>
      <c r="AE78" s="930">
        <f t="shared" si="16"/>
        <v>9.5199999999999965E-2</v>
      </c>
    </row>
    <row r="79" spans="16:31" x14ac:dyDescent="0.25">
      <c r="P79">
        <v>275</v>
      </c>
      <c r="Q79" s="180">
        <v>17.308</v>
      </c>
      <c r="R79" s="18">
        <v>58.63</v>
      </c>
      <c r="S79" s="18">
        <v>2520</v>
      </c>
      <c r="T79" s="18">
        <v>2149</v>
      </c>
      <c r="U79" s="934">
        <f t="shared" si="14"/>
        <v>0.17260000000000006</v>
      </c>
      <c r="V79" s="180">
        <v>17.308</v>
      </c>
      <c r="W79" s="935">
        <v>57.31</v>
      </c>
      <c r="X79" s="18">
        <v>2464</v>
      </c>
      <c r="Y79" s="18">
        <v>2150</v>
      </c>
      <c r="Z79" s="934">
        <f t="shared" si="15"/>
        <v>0.14620000000000005</v>
      </c>
      <c r="AA79" s="936">
        <v>17.308</v>
      </c>
      <c r="AB79" s="935">
        <v>54.74</v>
      </c>
      <c r="AC79" s="18">
        <v>2356</v>
      </c>
      <c r="AD79" s="18">
        <v>2151</v>
      </c>
      <c r="AE79" s="934">
        <f t="shared" si="16"/>
        <v>9.4800000000000037E-2</v>
      </c>
    </row>
    <row r="81" spans="16:31" x14ac:dyDescent="0.25">
      <c r="Q81" s="1280" t="s">
        <v>1302</v>
      </c>
      <c r="R81" s="1281"/>
      <c r="S81" s="1281"/>
      <c r="T81" s="1281"/>
      <c r="U81" s="1282"/>
      <c r="V81" s="1280" t="s">
        <v>1303</v>
      </c>
      <c r="W81" s="1281"/>
      <c r="X81" s="1281"/>
      <c r="Y81" s="1281"/>
      <c r="Z81" s="1282"/>
      <c r="AA81" s="1280" t="s">
        <v>1304</v>
      </c>
      <c r="AB81" s="1281"/>
      <c r="AC81" s="1281"/>
      <c r="AD81" s="1281"/>
      <c r="AE81" s="1282"/>
    </row>
    <row r="82" spans="16:31" x14ac:dyDescent="0.25">
      <c r="P82" t="s">
        <v>509</v>
      </c>
      <c r="Q82" s="12" t="s">
        <v>43</v>
      </c>
      <c r="R82" s="36" t="s">
        <v>1298</v>
      </c>
      <c r="S82" s="36" t="s">
        <v>1299</v>
      </c>
      <c r="T82" s="36" t="s">
        <v>1300</v>
      </c>
      <c r="U82" s="143" t="s">
        <v>446</v>
      </c>
      <c r="V82" s="12" t="s">
        <v>43</v>
      </c>
      <c r="W82" s="929" t="s">
        <v>1301</v>
      </c>
      <c r="X82" s="36" t="s">
        <v>1299</v>
      </c>
      <c r="Y82" s="36" t="s">
        <v>1300</v>
      </c>
      <c r="Z82" s="143" t="s">
        <v>446</v>
      </c>
      <c r="AA82" s="12" t="s">
        <v>43</v>
      </c>
      <c r="AB82" s="36" t="s">
        <v>1298</v>
      </c>
      <c r="AC82" s="36" t="s">
        <v>1299</v>
      </c>
      <c r="AD82" s="36" t="s">
        <v>1300</v>
      </c>
      <c r="AE82" s="143" t="s">
        <v>446</v>
      </c>
    </row>
    <row r="83" spans="16:31" x14ac:dyDescent="0.25">
      <c r="P83">
        <v>150</v>
      </c>
      <c r="Q83" s="12">
        <v>7.0739999999999998</v>
      </c>
      <c r="R83" s="36">
        <v>63.24</v>
      </c>
      <c r="S83" s="358">
        <v>4835</v>
      </c>
      <c r="T83" s="358">
        <v>3823</v>
      </c>
      <c r="U83" s="930">
        <f t="shared" ref="U83:U88" si="17">(R83-$Q$70)/($Q$70)</f>
        <v>0.26480000000000004</v>
      </c>
      <c r="V83" s="12">
        <v>7.2190000000000003</v>
      </c>
      <c r="W83" s="36">
        <v>62.26</v>
      </c>
      <c r="X83" s="358">
        <v>4942</v>
      </c>
      <c r="Y83" s="358">
        <v>3969</v>
      </c>
      <c r="Z83" s="930">
        <f t="shared" ref="Z83:Z88" si="18">(W83-$Q$70)/$Q$70</f>
        <v>0.24519999999999997</v>
      </c>
      <c r="AA83" s="12">
        <v>7.2190000000000003</v>
      </c>
      <c r="AB83" s="36">
        <v>60.72</v>
      </c>
      <c r="AC83" s="358">
        <v>4822</v>
      </c>
      <c r="AD83" s="358">
        <v>3971</v>
      </c>
      <c r="AE83" s="930">
        <f t="shared" ref="AE83:AE88" si="19">(AB83-$Q$70)/$Q$70</f>
        <v>0.21439999999999998</v>
      </c>
    </row>
    <row r="84" spans="16:31" x14ac:dyDescent="0.25">
      <c r="P84">
        <v>175</v>
      </c>
      <c r="Q84" s="12">
        <v>8.3230000000000004</v>
      </c>
      <c r="R84" s="36">
        <v>59.88</v>
      </c>
      <c r="S84" s="358">
        <v>3167</v>
      </c>
      <c r="T84" s="358">
        <v>2644</v>
      </c>
      <c r="U84" s="930">
        <f t="shared" si="17"/>
        <v>0.19760000000000005</v>
      </c>
      <c r="V84" s="12">
        <v>8.7360000000000007</v>
      </c>
      <c r="W84" s="36">
        <v>58.59</v>
      </c>
      <c r="X84" s="358">
        <v>3439</v>
      </c>
      <c r="Y84" s="358">
        <v>2935</v>
      </c>
      <c r="Z84" s="930">
        <f t="shared" si="18"/>
        <v>0.17180000000000006</v>
      </c>
      <c r="AA84" s="12">
        <v>9.0709999999999997</v>
      </c>
      <c r="AB84" s="36">
        <v>56.68</v>
      </c>
      <c r="AC84" s="358">
        <v>3655</v>
      </c>
      <c r="AD84" s="358">
        <v>3224</v>
      </c>
      <c r="AE84" s="930">
        <f t="shared" si="19"/>
        <v>0.1336</v>
      </c>
    </row>
    <row r="85" spans="16:31" x14ac:dyDescent="0.25">
      <c r="P85">
        <v>200</v>
      </c>
      <c r="Q85" s="12">
        <v>10.438000000000001</v>
      </c>
      <c r="R85" s="36">
        <v>57.5</v>
      </c>
      <c r="S85" s="358">
        <v>2299</v>
      </c>
      <c r="T85" s="358">
        <v>1999</v>
      </c>
      <c r="U85" s="930">
        <f t="shared" si="17"/>
        <v>0.15</v>
      </c>
      <c r="V85" s="12">
        <v>10.736000000000001</v>
      </c>
      <c r="W85" s="36">
        <v>56.46</v>
      </c>
      <c r="X85" s="358">
        <v>2405</v>
      </c>
      <c r="Y85" s="358">
        <v>2130</v>
      </c>
      <c r="Z85" s="930">
        <f t="shared" si="18"/>
        <v>0.12920000000000001</v>
      </c>
      <c r="AA85" s="12">
        <v>11.464</v>
      </c>
      <c r="AB85" s="36">
        <v>54.43</v>
      </c>
      <c r="AC85" s="358">
        <v>2875</v>
      </c>
      <c r="AD85" s="358">
        <v>2641</v>
      </c>
      <c r="AE85" s="930">
        <f t="shared" si="19"/>
        <v>8.8599999999999998E-2</v>
      </c>
    </row>
    <row r="86" spans="16:31" x14ac:dyDescent="0.25">
      <c r="P86">
        <v>225</v>
      </c>
      <c r="Q86" s="12">
        <v>13.737</v>
      </c>
      <c r="R86" s="36">
        <v>55.95</v>
      </c>
      <c r="S86" s="358">
        <v>1836</v>
      </c>
      <c r="T86" s="358">
        <v>1641</v>
      </c>
      <c r="U86" s="930">
        <f t="shared" si="17"/>
        <v>0.11900000000000005</v>
      </c>
      <c r="V86" s="12">
        <v>13.737</v>
      </c>
      <c r="W86" s="36">
        <v>55.11</v>
      </c>
      <c r="X86" s="358">
        <v>1809</v>
      </c>
      <c r="Y86" s="358">
        <v>1641</v>
      </c>
      <c r="Z86" s="930">
        <f t="shared" si="18"/>
        <v>0.10219999999999999</v>
      </c>
      <c r="AA86" s="12">
        <v>13.372999999999999</v>
      </c>
      <c r="AB86" s="36">
        <v>53.39</v>
      </c>
      <c r="AC86" s="358">
        <v>1754</v>
      </c>
      <c r="AD86" s="358">
        <v>1643</v>
      </c>
      <c r="AE86" s="930">
        <f t="shared" si="19"/>
        <v>6.7800000000000013E-2</v>
      </c>
    </row>
    <row r="87" spans="16:31" x14ac:dyDescent="0.25">
      <c r="P87">
        <v>250</v>
      </c>
      <c r="Q87" s="12">
        <v>15.528</v>
      </c>
      <c r="R87" s="36">
        <v>56.14</v>
      </c>
      <c r="S87" s="358">
        <v>1907</v>
      </c>
      <c r="T87" s="358">
        <v>1698</v>
      </c>
      <c r="U87" s="930">
        <f t="shared" si="17"/>
        <v>0.12280000000000001</v>
      </c>
      <c r="V87" s="12">
        <v>15.528</v>
      </c>
      <c r="W87" s="36">
        <v>55.12</v>
      </c>
      <c r="X87" s="358">
        <v>1873</v>
      </c>
      <c r="Y87" s="358">
        <v>1699</v>
      </c>
      <c r="Z87" s="930">
        <f t="shared" si="18"/>
        <v>0.10239999999999995</v>
      </c>
      <c r="AA87" s="12">
        <v>15.528</v>
      </c>
      <c r="AB87" s="36">
        <v>53.09</v>
      </c>
      <c r="AC87" s="358">
        <v>1805</v>
      </c>
      <c r="AD87" s="358">
        <v>1700</v>
      </c>
      <c r="AE87" s="930">
        <f t="shared" si="19"/>
        <v>6.180000000000007E-2</v>
      </c>
    </row>
    <row r="88" spans="16:31" x14ac:dyDescent="0.25">
      <c r="P88">
        <v>275</v>
      </c>
      <c r="Q88" s="180">
        <v>17.308</v>
      </c>
      <c r="R88" s="18">
        <v>56.97</v>
      </c>
      <c r="S88" s="18">
        <v>2450</v>
      </c>
      <c r="T88" s="18">
        <v>2150</v>
      </c>
      <c r="U88" s="934">
        <f t="shared" si="17"/>
        <v>0.13939999999999997</v>
      </c>
      <c r="V88" s="180">
        <v>17.308</v>
      </c>
      <c r="W88" s="18">
        <v>55.71</v>
      </c>
      <c r="X88" s="18">
        <v>2396</v>
      </c>
      <c r="Y88" s="18">
        <v>2151</v>
      </c>
      <c r="Z88" s="934">
        <f t="shared" si="18"/>
        <v>0.11420000000000002</v>
      </c>
      <c r="AA88" s="180">
        <v>17.308</v>
      </c>
      <c r="AB88" s="18">
        <v>53.24</v>
      </c>
      <c r="AC88" s="18">
        <v>2292</v>
      </c>
      <c r="AD88" s="18">
        <v>2152</v>
      </c>
      <c r="AE88" s="934">
        <f t="shared" si="19"/>
        <v>6.4800000000000038E-2</v>
      </c>
    </row>
    <row r="137" spans="1:19" x14ac:dyDescent="0.25">
      <c r="S137" s="48"/>
    </row>
    <row r="138" spans="1:19" x14ac:dyDescent="0.25">
      <c r="S138" s="48"/>
    </row>
    <row r="139" spans="1:19" x14ac:dyDescent="0.25">
      <c r="A139" s="711"/>
      <c r="S139" s="48"/>
    </row>
    <row r="140" spans="1:19" x14ac:dyDescent="0.25">
      <c r="A140" s="473"/>
      <c r="S140" s="48"/>
    </row>
    <row r="141" spans="1:19" x14ac:dyDescent="0.25">
      <c r="A141" s="473"/>
      <c r="S141" s="48"/>
    </row>
    <row r="142" spans="1:19" x14ac:dyDescent="0.25">
      <c r="A142" s="473"/>
      <c r="S142" s="48"/>
    </row>
    <row r="143" spans="1:19" x14ac:dyDescent="0.25">
      <c r="A143" s="473"/>
      <c r="S143" s="48"/>
    </row>
    <row r="144" spans="1:19" x14ac:dyDescent="0.25">
      <c r="A144" s="473"/>
      <c r="S144" s="48"/>
    </row>
    <row r="145" spans="1:19" x14ac:dyDescent="0.25">
      <c r="A145" s="473"/>
      <c r="P145" s="48"/>
      <c r="Q145" s="48"/>
      <c r="R145" s="48"/>
    </row>
    <row r="146" spans="1:19" x14ac:dyDescent="0.25">
      <c r="A146" s="473"/>
    </row>
    <row r="147" spans="1:19" x14ac:dyDescent="0.25">
      <c r="A147" s="473"/>
    </row>
    <row r="148" spans="1:19" x14ac:dyDescent="0.25">
      <c r="A148" s="473"/>
    </row>
    <row r="149" spans="1:19" x14ac:dyDescent="0.25">
      <c r="A149" s="473"/>
    </row>
    <row r="150" spans="1:19" x14ac:dyDescent="0.25">
      <c r="A150" s="473"/>
      <c r="S150" s="48"/>
    </row>
    <row r="151" spans="1:19" x14ac:dyDescent="0.25">
      <c r="A151" s="473"/>
      <c r="S151" s="48"/>
    </row>
    <row r="152" spans="1:19" x14ac:dyDescent="0.25">
      <c r="A152" s="473"/>
      <c r="S152" s="48"/>
    </row>
    <row r="153" spans="1:19" x14ac:dyDescent="0.25">
      <c r="A153" s="473"/>
      <c r="S153" s="48"/>
    </row>
    <row r="154" spans="1:19" x14ac:dyDescent="0.25">
      <c r="A154" s="473"/>
      <c r="S154" s="48"/>
    </row>
    <row r="155" spans="1:19" x14ac:dyDescent="0.25">
      <c r="A155" s="473"/>
      <c r="S155" s="48"/>
    </row>
    <row r="156" spans="1:19" x14ac:dyDescent="0.25">
      <c r="A156" s="473"/>
      <c r="S156" s="48"/>
    </row>
    <row r="157" spans="1:19" x14ac:dyDescent="0.25">
      <c r="A157" s="219"/>
      <c r="S157" s="48"/>
    </row>
    <row r="158" spans="1:19" x14ac:dyDescent="0.25">
      <c r="A158" s="219"/>
    </row>
    <row r="159" spans="1:19" x14ac:dyDescent="0.25">
      <c r="A159" s="219"/>
    </row>
    <row r="160" spans="1:19" x14ac:dyDescent="0.25">
      <c r="A160" s="219"/>
    </row>
    <row r="161" spans="1:1" x14ac:dyDescent="0.25">
      <c r="A161" s="219"/>
    </row>
    <row r="165" spans="1:1" x14ac:dyDescent="0.25">
      <c r="A165" s="219"/>
    </row>
    <row r="166" spans="1:1" x14ac:dyDescent="0.25">
      <c r="A166" s="219"/>
    </row>
    <row r="167" spans="1:1" x14ac:dyDescent="0.25">
      <c r="A167" s="219"/>
    </row>
    <row r="168" spans="1:1" x14ac:dyDescent="0.25">
      <c r="A168" s="219"/>
    </row>
    <row r="169" spans="1:1" x14ac:dyDescent="0.25">
      <c r="A169" s="219"/>
    </row>
    <row r="170" spans="1:1" x14ac:dyDescent="0.25">
      <c r="A170" s="219"/>
    </row>
    <row r="171" spans="1:1" x14ac:dyDescent="0.25">
      <c r="A171" s="219"/>
    </row>
    <row r="172" spans="1:1" x14ac:dyDescent="0.25">
      <c r="A172" s="219"/>
    </row>
    <row r="173" spans="1:1" x14ac:dyDescent="0.25">
      <c r="A173" s="219"/>
    </row>
    <row r="174" spans="1:1" x14ac:dyDescent="0.25">
      <c r="A174" s="219"/>
    </row>
    <row r="175" spans="1:1" x14ac:dyDescent="0.25">
      <c r="A175" s="219"/>
    </row>
    <row r="176" spans="1:1" x14ac:dyDescent="0.25">
      <c r="A176" s="219"/>
    </row>
    <row r="177" spans="1:1" x14ac:dyDescent="0.25">
      <c r="A177" s="219"/>
    </row>
    <row r="178" spans="1:1" x14ac:dyDescent="0.25">
      <c r="A178" s="219"/>
    </row>
    <row r="179" spans="1:1" x14ac:dyDescent="0.25">
      <c r="A179" s="219"/>
    </row>
    <row r="180" spans="1:1" x14ac:dyDescent="0.25">
      <c r="A180" s="219"/>
    </row>
    <row r="181" spans="1:1" x14ac:dyDescent="0.25">
      <c r="A181" s="219"/>
    </row>
    <row r="182" spans="1:1" x14ac:dyDescent="0.25">
      <c r="A182" s="219"/>
    </row>
    <row r="183" spans="1:1" x14ac:dyDescent="0.25">
      <c r="A183" s="219"/>
    </row>
    <row r="184" spans="1:1" x14ac:dyDescent="0.25">
      <c r="A184" s="219"/>
    </row>
    <row r="185" spans="1:1" x14ac:dyDescent="0.25">
      <c r="A185" s="219"/>
    </row>
    <row r="186" spans="1:1" x14ac:dyDescent="0.25">
      <c r="A186" s="219"/>
    </row>
    <row r="187" spans="1:1" x14ac:dyDescent="0.25">
      <c r="A187" s="219"/>
    </row>
    <row r="188" spans="1:1" x14ac:dyDescent="0.25">
      <c r="A188" s="219"/>
    </row>
    <row r="189" spans="1:1" x14ac:dyDescent="0.25">
      <c r="A189" s="219"/>
    </row>
    <row r="190" spans="1:1" x14ac:dyDescent="0.25">
      <c r="A190" s="219"/>
    </row>
    <row r="191" spans="1:1" x14ac:dyDescent="0.25">
      <c r="A191" s="219"/>
    </row>
    <row r="192" spans="1:1" x14ac:dyDescent="0.25">
      <c r="A192" s="219"/>
    </row>
    <row r="193" spans="1:1" x14ac:dyDescent="0.25">
      <c r="A193" s="219"/>
    </row>
    <row r="194" spans="1:1" x14ac:dyDescent="0.25">
      <c r="A194" s="219"/>
    </row>
    <row r="195" spans="1:1" x14ac:dyDescent="0.25">
      <c r="A195" s="219"/>
    </row>
    <row r="196" spans="1:1" x14ac:dyDescent="0.25">
      <c r="A196" s="219"/>
    </row>
    <row r="197" spans="1:1" x14ac:dyDescent="0.25">
      <c r="A197" s="219"/>
    </row>
    <row r="198" spans="1:1" x14ac:dyDescent="0.25">
      <c r="A198" s="219"/>
    </row>
    <row r="199" spans="1:1" x14ac:dyDescent="0.25">
      <c r="A199" s="219"/>
    </row>
    <row r="200" spans="1:1" x14ac:dyDescent="0.25">
      <c r="A200" s="219"/>
    </row>
    <row r="201" spans="1:1" x14ac:dyDescent="0.25">
      <c r="A201" s="219"/>
    </row>
    <row r="202" spans="1:1" x14ac:dyDescent="0.25">
      <c r="A202" s="219"/>
    </row>
    <row r="203" spans="1:1" x14ac:dyDescent="0.25">
      <c r="A203" s="219"/>
    </row>
    <row r="204" spans="1:1" x14ac:dyDescent="0.25">
      <c r="A204" s="219"/>
    </row>
    <row r="205" spans="1:1" x14ac:dyDescent="0.25">
      <c r="A205" s="219"/>
    </row>
    <row r="206" spans="1:1" x14ac:dyDescent="0.25">
      <c r="A206" s="219"/>
    </row>
    <row r="207" spans="1:1" x14ac:dyDescent="0.25">
      <c r="A207" s="219"/>
    </row>
    <row r="208" spans="1:1" x14ac:dyDescent="0.25">
      <c r="A208" s="219"/>
    </row>
    <row r="209" spans="1:1" x14ac:dyDescent="0.25">
      <c r="A209" s="219"/>
    </row>
    <row r="210" spans="1:1" x14ac:dyDescent="0.25">
      <c r="A210" s="219"/>
    </row>
    <row r="211" spans="1:1" x14ac:dyDescent="0.25">
      <c r="A211" s="219"/>
    </row>
    <row r="212" spans="1:1" x14ac:dyDescent="0.25">
      <c r="A212" s="219"/>
    </row>
    <row r="213" spans="1:1" x14ac:dyDescent="0.25">
      <c r="A213" s="219"/>
    </row>
    <row r="214" spans="1:1" x14ac:dyDescent="0.25">
      <c r="A214" s="219"/>
    </row>
    <row r="215" spans="1:1" x14ac:dyDescent="0.25">
      <c r="A215" s="219"/>
    </row>
    <row r="216" spans="1:1" x14ac:dyDescent="0.25">
      <c r="A216" s="219"/>
    </row>
    <row r="217" spans="1:1" x14ac:dyDescent="0.25">
      <c r="A217" s="219"/>
    </row>
    <row r="218" spans="1:1" x14ac:dyDescent="0.25">
      <c r="A218" s="219"/>
    </row>
    <row r="219" spans="1:1" x14ac:dyDescent="0.25">
      <c r="A219" s="219"/>
    </row>
    <row r="220" spans="1:1" x14ac:dyDescent="0.25">
      <c r="A220" s="219"/>
    </row>
    <row r="221" spans="1:1" x14ac:dyDescent="0.25">
      <c r="A221" s="219"/>
    </row>
    <row r="222" spans="1:1" x14ac:dyDescent="0.25">
      <c r="A222" s="219"/>
    </row>
    <row r="223" spans="1:1" x14ac:dyDescent="0.25">
      <c r="A223" s="219"/>
    </row>
    <row r="224" spans="1:1" x14ac:dyDescent="0.25">
      <c r="A224" s="219"/>
    </row>
    <row r="225" spans="1:1" x14ac:dyDescent="0.25">
      <c r="A225" s="219"/>
    </row>
    <row r="226" spans="1:1" x14ac:dyDescent="0.25">
      <c r="A226" s="219"/>
    </row>
    <row r="227" spans="1:1" x14ac:dyDescent="0.25">
      <c r="A227" s="219"/>
    </row>
    <row r="228" spans="1:1" x14ac:dyDescent="0.25">
      <c r="A228" s="219"/>
    </row>
    <row r="229" spans="1:1" x14ac:dyDescent="0.25">
      <c r="A229" s="219"/>
    </row>
    <row r="230" spans="1:1" x14ac:dyDescent="0.25">
      <c r="A230" s="219"/>
    </row>
    <row r="231" spans="1:1" x14ac:dyDescent="0.25">
      <c r="A231" s="219"/>
    </row>
    <row r="232" spans="1:1" x14ac:dyDescent="0.25">
      <c r="A232" s="219"/>
    </row>
    <row r="233" spans="1:1" x14ac:dyDescent="0.25">
      <c r="A233" s="219"/>
    </row>
    <row r="234" spans="1:1" x14ac:dyDescent="0.25">
      <c r="A234" s="219"/>
    </row>
    <row r="235" spans="1:1" x14ac:dyDescent="0.25">
      <c r="A235" s="219"/>
    </row>
    <row r="236" spans="1:1" x14ac:dyDescent="0.25">
      <c r="A236" s="219"/>
    </row>
    <row r="237" spans="1:1" x14ac:dyDescent="0.25">
      <c r="A237" s="219"/>
    </row>
    <row r="238" spans="1:1" x14ac:dyDescent="0.25">
      <c r="A238" s="219"/>
    </row>
    <row r="239" spans="1:1" x14ac:dyDescent="0.25">
      <c r="A239" s="219"/>
    </row>
    <row r="240" spans="1:1" x14ac:dyDescent="0.25">
      <c r="A240" s="219"/>
    </row>
    <row r="241" spans="1:1" x14ac:dyDescent="0.25">
      <c r="A241" s="219"/>
    </row>
    <row r="242" spans="1:1" x14ac:dyDescent="0.25">
      <c r="A242" s="219"/>
    </row>
    <row r="243" spans="1:1" x14ac:dyDescent="0.25">
      <c r="A243" s="219"/>
    </row>
    <row r="244" spans="1:1" x14ac:dyDescent="0.25">
      <c r="A244" s="219"/>
    </row>
    <row r="245" spans="1:1" x14ac:dyDescent="0.25">
      <c r="A245" s="219"/>
    </row>
    <row r="246" spans="1:1" x14ac:dyDescent="0.25">
      <c r="A246" s="219"/>
    </row>
    <row r="247" spans="1:1" x14ac:dyDescent="0.25">
      <c r="A247" s="219"/>
    </row>
    <row r="248" spans="1:1" x14ac:dyDescent="0.25">
      <c r="A248" s="219"/>
    </row>
    <row r="249" spans="1:1" x14ac:dyDescent="0.25">
      <c r="A249" s="219"/>
    </row>
    <row r="250" spans="1:1" x14ac:dyDescent="0.25">
      <c r="A250" s="219"/>
    </row>
    <row r="251" spans="1:1" x14ac:dyDescent="0.25">
      <c r="A251" s="219"/>
    </row>
    <row r="252" spans="1:1" x14ac:dyDescent="0.25">
      <c r="A252" s="219"/>
    </row>
    <row r="253" spans="1:1" x14ac:dyDescent="0.25">
      <c r="A253" s="219"/>
    </row>
    <row r="254" spans="1:1" x14ac:dyDescent="0.25">
      <c r="A254" s="219"/>
    </row>
    <row r="255" spans="1:1" x14ac:dyDescent="0.25">
      <c r="A255" s="219"/>
    </row>
    <row r="256" spans="1:1" x14ac:dyDescent="0.25">
      <c r="A256" s="219"/>
    </row>
    <row r="257" spans="1:1" x14ac:dyDescent="0.25">
      <c r="A257" s="219"/>
    </row>
    <row r="258" spans="1:1" x14ac:dyDescent="0.25">
      <c r="A258" s="219"/>
    </row>
    <row r="259" spans="1:1" x14ac:dyDescent="0.25">
      <c r="A259" s="219"/>
    </row>
    <row r="260" spans="1:1" x14ac:dyDescent="0.25">
      <c r="A260" s="219"/>
    </row>
    <row r="261" spans="1:1" x14ac:dyDescent="0.25">
      <c r="A261" s="219"/>
    </row>
    <row r="262" spans="1:1" x14ac:dyDescent="0.25">
      <c r="A262" s="219"/>
    </row>
    <row r="263" spans="1:1" x14ac:dyDescent="0.25">
      <c r="A263" s="219"/>
    </row>
    <row r="264" spans="1:1" x14ac:dyDescent="0.25">
      <c r="A264" s="219"/>
    </row>
    <row r="265" spans="1:1" x14ac:dyDescent="0.25">
      <c r="A265" s="219"/>
    </row>
    <row r="266" spans="1:1" x14ac:dyDescent="0.25">
      <c r="A266" s="219"/>
    </row>
    <row r="267" spans="1:1" x14ac:dyDescent="0.25">
      <c r="A267" s="219"/>
    </row>
    <row r="268" spans="1:1" x14ac:dyDescent="0.25">
      <c r="A268" s="219"/>
    </row>
    <row r="269" spans="1:1" x14ac:dyDescent="0.25">
      <c r="A269" s="219"/>
    </row>
    <row r="270" spans="1:1" x14ac:dyDescent="0.25">
      <c r="A270" s="219"/>
    </row>
    <row r="271" spans="1:1" x14ac:dyDescent="0.25">
      <c r="A271" s="219"/>
    </row>
    <row r="272" spans="1:1" x14ac:dyDescent="0.25">
      <c r="A272" s="219"/>
    </row>
    <row r="273" spans="1:1" x14ac:dyDescent="0.25">
      <c r="A273" s="219"/>
    </row>
    <row r="274" spans="1:1" x14ac:dyDescent="0.25">
      <c r="A274" s="219"/>
    </row>
    <row r="275" spans="1:1" x14ac:dyDescent="0.25">
      <c r="A275" s="219"/>
    </row>
    <row r="276" spans="1:1" x14ac:dyDescent="0.25">
      <c r="A276" s="219"/>
    </row>
    <row r="277" spans="1:1" x14ac:dyDescent="0.25">
      <c r="A277" s="219"/>
    </row>
    <row r="278" spans="1:1" x14ac:dyDescent="0.25">
      <c r="A278" s="219"/>
    </row>
    <row r="279" spans="1:1" x14ac:dyDescent="0.25">
      <c r="A279" s="219"/>
    </row>
    <row r="280" spans="1:1" x14ac:dyDescent="0.25">
      <c r="A280" s="219"/>
    </row>
    <row r="281" spans="1:1" x14ac:dyDescent="0.25">
      <c r="A281" s="219"/>
    </row>
    <row r="282" spans="1:1" x14ac:dyDescent="0.25">
      <c r="A282" s="219"/>
    </row>
    <row r="283" spans="1:1" x14ac:dyDescent="0.25">
      <c r="A283" s="219"/>
    </row>
    <row r="284" spans="1:1" x14ac:dyDescent="0.25">
      <c r="A284" s="219"/>
    </row>
    <row r="285" spans="1:1" x14ac:dyDescent="0.25">
      <c r="A285" s="219"/>
    </row>
    <row r="286" spans="1:1" x14ac:dyDescent="0.25">
      <c r="A286" s="219"/>
    </row>
    <row r="287" spans="1:1" x14ac:dyDescent="0.25">
      <c r="A287" s="219"/>
    </row>
    <row r="288" spans="1:1" x14ac:dyDescent="0.25">
      <c r="A288" s="219"/>
    </row>
    <row r="289" spans="1:1" x14ac:dyDescent="0.25">
      <c r="A289" s="219"/>
    </row>
    <row r="290" spans="1:1" x14ac:dyDescent="0.25">
      <c r="A290" s="219"/>
    </row>
    <row r="291" spans="1:1" x14ac:dyDescent="0.25">
      <c r="A291" s="219"/>
    </row>
    <row r="292" spans="1:1" x14ac:dyDescent="0.25">
      <c r="A292" s="219"/>
    </row>
    <row r="293" spans="1:1" x14ac:dyDescent="0.25">
      <c r="A293" s="219"/>
    </row>
    <row r="294" spans="1:1" x14ac:dyDescent="0.25">
      <c r="A294" s="219"/>
    </row>
    <row r="295" spans="1:1" x14ac:dyDescent="0.25">
      <c r="A295" s="219"/>
    </row>
    <row r="296" spans="1:1" x14ac:dyDescent="0.25">
      <c r="A296" s="219"/>
    </row>
    <row r="297" spans="1:1" x14ac:dyDescent="0.25">
      <c r="A297" s="219"/>
    </row>
    <row r="298" spans="1:1" x14ac:dyDescent="0.25">
      <c r="A298" s="219"/>
    </row>
    <row r="299" spans="1:1" x14ac:dyDescent="0.25">
      <c r="A299" s="219"/>
    </row>
    <row r="300" spans="1:1" x14ac:dyDescent="0.25">
      <c r="A300" s="219"/>
    </row>
    <row r="301" spans="1:1" x14ac:dyDescent="0.25">
      <c r="A301" s="219"/>
    </row>
    <row r="302" spans="1:1" x14ac:dyDescent="0.25">
      <c r="A302" s="219"/>
    </row>
    <row r="303" spans="1:1" x14ac:dyDescent="0.25">
      <c r="A303" s="219"/>
    </row>
  </sheetData>
  <sheetProtection password="DFD3" sheet="1" objects="1" scenarios="1"/>
  <mergeCells count="8">
    <mergeCell ref="Q81:U81"/>
    <mergeCell ref="V81:Z81"/>
    <mergeCell ref="AA81:AE81"/>
    <mergeCell ref="X5:X6"/>
    <mergeCell ref="Z39:AD39"/>
    <mergeCell ref="Q71:U71"/>
    <mergeCell ref="V71:Z71"/>
    <mergeCell ref="AA71:AE71"/>
  </mergeCells>
  <pageMargins left="0.7" right="0.7" top="0.75" bottom="0.75" header="0.3" footer="0.3"/>
  <pageSetup orientation="landscape"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V303"/>
  <sheetViews>
    <sheetView workbookViewId="0">
      <selection activeCell="K1" sqref="K1"/>
    </sheetView>
  </sheetViews>
  <sheetFormatPr defaultRowHeight="15" x14ac:dyDescent="0.25"/>
  <cols>
    <col min="1" max="1" width="139.28515625" style="225" customWidth="1"/>
    <col min="2" max="2" width="25.5703125" customWidth="1"/>
    <col min="4" max="4" width="13" customWidth="1"/>
    <col min="5" max="5" width="13.28515625" customWidth="1"/>
    <col min="6" max="6" width="13.85546875" customWidth="1"/>
    <col min="7" max="7" width="17.7109375" customWidth="1"/>
    <col min="12" max="12" width="21.5703125" customWidth="1"/>
    <col min="13" max="13" width="18.28515625" customWidth="1"/>
    <col min="15" max="15" width="14.28515625" customWidth="1"/>
    <col min="19" max="19" width="14.28515625" customWidth="1"/>
    <col min="20" max="20" width="16" customWidth="1"/>
    <col min="28" max="29" width="15.7109375" customWidth="1"/>
  </cols>
  <sheetData>
    <row r="1" spans="1:17" x14ac:dyDescent="0.25">
      <c r="A1" s="217"/>
      <c r="L1" s="1283" t="s">
        <v>1107</v>
      </c>
      <c r="M1" s="34" t="s">
        <v>1341</v>
      </c>
    </row>
    <row r="2" spans="1:17" ht="15.75" thickBot="1" x14ac:dyDescent="0.3">
      <c r="A2" s="217"/>
      <c r="L2" s="1284"/>
      <c r="M2" s="40" t="s">
        <v>1339</v>
      </c>
    </row>
    <row r="3" spans="1:17" x14ac:dyDescent="0.25">
      <c r="A3" s="217"/>
      <c r="L3" s="35" t="s">
        <v>1345</v>
      </c>
      <c r="M3" s="957">
        <f t="shared" ref="M3:M9" si="0">AVERAGE(I9,I20,I32,I43,I55)</f>
        <v>0.68736100228989616</v>
      </c>
    </row>
    <row r="4" spans="1:17" x14ac:dyDescent="0.25">
      <c r="A4" s="217"/>
      <c r="L4" s="35" t="s">
        <v>392</v>
      </c>
      <c r="M4" s="957">
        <f t="shared" si="0"/>
        <v>2.3842903199701105E-2</v>
      </c>
    </row>
    <row r="5" spans="1:17" ht="23.25" x14ac:dyDescent="0.35">
      <c r="A5" s="221" t="s">
        <v>591</v>
      </c>
      <c r="B5" s="938" t="s">
        <v>1333</v>
      </c>
      <c r="L5" s="35" t="s">
        <v>1344</v>
      </c>
      <c r="M5" s="957">
        <f t="shared" si="0"/>
        <v>0.10213545719499909</v>
      </c>
    </row>
    <row r="6" spans="1:17" x14ac:dyDescent="0.25">
      <c r="A6" s="217"/>
      <c r="B6" t="s">
        <v>521</v>
      </c>
      <c r="L6" s="35" t="s">
        <v>1343</v>
      </c>
      <c r="M6" s="957">
        <f t="shared" si="0"/>
        <v>0.12023229250463993</v>
      </c>
    </row>
    <row r="7" spans="1:17" ht="15.75" x14ac:dyDescent="0.25">
      <c r="A7" s="223" t="s">
        <v>594</v>
      </c>
      <c r="L7" s="35" t="s">
        <v>1342</v>
      </c>
      <c r="M7" s="957">
        <f t="shared" si="0"/>
        <v>5.2897574988624574E-2</v>
      </c>
    </row>
    <row r="8" spans="1:17" ht="15.75" x14ac:dyDescent="0.25">
      <c r="A8" s="224"/>
      <c r="B8" t="s">
        <v>520</v>
      </c>
      <c r="C8" s="207" t="s">
        <v>519</v>
      </c>
      <c r="D8" s="207" t="s">
        <v>518</v>
      </c>
      <c r="E8" s="207" t="s">
        <v>517</v>
      </c>
      <c r="F8" s="207" t="s">
        <v>516</v>
      </c>
      <c r="G8" s="207" t="s">
        <v>515</v>
      </c>
      <c r="H8" s="206" t="s">
        <v>514</v>
      </c>
      <c r="L8" s="35" t="s">
        <v>396</v>
      </c>
      <c r="M8" s="957">
        <f t="shared" si="0"/>
        <v>3.4567717090566523E-3</v>
      </c>
    </row>
    <row r="9" spans="1:17" ht="16.5" thickBot="1" x14ac:dyDescent="0.3">
      <c r="A9" s="223" t="s">
        <v>597</v>
      </c>
      <c r="B9" t="s">
        <v>391</v>
      </c>
      <c r="C9">
        <v>2002</v>
      </c>
      <c r="D9">
        <v>21640045.851235561</v>
      </c>
      <c r="E9">
        <v>1.2457729468599035</v>
      </c>
      <c r="F9">
        <v>26958583.690277152</v>
      </c>
      <c r="G9">
        <v>1</v>
      </c>
      <c r="H9">
        <v>379.37202991583177</v>
      </c>
      <c r="I9" s="141">
        <f>H9/$H$17</f>
        <v>0.67366629338582928</v>
      </c>
      <c r="L9" s="35" t="s">
        <v>397</v>
      </c>
      <c r="M9" s="957">
        <f t="shared" si="0"/>
        <v>1.0073998113082478E-2</v>
      </c>
    </row>
    <row r="10" spans="1:17" ht="16.5" thickBot="1" x14ac:dyDescent="0.3">
      <c r="A10" s="223"/>
      <c r="B10" t="s">
        <v>392</v>
      </c>
      <c r="C10">
        <v>2002</v>
      </c>
      <c r="D10">
        <v>1133794.6914025522</v>
      </c>
      <c r="E10">
        <v>1.3616816492201325</v>
      </c>
      <c r="F10">
        <v>1543867.4252660584</v>
      </c>
      <c r="G10">
        <v>1</v>
      </c>
      <c r="H10">
        <v>21.725923207729608</v>
      </c>
      <c r="I10" s="141">
        <f t="shared" ref="I10:I15" si="1">H10/$H$17</f>
        <v>3.8579602615890128E-2</v>
      </c>
      <c r="L10" s="19" t="s">
        <v>624</v>
      </c>
      <c r="M10" s="956">
        <f>SUM(M3:M9)</f>
        <v>1</v>
      </c>
    </row>
    <row r="11" spans="1:17" ht="15.75" x14ac:dyDescent="0.25">
      <c r="A11" s="223" t="s">
        <v>600</v>
      </c>
      <c r="B11" t="s">
        <v>393</v>
      </c>
      <c r="C11">
        <v>2002</v>
      </c>
      <c r="D11">
        <v>2951771.2593302685</v>
      </c>
      <c r="E11">
        <v>1.3616816492201325</v>
      </c>
      <c r="F11">
        <v>4019372.7565254271</v>
      </c>
      <c r="G11">
        <v>1</v>
      </c>
      <c r="H11">
        <v>56.562229646410891</v>
      </c>
      <c r="I11" s="141">
        <f t="shared" si="1"/>
        <v>0.10043984423414012</v>
      </c>
    </row>
    <row r="12" spans="1:17" x14ac:dyDescent="0.25">
      <c r="A12" s="217"/>
      <c r="B12" t="s">
        <v>394</v>
      </c>
      <c r="C12">
        <v>2002</v>
      </c>
      <c r="D12">
        <v>3535571.3048032369</v>
      </c>
      <c r="E12">
        <v>1.3616816492201325</v>
      </c>
      <c r="F12">
        <v>4814322.5652598469</v>
      </c>
      <c r="G12">
        <v>1</v>
      </c>
      <c r="H12">
        <v>67.749083009540172</v>
      </c>
      <c r="I12" s="141">
        <f t="shared" si="1"/>
        <v>0.12030479326968736</v>
      </c>
      <c r="Q12" t="s">
        <v>357</v>
      </c>
    </row>
    <row r="13" spans="1:17" x14ac:dyDescent="0.25">
      <c r="A13" s="217"/>
      <c r="B13" t="s">
        <v>395</v>
      </c>
      <c r="C13">
        <v>2002</v>
      </c>
      <c r="D13">
        <v>1506004.8890285913</v>
      </c>
      <c r="E13">
        <v>1.3616816492201325</v>
      </c>
      <c r="F13">
        <v>2050699.2210260348</v>
      </c>
      <c r="G13">
        <v>1</v>
      </c>
      <c r="H13">
        <v>28.858264038108437</v>
      </c>
      <c r="I13" s="141">
        <f t="shared" si="1"/>
        <v>5.1244789375788372E-2</v>
      </c>
      <c r="Q13">
        <f>ProjectData!B14</f>
        <v>2010</v>
      </c>
    </row>
    <row r="14" spans="1:17" x14ac:dyDescent="0.25">
      <c r="A14" s="217"/>
      <c r="B14" t="s">
        <v>396</v>
      </c>
      <c r="C14">
        <v>2002</v>
      </c>
      <c r="D14">
        <v>145748.46127642959</v>
      </c>
      <c r="E14">
        <v>1.3616816492201325</v>
      </c>
      <c r="F14">
        <v>198463.00512218525</v>
      </c>
      <c r="G14">
        <v>1</v>
      </c>
      <c r="H14">
        <v>2.7928512113770281</v>
      </c>
      <c r="I14" s="141">
        <f t="shared" si="1"/>
        <v>4.959379119129863E-3</v>
      </c>
      <c r="Q14">
        <f>LOOKUP(Q13,'CERA PCCI power plant index'!C19:C29,'CERA PCCI power plant index'!E19:E29)/'CERA PCCI power plant index'!E27</f>
        <v>0.93121693121693128</v>
      </c>
    </row>
    <row r="15" spans="1:17" x14ac:dyDescent="0.25">
      <c r="A15" s="217"/>
      <c r="B15" t="s">
        <v>397</v>
      </c>
      <c r="C15">
        <v>2002</v>
      </c>
      <c r="D15">
        <v>317550.95128556987</v>
      </c>
      <c r="E15">
        <v>1.3616816492201325</v>
      </c>
      <c r="F15">
        <v>432403.30305795674</v>
      </c>
      <c r="G15">
        <v>1</v>
      </c>
      <c r="H15">
        <v>6.0849531528828313</v>
      </c>
      <c r="I15" s="141">
        <f t="shared" si="1"/>
        <v>1.0805297999534797E-2</v>
      </c>
    </row>
    <row r="16" spans="1:17" x14ac:dyDescent="0.25">
      <c r="A16" s="217"/>
    </row>
    <row r="17" spans="1:19" x14ac:dyDescent="0.25">
      <c r="A17" s="217"/>
      <c r="B17" t="s">
        <v>501</v>
      </c>
      <c r="D17">
        <v>31230487.40836221</v>
      </c>
      <c r="E17">
        <v>1.2813668721615787</v>
      </c>
      <c r="F17">
        <v>40017711.966534652</v>
      </c>
      <c r="H17" s="52">
        <v>563.1453341818808</v>
      </c>
    </row>
    <row r="18" spans="1:19" x14ac:dyDescent="0.25">
      <c r="A18" s="217"/>
      <c r="L18" t="s">
        <v>513</v>
      </c>
    </row>
    <row r="19" spans="1:19" x14ac:dyDescent="0.25">
      <c r="A19" s="217"/>
      <c r="B19" t="s">
        <v>512</v>
      </c>
      <c r="Q19" s="205" t="s">
        <v>511</v>
      </c>
      <c r="R19" s="31" t="s">
        <v>510</v>
      </c>
    </row>
    <row r="20" spans="1:19" ht="15.75" x14ac:dyDescent="0.25">
      <c r="A20" s="223" t="s">
        <v>608</v>
      </c>
      <c r="B20" s="12" t="s">
        <v>391</v>
      </c>
      <c r="C20" s="36">
        <v>2002</v>
      </c>
      <c r="D20" s="203">
        <v>17231733.616101969</v>
      </c>
      <c r="E20" s="204">
        <v>1.2457729468599035</v>
      </c>
      <c r="F20" s="203">
        <v>21466827.566436209</v>
      </c>
      <c r="G20" s="202">
        <v>1</v>
      </c>
      <c r="H20" s="201">
        <v>332.72404602632173</v>
      </c>
      <c r="I20" s="141">
        <f t="shared" ref="I20:I26" si="2">H20/$H$28</f>
        <v>0.67350760798072129</v>
      </c>
      <c r="L20" t="s">
        <v>509</v>
      </c>
      <c r="M20" t="s">
        <v>508</v>
      </c>
      <c r="N20" t="s">
        <v>507</v>
      </c>
      <c r="O20" t="s">
        <v>506</v>
      </c>
      <c r="P20" t="s">
        <v>446</v>
      </c>
      <c r="Q20" t="s">
        <v>505</v>
      </c>
      <c r="R20" t="s">
        <v>505</v>
      </c>
      <c r="S20" t="s">
        <v>43</v>
      </c>
    </row>
    <row r="21" spans="1:19" x14ac:dyDescent="0.25">
      <c r="A21" s="217"/>
      <c r="B21" s="12" t="s">
        <v>392</v>
      </c>
      <c r="C21" s="36">
        <v>2002</v>
      </c>
      <c r="D21" s="203">
        <v>689618.86627206753</v>
      </c>
      <c r="E21" s="204">
        <v>1.3616816492201325</v>
      </c>
      <c r="F21" s="203">
        <v>939041.35515866685</v>
      </c>
      <c r="G21" s="202">
        <v>1</v>
      </c>
      <c r="H21" s="201">
        <v>14.55462564775711</v>
      </c>
      <c r="I21" s="141">
        <f t="shared" si="2"/>
        <v>2.9461805427493094E-2</v>
      </c>
      <c r="L21">
        <v>180</v>
      </c>
      <c r="M21">
        <v>2000</v>
      </c>
      <c r="N21">
        <v>116553</v>
      </c>
      <c r="O21">
        <v>73.08</v>
      </c>
      <c r="P21" s="49">
        <f t="shared" ref="P21:P35" si="3">(O21-50)/50</f>
        <v>0.46159999999999995</v>
      </c>
      <c r="Q21">
        <f t="shared" ref="Q21:Q35" si="4">N21/50</f>
        <v>2331.06</v>
      </c>
      <c r="R21">
        <f>Q21*$Q$14</f>
        <v>2170.7225396825397</v>
      </c>
      <c r="S21">
        <v>5.89</v>
      </c>
    </row>
    <row r="22" spans="1:19" x14ac:dyDescent="0.25">
      <c r="A22" s="217"/>
      <c r="B22" s="12" t="s">
        <v>393</v>
      </c>
      <c r="C22" s="36">
        <v>2002</v>
      </c>
      <c r="D22" s="203">
        <v>2447294.3539506798</v>
      </c>
      <c r="E22" s="204">
        <v>1.3616816492201325</v>
      </c>
      <c r="F22" s="203">
        <v>3332435.8120146804</v>
      </c>
      <c r="G22" s="202">
        <v>1</v>
      </c>
      <c r="H22" s="201">
        <v>51.65092620532976</v>
      </c>
      <c r="I22" s="141">
        <f t="shared" si="2"/>
        <v>0.10455298369324466</v>
      </c>
      <c r="L22">
        <v>190</v>
      </c>
      <c r="M22">
        <v>2000</v>
      </c>
      <c r="N22">
        <v>102016</v>
      </c>
      <c r="O22">
        <v>68.28</v>
      </c>
      <c r="P22" s="49">
        <f t="shared" si="3"/>
        <v>0.36560000000000004</v>
      </c>
      <c r="Q22">
        <f t="shared" si="4"/>
        <v>2040.32</v>
      </c>
      <c r="R22">
        <f t="shared" ref="R22:R35" si="5">Q22*$Q$14</f>
        <v>1899.9805291005291</v>
      </c>
      <c r="S22">
        <v>6.85</v>
      </c>
    </row>
    <row r="23" spans="1:19" x14ac:dyDescent="0.25">
      <c r="A23" s="217"/>
      <c r="B23" s="12" t="s">
        <v>394</v>
      </c>
      <c r="C23" s="36">
        <v>2002</v>
      </c>
      <c r="D23" s="203">
        <v>2899507.1473565549</v>
      </c>
      <c r="E23" s="204">
        <v>1.3616816492201325</v>
      </c>
      <c r="F23" s="203">
        <v>3948205.6743380353</v>
      </c>
      <c r="G23" s="202">
        <v>1</v>
      </c>
      <c r="H23" s="201">
        <v>61.195021129427147</v>
      </c>
      <c r="I23" s="141">
        <f t="shared" si="2"/>
        <v>0.12387235847074798</v>
      </c>
      <c r="L23">
        <v>200</v>
      </c>
      <c r="M23">
        <v>2000</v>
      </c>
      <c r="N23">
        <v>91646</v>
      </c>
      <c r="O23">
        <v>65.16</v>
      </c>
      <c r="P23" s="49">
        <f t="shared" si="3"/>
        <v>0.30319999999999991</v>
      </c>
      <c r="Q23">
        <f t="shared" si="4"/>
        <v>1832.92</v>
      </c>
      <c r="R23">
        <f t="shared" si="5"/>
        <v>1706.8461375661377</v>
      </c>
      <c r="S23">
        <v>7.86</v>
      </c>
    </row>
    <row r="24" spans="1:19" x14ac:dyDescent="0.25">
      <c r="A24" s="217"/>
      <c r="B24" s="12" t="s">
        <v>395</v>
      </c>
      <c r="C24" s="36">
        <v>2002</v>
      </c>
      <c r="D24" s="203">
        <v>1260080.5366238556</v>
      </c>
      <c r="E24" s="204">
        <v>1.3616816492201325</v>
      </c>
      <c r="F24" s="203">
        <v>1715828.5432601613</v>
      </c>
      <c r="G24" s="202">
        <v>1</v>
      </c>
      <c r="H24" s="201">
        <v>26.594400753168546</v>
      </c>
      <c r="I24" s="141">
        <f t="shared" si="2"/>
        <v>5.3832992988821327E-2</v>
      </c>
      <c r="L24">
        <f t="shared" ref="L24:L33" si="6">L23+10</f>
        <v>210</v>
      </c>
      <c r="M24">
        <v>2000</v>
      </c>
      <c r="N24">
        <v>81996</v>
      </c>
      <c r="O24">
        <v>63.01</v>
      </c>
      <c r="P24" s="49">
        <f t="shared" si="3"/>
        <v>0.26019999999999999</v>
      </c>
      <c r="Q24">
        <f t="shared" si="4"/>
        <v>1639.92</v>
      </c>
      <c r="R24">
        <f t="shared" si="5"/>
        <v>1527.1212698412701</v>
      </c>
      <c r="S24">
        <v>8.92</v>
      </c>
    </row>
    <row r="25" spans="1:19" x14ac:dyDescent="0.25">
      <c r="A25" s="217"/>
      <c r="B25" s="12" t="s">
        <v>396</v>
      </c>
      <c r="C25" s="36">
        <v>2002</v>
      </c>
      <c r="D25" s="203">
        <v>95636.139001579693</v>
      </c>
      <c r="E25" s="204">
        <v>1.3616816492201325</v>
      </c>
      <c r="F25" s="203">
        <v>130225.97548071686</v>
      </c>
      <c r="G25" s="202">
        <v>1</v>
      </c>
      <c r="H25" s="201">
        <v>2.0184311503677832</v>
      </c>
      <c r="I25" s="141">
        <f t="shared" si="2"/>
        <v>4.0857544027654595E-3</v>
      </c>
      <c r="L25">
        <f t="shared" si="6"/>
        <v>220</v>
      </c>
      <c r="M25">
        <v>2000</v>
      </c>
      <c r="N25">
        <v>75914</v>
      </c>
      <c r="O25">
        <v>61.52</v>
      </c>
      <c r="P25" s="49">
        <f t="shared" si="3"/>
        <v>0.23040000000000005</v>
      </c>
      <c r="Q25">
        <f t="shared" si="4"/>
        <v>1518.28</v>
      </c>
      <c r="R25">
        <f t="shared" si="5"/>
        <v>1413.8480423280423</v>
      </c>
      <c r="S25">
        <v>10.01</v>
      </c>
    </row>
    <row r="26" spans="1:19" x14ac:dyDescent="0.25">
      <c r="A26" s="217"/>
      <c r="B26" s="12" t="s">
        <v>397</v>
      </c>
      <c r="C26" s="36">
        <v>2002</v>
      </c>
      <c r="D26" s="203">
        <v>250141.15270923259</v>
      </c>
      <c r="E26" s="204">
        <v>1.3616816492201325</v>
      </c>
      <c r="F26" s="203">
        <v>340612.61735893285</v>
      </c>
      <c r="G26" s="202">
        <v>1</v>
      </c>
      <c r="H26" s="201">
        <v>5.2793086367579107</v>
      </c>
      <c r="I26" s="141">
        <f t="shared" si="2"/>
        <v>1.0686497036206081E-2</v>
      </c>
      <c r="L26">
        <f t="shared" si="6"/>
        <v>230</v>
      </c>
      <c r="M26">
        <v>2000</v>
      </c>
      <c r="N26">
        <v>71367</v>
      </c>
      <c r="O26">
        <v>60.53</v>
      </c>
      <c r="P26" s="49">
        <f t="shared" si="3"/>
        <v>0.21060000000000001</v>
      </c>
      <c r="Q26">
        <f t="shared" si="4"/>
        <v>1427.34</v>
      </c>
      <c r="R26">
        <f t="shared" si="5"/>
        <v>1329.1631746031746</v>
      </c>
      <c r="S26">
        <v>11.11</v>
      </c>
    </row>
    <row r="27" spans="1:19" x14ac:dyDescent="0.25">
      <c r="A27" s="217"/>
      <c r="B27" s="12"/>
      <c r="C27" s="36"/>
      <c r="D27" s="36"/>
      <c r="E27" s="36"/>
      <c r="F27" s="36"/>
      <c r="G27" s="36"/>
      <c r="H27" s="143"/>
      <c r="L27">
        <f t="shared" si="6"/>
        <v>240</v>
      </c>
      <c r="M27">
        <v>2000</v>
      </c>
      <c r="N27">
        <v>67759</v>
      </c>
      <c r="O27">
        <v>59.87</v>
      </c>
      <c r="P27" s="49">
        <f t="shared" si="3"/>
        <v>0.19739999999999994</v>
      </c>
      <c r="Q27">
        <f t="shared" si="4"/>
        <v>1355.18</v>
      </c>
      <c r="R27">
        <f t="shared" si="5"/>
        <v>1261.9665608465609</v>
      </c>
      <c r="S27">
        <v>12.23</v>
      </c>
    </row>
    <row r="28" spans="1:19" x14ac:dyDescent="0.25">
      <c r="A28" s="217"/>
      <c r="B28" s="12" t="s">
        <v>501</v>
      </c>
      <c r="C28" s="36"/>
      <c r="D28" s="200">
        <v>24874011.812015932</v>
      </c>
      <c r="E28" s="36">
        <v>1.2813846750949267</v>
      </c>
      <c r="F28" s="200">
        <v>31873177.544047404</v>
      </c>
      <c r="G28" s="36"/>
      <c r="H28" s="199">
        <v>494.01675954913003</v>
      </c>
      <c r="L28">
        <f t="shared" si="6"/>
        <v>250</v>
      </c>
      <c r="M28">
        <v>2000</v>
      </c>
      <c r="N28">
        <v>64921</v>
      </c>
      <c r="O28">
        <v>59.45</v>
      </c>
      <c r="P28" s="49">
        <f t="shared" si="3"/>
        <v>0.18900000000000006</v>
      </c>
      <c r="Q28">
        <f t="shared" si="4"/>
        <v>1298.42</v>
      </c>
      <c r="R28">
        <f t="shared" si="5"/>
        <v>1209.110687830688</v>
      </c>
      <c r="S28">
        <v>13.37</v>
      </c>
    </row>
    <row r="29" spans="1:19" x14ac:dyDescent="0.25">
      <c r="A29" s="217"/>
      <c r="L29">
        <f t="shared" si="6"/>
        <v>260</v>
      </c>
      <c r="M29">
        <v>2000</v>
      </c>
      <c r="N29">
        <v>62586</v>
      </c>
      <c r="O29">
        <v>59.21</v>
      </c>
      <c r="P29" s="49">
        <f t="shared" si="3"/>
        <v>0.18420000000000003</v>
      </c>
      <c r="Q29">
        <f t="shared" si="4"/>
        <v>1251.72</v>
      </c>
      <c r="R29">
        <f t="shared" si="5"/>
        <v>1165.6228571428574</v>
      </c>
      <c r="S29">
        <v>14.58</v>
      </c>
    </row>
    <row r="30" spans="1:19" x14ac:dyDescent="0.25">
      <c r="A30" s="217"/>
      <c r="L30">
        <f t="shared" si="6"/>
        <v>270</v>
      </c>
      <c r="M30">
        <v>2000</v>
      </c>
      <c r="N30">
        <v>60669</v>
      </c>
      <c r="O30">
        <v>59.13</v>
      </c>
      <c r="P30" s="49">
        <f t="shared" si="3"/>
        <v>0.18260000000000004</v>
      </c>
      <c r="Q30">
        <f t="shared" si="4"/>
        <v>1213.3800000000001</v>
      </c>
      <c r="R30">
        <f t="shared" si="5"/>
        <v>1129.92</v>
      </c>
      <c r="S30">
        <v>15.83</v>
      </c>
    </row>
    <row r="31" spans="1:19" x14ac:dyDescent="0.25">
      <c r="A31" s="217"/>
      <c r="B31" t="s">
        <v>504</v>
      </c>
      <c r="L31">
        <f t="shared" si="6"/>
        <v>280</v>
      </c>
      <c r="M31">
        <v>2000</v>
      </c>
      <c r="N31">
        <v>59034</v>
      </c>
      <c r="O31">
        <v>59.149000000000001</v>
      </c>
      <c r="P31" s="49">
        <f t="shared" si="3"/>
        <v>0.18298000000000003</v>
      </c>
      <c r="Q31">
        <f t="shared" si="4"/>
        <v>1180.68</v>
      </c>
      <c r="R31">
        <f t="shared" si="5"/>
        <v>1099.4692063492064</v>
      </c>
      <c r="S31">
        <v>17.13</v>
      </c>
    </row>
    <row r="32" spans="1:19" x14ac:dyDescent="0.25">
      <c r="A32" s="217"/>
      <c r="B32" s="12" t="s">
        <v>391</v>
      </c>
      <c r="C32" s="36">
        <v>2002</v>
      </c>
      <c r="D32" s="203">
        <v>14638631.520430744</v>
      </c>
      <c r="E32" s="204">
        <v>1.2457729468599035</v>
      </c>
      <c r="F32" s="203">
        <v>18236411.127203278</v>
      </c>
      <c r="G32" s="202">
        <v>1</v>
      </c>
      <c r="H32" s="201">
        <v>295.28818331410673</v>
      </c>
      <c r="I32" s="141">
        <f t="shared" ref="I32:I38" si="7">H32/$H$40</f>
        <v>0.67335590189086059</v>
      </c>
      <c r="L32">
        <f t="shared" si="6"/>
        <v>290</v>
      </c>
      <c r="M32">
        <v>2000</v>
      </c>
      <c r="N32">
        <v>57651</v>
      </c>
      <c r="O32">
        <v>59.37</v>
      </c>
      <c r="P32" s="49">
        <f t="shared" si="3"/>
        <v>0.18739999999999996</v>
      </c>
      <c r="Q32">
        <f t="shared" si="4"/>
        <v>1153.02</v>
      </c>
      <c r="R32">
        <f t="shared" si="5"/>
        <v>1073.7117460317461</v>
      </c>
      <c r="S32">
        <v>18.510000000000002</v>
      </c>
    </row>
    <row r="33" spans="1:19" x14ac:dyDescent="0.25">
      <c r="A33" s="217"/>
      <c r="B33" s="12" t="s">
        <v>392</v>
      </c>
      <c r="C33" s="36">
        <v>2002</v>
      </c>
      <c r="D33" s="203">
        <v>448206.97795767506</v>
      </c>
      <c r="E33" s="204">
        <v>1.3616816492201325</v>
      </c>
      <c r="F33" s="203">
        <v>610315.21693737851</v>
      </c>
      <c r="G33" s="202">
        <v>1</v>
      </c>
      <c r="H33" s="201">
        <v>9.8823650334116859</v>
      </c>
      <c r="I33" s="141">
        <f t="shared" si="7"/>
        <v>2.2535100271212694E-2</v>
      </c>
      <c r="L33">
        <f t="shared" si="6"/>
        <v>300</v>
      </c>
      <c r="M33">
        <v>2000</v>
      </c>
      <c r="N33">
        <v>56476</v>
      </c>
      <c r="O33">
        <v>59.64</v>
      </c>
      <c r="P33" s="49">
        <f t="shared" si="3"/>
        <v>0.1928</v>
      </c>
      <c r="Q33">
        <f t="shared" si="4"/>
        <v>1129.52</v>
      </c>
      <c r="R33">
        <f t="shared" si="5"/>
        <v>1051.8281481481481</v>
      </c>
      <c r="S33">
        <v>20.02</v>
      </c>
    </row>
    <row r="34" spans="1:19" x14ac:dyDescent="0.25">
      <c r="A34" s="217"/>
      <c r="B34" s="12" t="s">
        <v>393</v>
      </c>
      <c r="C34" s="36">
        <v>2002</v>
      </c>
      <c r="D34" s="203">
        <v>2142869.5750603434</v>
      </c>
      <c r="E34" s="204">
        <v>1.3616816492201325</v>
      </c>
      <c r="F34" s="203">
        <v>2917906.1770318127</v>
      </c>
      <c r="G34" s="202">
        <v>1</v>
      </c>
      <c r="H34" s="201">
        <v>47.247411131867381</v>
      </c>
      <c r="I34" s="141">
        <f t="shared" si="7"/>
        <v>0.10773991284597058</v>
      </c>
      <c r="L34">
        <v>320</v>
      </c>
      <c r="M34">
        <v>2000</v>
      </c>
      <c r="N34">
        <v>54652</v>
      </c>
      <c r="O34">
        <v>60.49</v>
      </c>
      <c r="P34" s="49">
        <f t="shared" si="3"/>
        <v>0.20980000000000004</v>
      </c>
      <c r="Q34">
        <f t="shared" si="4"/>
        <v>1093.04</v>
      </c>
      <c r="R34">
        <f t="shared" si="5"/>
        <v>1017.8573544973545</v>
      </c>
      <c r="S34">
        <v>23.45</v>
      </c>
    </row>
    <row r="35" spans="1:19" x14ac:dyDescent="0.25">
      <c r="A35" s="217"/>
      <c r="B35" s="12" t="s">
        <v>394</v>
      </c>
      <c r="C35" s="36">
        <v>2002</v>
      </c>
      <c r="D35" s="203">
        <v>2519406.5955773187</v>
      </c>
      <c r="E35" s="204">
        <v>1.3616816492201325</v>
      </c>
      <c r="F35" s="203">
        <v>3430629.7281218027</v>
      </c>
      <c r="G35" s="202">
        <v>1</v>
      </c>
      <c r="H35" s="201">
        <v>55.549549358937476</v>
      </c>
      <c r="I35" s="141">
        <f t="shared" si="7"/>
        <v>0.12667156703805457</v>
      </c>
      <c r="L35">
        <v>350</v>
      </c>
      <c r="M35">
        <v>2000</v>
      </c>
      <c r="N35">
        <v>52877</v>
      </c>
      <c r="O35">
        <v>62.37</v>
      </c>
      <c r="P35" s="49">
        <f t="shared" si="3"/>
        <v>0.24739999999999995</v>
      </c>
      <c r="Q35">
        <f t="shared" si="4"/>
        <v>1057.54</v>
      </c>
      <c r="R35">
        <f t="shared" si="5"/>
        <v>984.79915343915343</v>
      </c>
      <c r="S35">
        <v>30.48</v>
      </c>
    </row>
    <row r="36" spans="1:19" x14ac:dyDescent="0.25">
      <c r="A36" s="217"/>
      <c r="B36" s="12" t="s">
        <v>395</v>
      </c>
      <c r="C36" s="36">
        <v>2002</v>
      </c>
      <c r="D36" s="203">
        <v>1110783.7275286762</v>
      </c>
      <c r="E36" s="204">
        <v>1.3616816492201325</v>
      </c>
      <c r="F36" s="203">
        <v>1512533.8180281341</v>
      </c>
      <c r="G36" s="202">
        <v>1</v>
      </c>
      <c r="H36" s="201">
        <v>24.491297120431437</v>
      </c>
      <c r="I36" s="141">
        <f t="shared" si="7"/>
        <v>5.5848355582393226E-2</v>
      </c>
    </row>
    <row r="37" spans="1:19" x14ac:dyDescent="0.25">
      <c r="A37" s="217"/>
      <c r="B37" s="12" t="s">
        <v>396</v>
      </c>
      <c r="C37" s="36">
        <v>2002</v>
      </c>
      <c r="D37" s="203">
        <v>67990.743465778505</v>
      </c>
      <c r="E37" s="204">
        <v>1.3616816492201325</v>
      </c>
      <c r="F37" s="203">
        <v>92581.747694184218</v>
      </c>
      <c r="G37" s="202">
        <v>1</v>
      </c>
      <c r="H37" s="201">
        <v>1.4991050538381467</v>
      </c>
      <c r="I37" s="141">
        <f t="shared" si="7"/>
        <v>3.4184613289539277E-3</v>
      </c>
    </row>
    <row r="38" spans="1:19" x14ac:dyDescent="0.25">
      <c r="A38" s="217"/>
      <c r="B38" s="12" t="s">
        <v>397</v>
      </c>
      <c r="C38" s="36">
        <v>2002</v>
      </c>
      <c r="D38" s="203">
        <v>207459.16086450525</v>
      </c>
      <c r="E38" s="204">
        <v>1.3616816492201325</v>
      </c>
      <c r="F38" s="203">
        <v>282493.33231180429</v>
      </c>
      <c r="G38" s="202">
        <v>1</v>
      </c>
      <c r="H38" s="201">
        <v>4.5741973195739032</v>
      </c>
      <c r="I38" s="141">
        <f t="shared" si="7"/>
        <v>1.0430701042554382E-2</v>
      </c>
      <c r="P38" t="s">
        <v>522</v>
      </c>
      <c r="Q38">
        <v>350</v>
      </c>
      <c r="R38">
        <f>(-0.000531*Q38^3)+ (0.4814*Q38^2) - (146.23*Q38) + 15962</f>
        <v>986.375</v>
      </c>
    </row>
    <row r="39" spans="1:19" x14ac:dyDescent="0.25">
      <c r="A39" s="217"/>
      <c r="B39" s="12"/>
      <c r="C39" s="36"/>
      <c r="D39" s="36"/>
      <c r="E39" s="36"/>
      <c r="F39" s="36"/>
      <c r="G39" s="36"/>
      <c r="H39" s="143"/>
    </row>
    <row r="40" spans="1:19" x14ac:dyDescent="0.25">
      <c r="A40" s="217"/>
      <c r="B40" s="12" t="s">
        <v>501</v>
      </c>
      <c r="C40" s="36"/>
      <c r="D40" s="200">
        <v>21135348.30088504</v>
      </c>
      <c r="E40" s="36">
        <v>1.2814016954806606</v>
      </c>
      <c r="F40" s="200">
        <v>27082871.147328392</v>
      </c>
      <c r="G40" s="36"/>
      <c r="H40" s="199">
        <v>438.53210833216679</v>
      </c>
    </row>
    <row r="41" spans="1:19" x14ac:dyDescent="0.25">
      <c r="A41" s="217"/>
    </row>
    <row r="42" spans="1:19" x14ac:dyDescent="0.25">
      <c r="A42" s="217"/>
      <c r="B42" t="s">
        <v>503</v>
      </c>
    </row>
    <row r="43" spans="1:19" x14ac:dyDescent="0.25">
      <c r="A43" s="217"/>
      <c r="B43" t="s">
        <v>391</v>
      </c>
      <c r="C43">
        <v>2002</v>
      </c>
      <c r="D43">
        <v>14025554.281305779</v>
      </c>
      <c r="E43">
        <v>1.2457729468599035</v>
      </c>
      <c r="F43">
        <v>17472656.088365834</v>
      </c>
      <c r="G43">
        <v>1</v>
      </c>
      <c r="H43">
        <v>287.3611844386341</v>
      </c>
      <c r="I43" s="141">
        <f t="shared" ref="I43:I49" si="8">H43/$H$51</f>
        <v>0.69504422691881729</v>
      </c>
    </row>
    <row r="44" spans="1:19" x14ac:dyDescent="0.25">
      <c r="A44" s="217"/>
      <c r="B44" t="s">
        <v>392</v>
      </c>
      <c r="C44">
        <v>2002</v>
      </c>
      <c r="D44">
        <v>328503.16987386363</v>
      </c>
      <c r="E44">
        <v>1.3616816492201325</v>
      </c>
      <c r="F44">
        <v>447316.73812788399</v>
      </c>
      <c r="G44">
        <v>1</v>
      </c>
      <c r="H44">
        <v>7.3567216705675547</v>
      </c>
      <c r="I44" s="141">
        <f t="shared" si="8"/>
        <v>1.7793798199173518E-2</v>
      </c>
    </row>
    <row r="45" spans="1:19" x14ac:dyDescent="0.25">
      <c r="A45" s="217"/>
      <c r="B45" t="s">
        <v>393</v>
      </c>
      <c r="C45">
        <v>2002</v>
      </c>
      <c r="D45">
        <v>1887116.8924691344</v>
      </c>
      <c r="E45">
        <v>1.3616816492201325</v>
      </c>
      <c r="F45">
        <v>2569652.4424085421</v>
      </c>
      <c r="G45">
        <v>1</v>
      </c>
      <c r="H45">
        <v>42.261369176597221</v>
      </c>
      <c r="I45" s="141">
        <f t="shared" si="8"/>
        <v>0.10221812220485003</v>
      </c>
    </row>
    <row r="46" spans="1:19" x14ac:dyDescent="0.25">
      <c r="A46" s="217"/>
      <c r="B46" t="s">
        <v>394</v>
      </c>
      <c r="C46">
        <v>2002</v>
      </c>
      <c r="D46">
        <v>2202146.7699966878</v>
      </c>
      <c r="E46">
        <v>1.3616816492201325</v>
      </c>
      <c r="F46">
        <v>2998622.8455938776</v>
      </c>
      <c r="G46">
        <v>1</v>
      </c>
      <c r="H46">
        <v>49.316360846154282</v>
      </c>
      <c r="I46" s="141">
        <f t="shared" si="8"/>
        <v>0.11928212213394669</v>
      </c>
    </row>
    <row r="47" spans="1:19" x14ac:dyDescent="0.25">
      <c r="A47" s="217"/>
      <c r="B47" t="s">
        <v>395</v>
      </c>
      <c r="C47">
        <v>2002</v>
      </c>
      <c r="D47">
        <v>984661.18112843728</v>
      </c>
      <c r="E47">
        <v>1.3616816492201325</v>
      </c>
      <c r="F47">
        <v>1340795.061042014</v>
      </c>
      <c r="G47">
        <v>1</v>
      </c>
      <c r="H47">
        <v>22.051166970947868</v>
      </c>
      <c r="I47" s="141">
        <f t="shared" si="8"/>
        <v>5.3335443789741192E-2</v>
      </c>
    </row>
    <row r="48" spans="1:19" x14ac:dyDescent="0.25">
      <c r="A48" s="217"/>
      <c r="B48" t="s">
        <v>396</v>
      </c>
      <c r="C48">
        <v>2002</v>
      </c>
      <c r="D48">
        <v>49691.039222606618</v>
      </c>
      <c r="E48">
        <v>1.3616816492201325</v>
      </c>
      <c r="F48">
        <v>67663.376240101265</v>
      </c>
      <c r="G48">
        <v>1</v>
      </c>
      <c r="H48">
        <v>1.112814665448552</v>
      </c>
      <c r="I48" s="141">
        <f t="shared" si="8"/>
        <v>2.6915792763089141E-3</v>
      </c>
    </row>
    <row r="49" spans="1:21" x14ac:dyDescent="0.25">
      <c r="A49" s="217"/>
      <c r="B49" t="s">
        <v>397</v>
      </c>
      <c r="C49">
        <v>2002</v>
      </c>
      <c r="D49">
        <v>177872.75721730333</v>
      </c>
      <c r="E49">
        <v>1.3616816492201325</v>
      </c>
      <c r="F49">
        <v>242206.06939898981</v>
      </c>
      <c r="G49">
        <v>1</v>
      </c>
      <c r="H49">
        <v>3.9834025593317368</v>
      </c>
      <c r="I49" s="141">
        <f t="shared" si="8"/>
        <v>9.6347074771624477E-3</v>
      </c>
    </row>
    <row r="50" spans="1:21" x14ac:dyDescent="0.25">
      <c r="A50" s="217"/>
    </row>
    <row r="51" spans="1:21" x14ac:dyDescent="0.25">
      <c r="A51" s="217"/>
      <c r="B51" t="s">
        <v>501</v>
      </c>
      <c r="D51">
        <v>19655546.091213811</v>
      </c>
      <c r="E51">
        <v>1.2789729933992797</v>
      </c>
      <c r="F51">
        <v>25138912.621177241</v>
      </c>
      <c r="H51" s="52">
        <v>413.44302032768127</v>
      </c>
    </row>
    <row r="54" spans="1:21" x14ac:dyDescent="0.25">
      <c r="B54" t="s">
        <v>502</v>
      </c>
    </row>
    <row r="55" spans="1:21" x14ac:dyDescent="0.25">
      <c r="B55" t="s">
        <v>391</v>
      </c>
      <c r="C55">
        <v>2002</v>
      </c>
      <c r="D55">
        <v>14022386.719748521</v>
      </c>
      <c r="E55">
        <v>1.2457729468599035</v>
      </c>
      <c r="F55">
        <v>17468710.02587029</v>
      </c>
      <c r="G55">
        <v>1</v>
      </c>
      <c r="H55">
        <v>286.17108950423903</v>
      </c>
      <c r="I55" s="141">
        <f t="shared" ref="I55:I61" si="9">H55/$H$63</f>
        <v>0.72123098127325236</v>
      </c>
    </row>
    <row r="56" spans="1:21" x14ac:dyDescent="0.25">
      <c r="B56" t="s">
        <v>392</v>
      </c>
      <c r="C56">
        <v>2002</v>
      </c>
      <c r="D56">
        <v>192889.5835932531</v>
      </c>
      <c r="E56">
        <v>1.3616816492201325</v>
      </c>
      <c r="F56">
        <v>262654.20630464552</v>
      </c>
      <c r="G56">
        <v>1</v>
      </c>
      <c r="H56">
        <v>4.3027813885374124</v>
      </c>
      <c r="I56" s="141">
        <f t="shared" si="9"/>
        <v>1.0844209484736076E-2</v>
      </c>
    </row>
    <row r="57" spans="1:21" x14ac:dyDescent="0.25">
      <c r="B57" t="s">
        <v>393</v>
      </c>
      <c r="C57">
        <v>2002</v>
      </c>
      <c r="D57">
        <v>1702717.9248715721</v>
      </c>
      <c r="E57">
        <v>1.3616816492201325</v>
      </c>
      <c r="F57">
        <v>2318559.7520958036</v>
      </c>
      <c r="G57">
        <v>1</v>
      </c>
      <c r="H57">
        <v>37.982470906856719</v>
      </c>
      <c r="I57" s="141">
        <f t="shared" si="9"/>
        <v>9.5726422996789989E-2</v>
      </c>
    </row>
    <row r="58" spans="1:21" x14ac:dyDescent="0.25">
      <c r="B58" t="s">
        <v>394</v>
      </c>
      <c r="C58">
        <v>2002</v>
      </c>
      <c r="D58">
        <v>1974938.8278366858</v>
      </c>
      <c r="E58">
        <v>1.3616816492201325</v>
      </c>
      <c r="F58">
        <v>2689237.9601975335</v>
      </c>
      <c r="G58">
        <v>1</v>
      </c>
      <c r="H58">
        <v>44.054893341647599</v>
      </c>
      <c r="I58" s="141">
        <f t="shared" si="9"/>
        <v>0.11103062161076306</v>
      </c>
    </row>
    <row r="59" spans="1:21" x14ac:dyDescent="0.25">
      <c r="B59" t="s">
        <v>395</v>
      </c>
      <c r="C59">
        <v>2002</v>
      </c>
      <c r="D59">
        <v>893391.88768417877</v>
      </c>
      <c r="E59">
        <v>1.3616816492201325</v>
      </c>
      <c r="F59">
        <v>1216515.3390216799</v>
      </c>
      <c r="G59">
        <v>1</v>
      </c>
      <c r="H59">
        <v>19.928862489038256</v>
      </c>
      <c r="I59" s="141">
        <f t="shared" si="9"/>
        <v>5.0226293206378773E-2</v>
      </c>
    </row>
    <row r="60" spans="1:21" x14ac:dyDescent="0.25">
      <c r="B60" t="s">
        <v>396</v>
      </c>
      <c r="C60">
        <v>2002</v>
      </c>
      <c r="D60">
        <v>37863.622202387705</v>
      </c>
      <c r="E60">
        <v>1.3616816492201325</v>
      </c>
      <c r="F60">
        <v>51558.199525995318</v>
      </c>
      <c r="G60">
        <v>1</v>
      </c>
      <c r="H60">
        <v>0.84462253419859812</v>
      </c>
      <c r="I60" s="141">
        <f t="shared" si="9"/>
        <v>2.1286844181250971E-3</v>
      </c>
    </row>
    <row r="61" spans="1:21" x14ac:dyDescent="0.25">
      <c r="B61" t="s">
        <v>397</v>
      </c>
      <c r="C61">
        <v>2002</v>
      </c>
      <c r="D61">
        <v>156755.99213007654</v>
      </c>
      <c r="E61">
        <v>1.3616816492201325</v>
      </c>
      <c r="F61">
        <v>213451.75788882072</v>
      </c>
      <c r="G61">
        <v>1</v>
      </c>
      <c r="H61">
        <v>3.496750591267296</v>
      </c>
      <c r="I61" s="141">
        <f t="shared" si="9"/>
        <v>8.8127870099546854E-3</v>
      </c>
    </row>
    <row r="63" spans="1:21" x14ac:dyDescent="0.25">
      <c r="B63" t="s">
        <v>501</v>
      </c>
      <c r="D63">
        <v>18980944.558066677</v>
      </c>
      <c r="E63">
        <v>1.2760527889857445</v>
      </c>
      <c r="F63">
        <v>24220687.240904771</v>
      </c>
      <c r="H63" s="52">
        <v>396.78147075578488</v>
      </c>
    </row>
    <row r="64" spans="1:21" x14ac:dyDescent="0.25">
      <c r="U64" s="215"/>
    </row>
    <row r="68" spans="12:22" ht="15.75" thickBot="1" x14ac:dyDescent="0.3">
      <c r="M68" t="s">
        <v>526</v>
      </c>
    </row>
    <row r="69" spans="12:22" ht="15.75" thickBot="1" x14ac:dyDescent="0.3">
      <c r="L69" s="47" t="s">
        <v>48</v>
      </c>
      <c r="M69" s="20" t="s">
        <v>527</v>
      </c>
      <c r="N69" s="20" t="s">
        <v>523</v>
      </c>
      <c r="O69" s="20" t="s">
        <v>524</v>
      </c>
      <c r="P69" s="21" t="s">
        <v>525</v>
      </c>
      <c r="S69" t="s">
        <v>528</v>
      </c>
    </row>
    <row r="70" spans="12:22" x14ac:dyDescent="0.25">
      <c r="L70" s="208">
        <v>200</v>
      </c>
      <c r="M70">
        <v>1789</v>
      </c>
      <c r="N70">
        <v>1833</v>
      </c>
      <c r="O70">
        <v>2090</v>
      </c>
      <c r="P70">
        <v>2628</v>
      </c>
      <c r="S70" t="s">
        <v>529</v>
      </c>
      <c r="T70" t="s">
        <v>530</v>
      </c>
      <c r="U70" t="s">
        <v>531</v>
      </c>
      <c r="V70" t="s">
        <v>532</v>
      </c>
    </row>
    <row r="71" spans="12:22" x14ac:dyDescent="0.25">
      <c r="L71" s="107">
        <f>L70+20</f>
        <v>220</v>
      </c>
      <c r="M71">
        <v>1409</v>
      </c>
      <c r="N71">
        <v>1518</v>
      </c>
      <c r="O71">
        <v>1807</v>
      </c>
      <c r="P71">
        <v>2287</v>
      </c>
      <c r="S71">
        <v>5</v>
      </c>
      <c r="T71">
        <v>6.52</v>
      </c>
      <c r="U71">
        <v>3141</v>
      </c>
      <c r="V71">
        <v>2410</v>
      </c>
    </row>
    <row r="72" spans="12:22" x14ac:dyDescent="0.25">
      <c r="L72" s="107">
        <f>L71+20</f>
        <v>240</v>
      </c>
      <c r="M72">
        <v>1223</v>
      </c>
      <c r="N72">
        <v>1355</v>
      </c>
      <c r="O72">
        <v>1620</v>
      </c>
      <c r="P72">
        <v>2058</v>
      </c>
      <c r="S72">
        <f>S71+5</f>
        <v>10</v>
      </c>
      <c r="T72">
        <v>13.03</v>
      </c>
      <c r="U72">
        <v>2628</v>
      </c>
      <c r="V72">
        <v>2017</v>
      </c>
    </row>
    <row r="73" spans="12:22" x14ac:dyDescent="0.25">
      <c r="L73" s="107">
        <f>L72+20</f>
        <v>260</v>
      </c>
      <c r="M73">
        <v>1127</v>
      </c>
      <c r="N73">
        <v>1251</v>
      </c>
      <c r="O73">
        <v>1499</v>
      </c>
      <c r="P73">
        <v>1910</v>
      </c>
      <c r="S73">
        <f t="shared" ref="S73:S80" si="10">S72+5</f>
        <v>15</v>
      </c>
      <c r="T73">
        <v>19.55</v>
      </c>
      <c r="U73">
        <v>2372</v>
      </c>
      <c r="V73">
        <v>1820</v>
      </c>
    </row>
    <row r="74" spans="12:22" x14ac:dyDescent="0.25">
      <c r="L74" s="107">
        <f>L73+20</f>
        <v>280</v>
      </c>
      <c r="M74">
        <v>1063</v>
      </c>
      <c r="N74">
        <v>1180</v>
      </c>
      <c r="O74">
        <v>1416</v>
      </c>
      <c r="P74">
        <v>1807</v>
      </c>
      <c r="S74">
        <f t="shared" si="10"/>
        <v>20</v>
      </c>
      <c r="T74">
        <v>26.06</v>
      </c>
      <c r="U74">
        <v>2209</v>
      </c>
      <c r="V74">
        <v>1695</v>
      </c>
    </row>
    <row r="75" spans="12:22" x14ac:dyDescent="0.25">
      <c r="L75" s="107">
        <f>L74+20</f>
        <v>300</v>
      </c>
      <c r="M75">
        <v>1016</v>
      </c>
      <c r="N75">
        <v>1129</v>
      </c>
      <c r="O75">
        <v>1356</v>
      </c>
      <c r="P75">
        <v>1733</v>
      </c>
      <c r="S75">
        <f t="shared" si="10"/>
        <v>25</v>
      </c>
      <c r="T75">
        <v>32.58</v>
      </c>
      <c r="U75">
        <v>2090</v>
      </c>
      <c r="V75">
        <v>1604</v>
      </c>
    </row>
    <row r="76" spans="12:22" x14ac:dyDescent="0.25">
      <c r="S76">
        <f t="shared" si="10"/>
        <v>30</v>
      </c>
      <c r="T76">
        <v>39.1</v>
      </c>
      <c r="U76">
        <v>1997</v>
      </c>
      <c r="V76">
        <v>1533</v>
      </c>
    </row>
    <row r="77" spans="12:22" x14ac:dyDescent="0.25">
      <c r="S77">
        <f>S76+5</f>
        <v>35</v>
      </c>
      <c r="T77">
        <v>45.61</v>
      </c>
      <c r="U77">
        <v>1925</v>
      </c>
      <c r="V77">
        <v>1477</v>
      </c>
    </row>
    <row r="78" spans="12:22" x14ac:dyDescent="0.25">
      <c r="S78">
        <f t="shared" si="10"/>
        <v>40</v>
      </c>
      <c r="T78">
        <v>52.13</v>
      </c>
      <c r="U78">
        <v>1863</v>
      </c>
      <c r="V78">
        <v>1429</v>
      </c>
    </row>
    <row r="79" spans="12:22" x14ac:dyDescent="0.25">
      <c r="N79" s="49"/>
      <c r="O79" s="49"/>
      <c r="P79" s="49"/>
      <c r="S79">
        <f>S78+5</f>
        <v>45</v>
      </c>
      <c r="T79">
        <v>58.64</v>
      </c>
      <c r="U79">
        <v>1844</v>
      </c>
      <c r="V79">
        <v>1415</v>
      </c>
    </row>
    <row r="80" spans="12:22" x14ac:dyDescent="0.25">
      <c r="N80" s="49"/>
      <c r="O80" s="49"/>
      <c r="P80" s="49"/>
      <c r="S80">
        <f t="shared" si="10"/>
        <v>50</v>
      </c>
      <c r="T80">
        <v>65.16</v>
      </c>
      <c r="U80">
        <v>1833</v>
      </c>
      <c r="V80">
        <v>1406</v>
      </c>
    </row>
    <row r="81" spans="14:22" x14ac:dyDescent="0.25">
      <c r="N81" s="49"/>
      <c r="O81" s="49"/>
      <c r="P81" s="49"/>
      <c r="S81">
        <v>75</v>
      </c>
      <c r="T81">
        <v>97.74</v>
      </c>
      <c r="U81">
        <v>1789</v>
      </c>
      <c r="V81">
        <v>1373</v>
      </c>
    </row>
    <row r="82" spans="14:22" x14ac:dyDescent="0.25">
      <c r="N82" s="49"/>
      <c r="O82" s="49"/>
      <c r="P82" s="49"/>
      <c r="S82">
        <v>100</v>
      </c>
      <c r="T82">
        <v>130.32</v>
      </c>
      <c r="U82">
        <v>1761</v>
      </c>
      <c r="V82">
        <v>1351</v>
      </c>
    </row>
    <row r="83" spans="14:22" x14ac:dyDescent="0.25">
      <c r="N83" s="49"/>
      <c r="O83" s="49"/>
      <c r="P83" s="49"/>
    </row>
    <row r="84" spans="14:22" x14ac:dyDescent="0.25">
      <c r="N84" s="49"/>
      <c r="O84" s="49"/>
      <c r="P84" s="49"/>
      <c r="S84" t="s">
        <v>533</v>
      </c>
    </row>
    <row r="85" spans="14:22" x14ac:dyDescent="0.25">
      <c r="S85" t="s">
        <v>529</v>
      </c>
      <c r="T85" t="s">
        <v>530</v>
      </c>
      <c r="U85" t="s">
        <v>531</v>
      </c>
      <c r="V85" t="s">
        <v>532</v>
      </c>
    </row>
    <row r="86" spans="14:22" x14ac:dyDescent="0.25">
      <c r="S86">
        <v>5</v>
      </c>
      <c r="T86">
        <v>5.95</v>
      </c>
      <c r="U86">
        <v>2381</v>
      </c>
      <c r="V86">
        <v>2002</v>
      </c>
    </row>
    <row r="87" spans="14:22" x14ac:dyDescent="0.25">
      <c r="S87">
        <f>S86+5</f>
        <v>10</v>
      </c>
      <c r="T87">
        <v>11.89</v>
      </c>
      <c r="U87">
        <v>1977</v>
      </c>
      <c r="V87">
        <v>1663</v>
      </c>
    </row>
    <row r="88" spans="14:22" x14ac:dyDescent="0.25">
      <c r="S88">
        <f t="shared" ref="S88:S95" si="11">S87+5</f>
        <v>15</v>
      </c>
      <c r="T88">
        <v>17.84</v>
      </c>
      <c r="U88">
        <v>1776</v>
      </c>
      <c r="V88">
        <v>1494</v>
      </c>
    </row>
    <row r="89" spans="14:22" x14ac:dyDescent="0.25">
      <c r="O89" s="49" t="s">
        <v>16</v>
      </c>
      <c r="S89">
        <f t="shared" si="11"/>
        <v>20</v>
      </c>
      <c r="T89">
        <v>23.78</v>
      </c>
      <c r="U89">
        <v>1647</v>
      </c>
      <c r="V89">
        <v>1385</v>
      </c>
    </row>
    <row r="90" spans="14:22" x14ac:dyDescent="0.25">
      <c r="S90">
        <f t="shared" si="11"/>
        <v>25</v>
      </c>
      <c r="T90">
        <v>29.73</v>
      </c>
      <c r="U90">
        <v>1554</v>
      </c>
      <c r="V90">
        <v>1307</v>
      </c>
    </row>
    <row r="91" spans="14:22" x14ac:dyDescent="0.25">
      <c r="S91">
        <f t="shared" si="11"/>
        <v>30</v>
      </c>
      <c r="T91">
        <v>35.67</v>
      </c>
      <c r="U91">
        <v>1482</v>
      </c>
      <c r="V91">
        <v>1246</v>
      </c>
    </row>
    <row r="92" spans="14:22" x14ac:dyDescent="0.25">
      <c r="S92">
        <f>S91+5</f>
        <v>35</v>
      </c>
      <c r="T92">
        <v>41.62</v>
      </c>
      <c r="U92">
        <v>1424</v>
      </c>
      <c r="V92">
        <v>1197</v>
      </c>
    </row>
    <row r="93" spans="14:22" x14ac:dyDescent="0.25">
      <c r="S93">
        <f t="shared" si="11"/>
        <v>40</v>
      </c>
      <c r="T93">
        <v>47.56</v>
      </c>
      <c r="U93">
        <v>1375</v>
      </c>
      <c r="V93">
        <v>1157</v>
      </c>
    </row>
    <row r="94" spans="14:22" x14ac:dyDescent="0.25">
      <c r="S94">
        <f>S93+5</f>
        <v>45</v>
      </c>
      <c r="T94">
        <v>53.51</v>
      </c>
      <c r="U94">
        <v>1334</v>
      </c>
      <c r="V94">
        <v>1122</v>
      </c>
    </row>
    <row r="95" spans="14:22" x14ac:dyDescent="0.25">
      <c r="S95">
        <f t="shared" si="11"/>
        <v>50</v>
      </c>
      <c r="T95">
        <v>59.45</v>
      </c>
      <c r="U95">
        <v>1298</v>
      </c>
      <c r="V95">
        <v>1092</v>
      </c>
    </row>
    <row r="96" spans="14:22" x14ac:dyDescent="0.25">
      <c r="S96">
        <v>75</v>
      </c>
      <c r="T96">
        <v>89.18</v>
      </c>
      <c r="U96">
        <v>1170</v>
      </c>
      <c r="V96">
        <v>984</v>
      </c>
    </row>
    <row r="97" spans="19:22" x14ac:dyDescent="0.25">
      <c r="S97">
        <v>100</v>
      </c>
      <c r="T97">
        <v>118.9</v>
      </c>
      <c r="U97">
        <v>1088</v>
      </c>
      <c r="V97">
        <v>915</v>
      </c>
    </row>
    <row r="139" spans="1:1" x14ac:dyDescent="0.25">
      <c r="A139" s="218"/>
    </row>
    <row r="140" spans="1:1" x14ac:dyDescent="0.25">
      <c r="A140" s="473"/>
    </row>
    <row r="141" spans="1:1" x14ac:dyDescent="0.25">
      <c r="A141" s="473"/>
    </row>
    <row r="142" spans="1:1" x14ac:dyDescent="0.25">
      <c r="A142" s="473"/>
    </row>
    <row r="143" spans="1:1" x14ac:dyDescent="0.25">
      <c r="A143" s="473"/>
    </row>
    <row r="144" spans="1:1" x14ac:dyDescent="0.25">
      <c r="A144" s="473"/>
    </row>
    <row r="145" spans="1:1" x14ac:dyDescent="0.25">
      <c r="A145" s="473"/>
    </row>
    <row r="146" spans="1:1" x14ac:dyDescent="0.25">
      <c r="A146" s="473"/>
    </row>
    <row r="147" spans="1:1" x14ac:dyDescent="0.25">
      <c r="A147" s="473"/>
    </row>
    <row r="148" spans="1:1" x14ac:dyDescent="0.25">
      <c r="A148" s="473"/>
    </row>
    <row r="149" spans="1:1" x14ac:dyDescent="0.25">
      <c r="A149" s="473"/>
    </row>
    <row r="150" spans="1:1" x14ac:dyDescent="0.25">
      <c r="A150" s="473"/>
    </row>
    <row r="151" spans="1:1" x14ac:dyDescent="0.25">
      <c r="A151" s="473"/>
    </row>
    <row r="152" spans="1:1" x14ac:dyDescent="0.25">
      <c r="A152" s="473"/>
    </row>
    <row r="153" spans="1:1" x14ac:dyDescent="0.25">
      <c r="A153" s="473"/>
    </row>
    <row r="154" spans="1:1" x14ac:dyDescent="0.25">
      <c r="A154" s="473"/>
    </row>
    <row r="155" spans="1:1" x14ac:dyDescent="0.25">
      <c r="A155" s="473"/>
    </row>
    <row r="156" spans="1:1" x14ac:dyDescent="0.25">
      <c r="A156" s="473"/>
    </row>
    <row r="157" spans="1:1" x14ac:dyDescent="0.25">
      <c r="A157" s="219"/>
    </row>
    <row r="158" spans="1:1" x14ac:dyDescent="0.25">
      <c r="A158" s="219"/>
    </row>
    <row r="159" spans="1:1" x14ac:dyDescent="0.25">
      <c r="A159" s="219"/>
    </row>
    <row r="160" spans="1:1" x14ac:dyDescent="0.25">
      <c r="A160" s="219"/>
    </row>
    <row r="161" spans="1:1" x14ac:dyDescent="0.25">
      <c r="A161" s="219"/>
    </row>
    <row r="165" spans="1:1" x14ac:dyDescent="0.25">
      <c r="A165" s="219"/>
    </row>
    <row r="166" spans="1:1" x14ac:dyDescent="0.25">
      <c r="A166" s="219"/>
    </row>
    <row r="167" spans="1:1" x14ac:dyDescent="0.25">
      <c r="A167" s="219"/>
    </row>
    <row r="168" spans="1:1" x14ac:dyDescent="0.25">
      <c r="A168" s="219"/>
    </row>
    <row r="169" spans="1:1" x14ac:dyDescent="0.25">
      <c r="A169" s="219"/>
    </row>
    <row r="170" spans="1:1" x14ac:dyDescent="0.25">
      <c r="A170" s="219"/>
    </row>
    <row r="171" spans="1:1" x14ac:dyDescent="0.25">
      <c r="A171" s="219"/>
    </row>
    <row r="172" spans="1:1" x14ac:dyDescent="0.25">
      <c r="A172" s="219"/>
    </row>
    <row r="173" spans="1:1" x14ac:dyDescent="0.25">
      <c r="A173" s="219"/>
    </row>
    <row r="174" spans="1:1" x14ac:dyDescent="0.25">
      <c r="A174" s="219"/>
    </row>
    <row r="175" spans="1:1" x14ac:dyDescent="0.25">
      <c r="A175" s="219"/>
    </row>
    <row r="176" spans="1:1" x14ac:dyDescent="0.25">
      <c r="A176" s="219"/>
    </row>
    <row r="177" spans="1:1" x14ac:dyDescent="0.25">
      <c r="A177" s="219"/>
    </row>
    <row r="178" spans="1:1" x14ac:dyDescent="0.25">
      <c r="A178" s="219"/>
    </row>
    <row r="179" spans="1:1" x14ac:dyDescent="0.25">
      <c r="A179" s="219"/>
    </row>
    <row r="180" spans="1:1" x14ac:dyDescent="0.25">
      <c r="A180" s="219"/>
    </row>
    <row r="181" spans="1:1" x14ac:dyDescent="0.25">
      <c r="A181" s="219"/>
    </row>
    <row r="182" spans="1:1" x14ac:dyDescent="0.25">
      <c r="A182" s="219"/>
    </row>
    <row r="183" spans="1:1" x14ac:dyDescent="0.25">
      <c r="A183" s="219"/>
    </row>
    <row r="184" spans="1:1" x14ac:dyDescent="0.25">
      <c r="A184" s="219"/>
    </row>
    <row r="185" spans="1:1" x14ac:dyDescent="0.25">
      <c r="A185" s="219"/>
    </row>
    <row r="186" spans="1:1" x14ac:dyDescent="0.25">
      <c r="A186" s="219"/>
    </row>
    <row r="187" spans="1:1" x14ac:dyDescent="0.25">
      <c r="A187" s="219"/>
    </row>
    <row r="188" spans="1:1" x14ac:dyDescent="0.25">
      <c r="A188" s="219"/>
    </row>
    <row r="189" spans="1:1" x14ac:dyDescent="0.25">
      <c r="A189" s="219"/>
    </row>
    <row r="190" spans="1:1" x14ac:dyDescent="0.25">
      <c r="A190" s="219"/>
    </row>
    <row r="191" spans="1:1" x14ac:dyDescent="0.25">
      <c r="A191" s="219"/>
    </row>
    <row r="192" spans="1:1" x14ac:dyDescent="0.25">
      <c r="A192" s="219"/>
    </row>
    <row r="193" spans="1:1" x14ac:dyDescent="0.25">
      <c r="A193" s="219"/>
    </row>
    <row r="194" spans="1:1" x14ac:dyDescent="0.25">
      <c r="A194" s="219"/>
    </row>
    <row r="195" spans="1:1" x14ac:dyDescent="0.25">
      <c r="A195" s="219"/>
    </row>
    <row r="196" spans="1:1" x14ac:dyDescent="0.25">
      <c r="A196" s="219"/>
    </row>
    <row r="197" spans="1:1" x14ac:dyDescent="0.25">
      <c r="A197" s="219"/>
    </row>
    <row r="198" spans="1:1" x14ac:dyDescent="0.25">
      <c r="A198" s="219"/>
    </row>
    <row r="199" spans="1:1" x14ac:dyDescent="0.25">
      <c r="A199" s="219"/>
    </row>
    <row r="200" spans="1:1" x14ac:dyDescent="0.25">
      <c r="A200" s="219"/>
    </row>
    <row r="201" spans="1:1" x14ac:dyDescent="0.25">
      <c r="A201" s="219"/>
    </row>
    <row r="202" spans="1:1" x14ac:dyDescent="0.25">
      <c r="A202" s="219"/>
    </row>
    <row r="203" spans="1:1" x14ac:dyDescent="0.25">
      <c r="A203" s="219"/>
    </row>
    <row r="204" spans="1:1" x14ac:dyDescent="0.25">
      <c r="A204" s="219"/>
    </row>
    <row r="205" spans="1:1" x14ac:dyDescent="0.25">
      <c r="A205" s="219"/>
    </row>
    <row r="206" spans="1:1" x14ac:dyDescent="0.25">
      <c r="A206" s="219"/>
    </row>
    <row r="207" spans="1:1" x14ac:dyDescent="0.25">
      <c r="A207" s="219"/>
    </row>
    <row r="208" spans="1:1" x14ac:dyDescent="0.25">
      <c r="A208" s="219"/>
    </row>
    <row r="209" spans="1:1" x14ac:dyDescent="0.25">
      <c r="A209" s="219"/>
    </row>
    <row r="210" spans="1:1" x14ac:dyDescent="0.25">
      <c r="A210" s="219"/>
    </row>
    <row r="211" spans="1:1" x14ac:dyDescent="0.25">
      <c r="A211" s="219"/>
    </row>
    <row r="212" spans="1:1" x14ac:dyDescent="0.25">
      <c r="A212" s="219"/>
    </row>
    <row r="213" spans="1:1" x14ac:dyDescent="0.25">
      <c r="A213" s="219"/>
    </row>
    <row r="214" spans="1:1" x14ac:dyDescent="0.25">
      <c r="A214" s="219"/>
    </row>
    <row r="215" spans="1:1" x14ac:dyDescent="0.25">
      <c r="A215" s="219"/>
    </row>
    <row r="216" spans="1:1" x14ac:dyDescent="0.25">
      <c r="A216" s="219"/>
    </row>
    <row r="217" spans="1:1" x14ac:dyDescent="0.25">
      <c r="A217" s="219"/>
    </row>
    <row r="218" spans="1:1" x14ac:dyDescent="0.25">
      <c r="A218" s="219"/>
    </row>
    <row r="219" spans="1:1" x14ac:dyDescent="0.25">
      <c r="A219" s="219"/>
    </row>
    <row r="220" spans="1:1" x14ac:dyDescent="0.25">
      <c r="A220" s="219"/>
    </row>
    <row r="221" spans="1:1" x14ac:dyDescent="0.25">
      <c r="A221" s="219"/>
    </row>
    <row r="222" spans="1:1" x14ac:dyDescent="0.25">
      <c r="A222" s="219"/>
    </row>
    <row r="223" spans="1:1" x14ac:dyDescent="0.25">
      <c r="A223" s="219"/>
    </row>
    <row r="224" spans="1:1" x14ac:dyDescent="0.25">
      <c r="A224" s="219"/>
    </row>
    <row r="225" spans="1:1" x14ac:dyDescent="0.25">
      <c r="A225" s="219"/>
    </row>
    <row r="226" spans="1:1" x14ac:dyDescent="0.25">
      <c r="A226" s="219"/>
    </row>
    <row r="227" spans="1:1" x14ac:dyDescent="0.25">
      <c r="A227" s="219"/>
    </row>
    <row r="228" spans="1:1" x14ac:dyDescent="0.25">
      <c r="A228" s="219"/>
    </row>
    <row r="229" spans="1:1" x14ac:dyDescent="0.25">
      <c r="A229" s="219"/>
    </row>
    <row r="230" spans="1:1" x14ac:dyDescent="0.25">
      <c r="A230" s="219"/>
    </row>
    <row r="231" spans="1:1" x14ac:dyDescent="0.25">
      <c r="A231" s="219"/>
    </row>
    <row r="232" spans="1:1" x14ac:dyDescent="0.25">
      <c r="A232" s="219"/>
    </row>
    <row r="233" spans="1:1" x14ac:dyDescent="0.25">
      <c r="A233" s="219"/>
    </row>
    <row r="234" spans="1:1" x14ac:dyDescent="0.25">
      <c r="A234" s="219"/>
    </row>
    <row r="235" spans="1:1" x14ac:dyDescent="0.25">
      <c r="A235" s="219"/>
    </row>
    <row r="236" spans="1:1" x14ac:dyDescent="0.25">
      <c r="A236" s="219"/>
    </row>
    <row r="237" spans="1:1" x14ac:dyDescent="0.25">
      <c r="A237" s="219"/>
    </row>
    <row r="238" spans="1:1" x14ac:dyDescent="0.25">
      <c r="A238" s="219"/>
    </row>
    <row r="239" spans="1:1" x14ac:dyDescent="0.25">
      <c r="A239" s="219"/>
    </row>
    <row r="240" spans="1:1" x14ac:dyDescent="0.25">
      <c r="A240" s="219"/>
    </row>
    <row r="241" spans="1:1" x14ac:dyDescent="0.25">
      <c r="A241" s="219"/>
    </row>
    <row r="242" spans="1:1" x14ac:dyDescent="0.25">
      <c r="A242" s="219"/>
    </row>
    <row r="243" spans="1:1" x14ac:dyDescent="0.25">
      <c r="A243" s="219"/>
    </row>
    <row r="244" spans="1:1" x14ac:dyDescent="0.25">
      <c r="A244" s="219"/>
    </row>
    <row r="245" spans="1:1" x14ac:dyDescent="0.25">
      <c r="A245" s="219"/>
    </row>
    <row r="246" spans="1:1" x14ac:dyDescent="0.25">
      <c r="A246" s="219"/>
    </row>
    <row r="247" spans="1:1" x14ac:dyDescent="0.25">
      <c r="A247" s="219"/>
    </row>
    <row r="248" spans="1:1" x14ac:dyDescent="0.25">
      <c r="A248" s="219"/>
    </row>
    <row r="249" spans="1:1" x14ac:dyDescent="0.25">
      <c r="A249" s="219"/>
    </row>
    <row r="250" spans="1:1" x14ac:dyDescent="0.25">
      <c r="A250" s="219"/>
    </row>
    <row r="251" spans="1:1" x14ac:dyDescent="0.25">
      <c r="A251" s="219"/>
    </row>
    <row r="252" spans="1:1" x14ac:dyDescent="0.25">
      <c r="A252" s="219"/>
    </row>
    <row r="253" spans="1:1" x14ac:dyDescent="0.25">
      <c r="A253" s="219"/>
    </row>
    <row r="254" spans="1:1" x14ac:dyDescent="0.25">
      <c r="A254" s="219"/>
    </row>
    <row r="255" spans="1:1" x14ac:dyDescent="0.25">
      <c r="A255" s="219"/>
    </row>
    <row r="256" spans="1:1" x14ac:dyDescent="0.25">
      <c r="A256" s="219"/>
    </row>
    <row r="257" spans="1:1" x14ac:dyDescent="0.25">
      <c r="A257" s="219"/>
    </row>
    <row r="258" spans="1:1" x14ac:dyDescent="0.25">
      <c r="A258" s="219"/>
    </row>
    <row r="259" spans="1:1" x14ac:dyDescent="0.25">
      <c r="A259" s="219"/>
    </row>
    <row r="260" spans="1:1" x14ac:dyDescent="0.25">
      <c r="A260" s="219"/>
    </row>
    <row r="261" spans="1:1" x14ac:dyDescent="0.25">
      <c r="A261" s="219"/>
    </row>
    <row r="262" spans="1:1" x14ac:dyDescent="0.25">
      <c r="A262" s="219"/>
    </row>
    <row r="263" spans="1:1" x14ac:dyDescent="0.25">
      <c r="A263" s="219"/>
    </row>
    <row r="264" spans="1:1" x14ac:dyDescent="0.25">
      <c r="A264" s="219"/>
    </row>
    <row r="265" spans="1:1" x14ac:dyDescent="0.25">
      <c r="A265" s="219"/>
    </row>
    <row r="266" spans="1:1" x14ac:dyDescent="0.25">
      <c r="A266" s="219"/>
    </row>
    <row r="267" spans="1:1" x14ac:dyDescent="0.25">
      <c r="A267" s="219"/>
    </row>
    <row r="268" spans="1:1" x14ac:dyDescent="0.25">
      <c r="A268" s="219"/>
    </row>
    <row r="269" spans="1:1" x14ac:dyDescent="0.25">
      <c r="A269" s="219"/>
    </row>
    <row r="270" spans="1:1" x14ac:dyDescent="0.25">
      <c r="A270" s="219"/>
    </row>
    <row r="271" spans="1:1" x14ac:dyDescent="0.25">
      <c r="A271" s="219"/>
    </row>
    <row r="272" spans="1:1" x14ac:dyDescent="0.25">
      <c r="A272" s="219"/>
    </row>
    <row r="273" spans="1:1" x14ac:dyDescent="0.25">
      <c r="A273" s="219"/>
    </row>
    <row r="274" spans="1:1" x14ac:dyDescent="0.25">
      <c r="A274" s="219"/>
    </row>
    <row r="275" spans="1:1" x14ac:dyDescent="0.25">
      <c r="A275" s="219"/>
    </row>
    <row r="276" spans="1:1" x14ac:dyDescent="0.25">
      <c r="A276" s="219"/>
    </row>
    <row r="277" spans="1:1" x14ac:dyDescent="0.25">
      <c r="A277" s="219"/>
    </row>
    <row r="278" spans="1:1" x14ac:dyDescent="0.25">
      <c r="A278" s="219"/>
    </row>
    <row r="279" spans="1:1" x14ac:dyDescent="0.25">
      <c r="A279" s="219"/>
    </row>
    <row r="280" spans="1:1" x14ac:dyDescent="0.25">
      <c r="A280" s="219"/>
    </row>
    <row r="281" spans="1:1" x14ac:dyDescent="0.25">
      <c r="A281" s="219"/>
    </row>
    <row r="282" spans="1:1" x14ac:dyDescent="0.25">
      <c r="A282" s="219"/>
    </row>
    <row r="283" spans="1:1" x14ac:dyDescent="0.25">
      <c r="A283" s="219"/>
    </row>
    <row r="284" spans="1:1" x14ac:dyDescent="0.25">
      <c r="A284" s="219"/>
    </row>
    <row r="285" spans="1:1" x14ac:dyDescent="0.25">
      <c r="A285" s="219"/>
    </row>
    <row r="286" spans="1:1" x14ac:dyDescent="0.25">
      <c r="A286" s="219"/>
    </row>
    <row r="287" spans="1:1" x14ac:dyDescent="0.25">
      <c r="A287" s="219"/>
    </row>
    <row r="288" spans="1:1" x14ac:dyDescent="0.25">
      <c r="A288" s="219"/>
    </row>
    <row r="289" spans="1:1" x14ac:dyDescent="0.25">
      <c r="A289" s="219"/>
    </row>
    <row r="290" spans="1:1" x14ac:dyDescent="0.25">
      <c r="A290" s="219"/>
    </row>
    <row r="291" spans="1:1" x14ac:dyDescent="0.25">
      <c r="A291" s="219"/>
    </row>
    <row r="292" spans="1:1" x14ac:dyDescent="0.25">
      <c r="A292" s="219"/>
    </row>
    <row r="293" spans="1:1" x14ac:dyDescent="0.25">
      <c r="A293" s="219"/>
    </row>
    <row r="294" spans="1:1" x14ac:dyDescent="0.25">
      <c r="A294" s="219"/>
    </row>
    <row r="295" spans="1:1" x14ac:dyDescent="0.25">
      <c r="A295" s="219"/>
    </row>
    <row r="296" spans="1:1" x14ac:dyDescent="0.25">
      <c r="A296" s="219"/>
    </row>
    <row r="297" spans="1:1" x14ac:dyDescent="0.25">
      <c r="A297" s="219"/>
    </row>
    <row r="298" spans="1:1" x14ac:dyDescent="0.25">
      <c r="A298" s="219"/>
    </row>
    <row r="299" spans="1:1" x14ac:dyDescent="0.25">
      <c r="A299" s="219"/>
    </row>
    <row r="300" spans="1:1" x14ac:dyDescent="0.25">
      <c r="A300" s="219"/>
    </row>
    <row r="301" spans="1:1" x14ac:dyDescent="0.25">
      <c r="A301" s="219"/>
    </row>
    <row r="302" spans="1:1" x14ac:dyDescent="0.25">
      <c r="A302" s="219"/>
    </row>
    <row r="303" spans="1:1" x14ac:dyDescent="0.25">
      <c r="A303" s="219"/>
    </row>
  </sheetData>
  <sheetProtection password="DFD3" sheet="1" objects="1" scenarios="1"/>
  <mergeCells count="1">
    <mergeCell ref="L1:L2"/>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BF303"/>
  <sheetViews>
    <sheetView workbookViewId="0">
      <selection activeCell="H1" sqref="H1"/>
    </sheetView>
  </sheetViews>
  <sheetFormatPr defaultRowHeight="15" x14ac:dyDescent="0.25"/>
  <cols>
    <col min="1" max="1" width="140.42578125" style="856" customWidth="1"/>
    <col min="2" max="2" width="17.85546875" bestFit="1" customWidth="1"/>
    <col min="3" max="3" width="9.28515625" bestFit="1" customWidth="1"/>
    <col min="4" max="4" width="15.5703125" customWidth="1"/>
    <col min="5" max="5" width="44.5703125" customWidth="1"/>
    <col min="6" max="6" width="15.85546875" customWidth="1"/>
    <col min="7" max="7" width="13.42578125" customWidth="1"/>
    <col min="8" max="8" width="14.28515625" customWidth="1"/>
    <col min="9" max="9" width="13.42578125" bestFit="1" customWidth="1"/>
    <col min="10" max="10" width="20" customWidth="1"/>
    <col min="11" max="11" width="17.28515625" customWidth="1"/>
    <col min="12" max="13" width="13.85546875" customWidth="1"/>
    <col min="14" max="14" width="13.42578125" bestFit="1" customWidth="1"/>
    <col min="15" max="15" width="11.7109375" bestFit="1" customWidth="1"/>
    <col min="16" max="16" width="15" customWidth="1"/>
    <col min="17" max="17" width="17.5703125" customWidth="1"/>
    <col min="18" max="39" width="16" customWidth="1"/>
    <col min="40" max="40" width="14.85546875" customWidth="1"/>
    <col min="42" max="42" width="17" customWidth="1"/>
    <col min="44" max="44" width="17.28515625" customWidth="1"/>
    <col min="47" max="48" width="15.7109375" customWidth="1"/>
    <col min="49" max="49" width="14.140625" customWidth="1"/>
    <col min="51" max="51" width="19.140625" customWidth="1"/>
    <col min="53" max="53" width="18.85546875" customWidth="1"/>
    <col min="55" max="55" width="13.28515625" bestFit="1" customWidth="1"/>
  </cols>
  <sheetData>
    <row r="1" spans="1:58" ht="13.5" customHeight="1" thickBot="1" x14ac:dyDescent="0.3">
      <c r="A1" s="845"/>
      <c r="B1" t="s">
        <v>1175</v>
      </c>
      <c r="D1" t="s">
        <v>1176</v>
      </c>
      <c r="E1" t="s">
        <v>1177</v>
      </c>
      <c r="F1" s="1036">
        <f>'Default Data'!C3</f>
        <v>200</v>
      </c>
      <c r="I1" t="s">
        <v>1178</v>
      </c>
      <c r="J1">
        <f>'CERA PCCI power plant index'!F29</f>
        <v>0.93121693121693128</v>
      </c>
      <c r="T1" s="31"/>
      <c r="AF1" s="31"/>
      <c r="AL1" s="31"/>
      <c r="AO1" s="1285" t="s">
        <v>1066</v>
      </c>
      <c r="AP1" s="1286"/>
      <c r="AQ1" s="1286"/>
      <c r="AR1" s="1286"/>
      <c r="AS1" s="1287"/>
      <c r="AU1" s="1277"/>
      <c r="AV1" s="1277"/>
      <c r="AW1" s="1277"/>
      <c r="AX1" s="1277"/>
      <c r="AY1" s="1277"/>
    </row>
    <row r="2" spans="1:58" ht="15" customHeight="1" x14ac:dyDescent="0.25">
      <c r="A2" s="845"/>
      <c r="B2">
        <f>ProjectData!B14</f>
        <v>2010</v>
      </c>
      <c r="D2">
        <v>0.99439999999999995</v>
      </c>
      <c r="E2" t="s">
        <v>447</v>
      </c>
      <c r="F2" s="54">
        <f>ProjectData!B16</f>
        <v>10</v>
      </c>
      <c r="I2" s="358"/>
      <c r="AO2" s="1288" t="s">
        <v>533</v>
      </c>
      <c r="AP2" s="1289"/>
      <c r="AQ2" s="1289"/>
      <c r="AR2" s="1289"/>
      <c r="AS2" s="1290"/>
      <c r="AU2" s="1277"/>
      <c r="AV2" s="1277"/>
      <c r="AW2" s="1277"/>
      <c r="AX2" s="1277"/>
      <c r="AY2" s="1277"/>
    </row>
    <row r="3" spans="1:58" x14ac:dyDescent="0.25">
      <c r="A3" s="845"/>
      <c r="B3" s="860">
        <f>'CERA PCCI power plant index'!F29</f>
        <v>0.93121693121693128</v>
      </c>
      <c r="D3">
        <v>-0.26</v>
      </c>
      <c r="E3" t="s">
        <v>1150</v>
      </c>
      <c r="F3" s="354">
        <f>ProjectData!B14</f>
        <v>2010</v>
      </c>
      <c r="AO3" s="796" t="s">
        <v>529</v>
      </c>
      <c r="AP3" s="797" t="s">
        <v>530</v>
      </c>
      <c r="AQ3" s="797" t="s">
        <v>531</v>
      </c>
      <c r="AR3" s="797" t="s">
        <v>532</v>
      </c>
      <c r="AS3" s="798" t="s">
        <v>1051</v>
      </c>
      <c r="AU3" s="938"/>
      <c r="AV3" s="938"/>
      <c r="AW3" s="938"/>
      <c r="AX3" s="938"/>
      <c r="AY3" s="938"/>
    </row>
    <row r="4" spans="1:58" ht="18" thickBot="1" x14ac:dyDescent="0.3">
      <c r="A4" s="845"/>
      <c r="E4" t="s">
        <v>1179</v>
      </c>
      <c r="F4" s="861">
        <f>'CERA PCCI power plant index'!R8</f>
        <v>0.93121693121693128</v>
      </c>
      <c r="I4" t="s">
        <v>1180</v>
      </c>
      <c r="N4" t="s">
        <v>1181</v>
      </c>
      <c r="S4" t="s">
        <v>1182</v>
      </c>
      <c r="X4" t="s">
        <v>1183</v>
      </c>
      <c r="AC4" t="s">
        <v>1184</v>
      </c>
      <c r="AH4" t="s">
        <v>1185</v>
      </c>
      <c r="AO4" s="35">
        <v>5</v>
      </c>
      <c r="AP4" s="36">
        <v>5.95</v>
      </c>
      <c r="AQ4" s="36">
        <v>2381</v>
      </c>
      <c r="AR4" s="36">
        <v>2002</v>
      </c>
      <c r="AS4" s="800">
        <f>AQ4/$AQ$4</f>
        <v>1</v>
      </c>
      <c r="AU4" s="938"/>
      <c r="AV4" s="938"/>
      <c r="AW4" s="938"/>
      <c r="AX4" s="938"/>
      <c r="AY4" s="938"/>
    </row>
    <row r="5" spans="1:58" ht="23.25" x14ac:dyDescent="0.35">
      <c r="A5" s="221" t="s">
        <v>591</v>
      </c>
      <c r="B5" t="s">
        <v>507</v>
      </c>
      <c r="H5" s="32" t="s">
        <v>1186</v>
      </c>
      <c r="I5" s="1304" t="s">
        <v>1187</v>
      </c>
      <c r="J5" s="1304"/>
      <c r="K5" s="1304"/>
      <c r="L5" s="1304"/>
      <c r="M5" s="1305"/>
      <c r="N5" s="1292" t="s">
        <v>1188</v>
      </c>
      <c r="O5" s="1293"/>
      <c r="P5" s="1293"/>
      <c r="Q5" s="1293"/>
      <c r="R5" s="1294"/>
      <c r="S5" s="1292" t="s">
        <v>1189</v>
      </c>
      <c r="T5" s="1293"/>
      <c r="U5" s="1293"/>
      <c r="V5" s="1293"/>
      <c r="W5" s="1294"/>
      <c r="X5" s="1292" t="s">
        <v>1190</v>
      </c>
      <c r="Y5" s="1293"/>
      <c r="Z5" s="1293"/>
      <c r="AA5" s="1293"/>
      <c r="AB5" s="1294"/>
      <c r="AC5" s="1292" t="s">
        <v>1191</v>
      </c>
      <c r="AD5" s="1293"/>
      <c r="AE5" s="1293"/>
      <c r="AF5" s="1293"/>
      <c r="AG5" s="1294"/>
      <c r="AH5" s="1292" t="s">
        <v>1192</v>
      </c>
      <c r="AI5" s="1293"/>
      <c r="AJ5" s="1293"/>
      <c r="AK5" s="1293"/>
      <c r="AL5" s="1294"/>
      <c r="AM5" s="843"/>
      <c r="AO5" s="35">
        <f>AO4+5</f>
        <v>10</v>
      </c>
      <c r="AP5" s="36">
        <v>11.89</v>
      </c>
      <c r="AQ5" s="36">
        <v>1977</v>
      </c>
      <c r="AR5" s="36">
        <v>1663</v>
      </c>
      <c r="AS5" s="800">
        <f t="shared" ref="AS5:AS23" si="0">AQ5/$AQ$4</f>
        <v>0.83032339353212936</v>
      </c>
      <c r="AU5" s="938"/>
      <c r="AV5" s="938"/>
      <c r="AW5" s="938"/>
      <c r="AX5" s="938"/>
      <c r="AY5" s="938"/>
    </row>
    <row r="6" spans="1:58" ht="15.75" thickBot="1" x14ac:dyDescent="0.3">
      <c r="A6" s="845"/>
      <c r="B6" t="s">
        <v>1193</v>
      </c>
      <c r="E6" t="s">
        <v>1194</v>
      </c>
      <c r="H6" s="862" t="s">
        <v>48</v>
      </c>
      <c r="I6" s="863" t="s">
        <v>1195</v>
      </c>
      <c r="J6" s="863" t="s">
        <v>1196</v>
      </c>
      <c r="K6" s="863" t="s">
        <v>1197</v>
      </c>
      <c r="L6" s="863" t="s">
        <v>1198</v>
      </c>
      <c r="M6" s="864" t="s">
        <v>1199</v>
      </c>
      <c r="N6" s="865" t="s">
        <v>1200</v>
      </c>
      <c r="O6" s="866" t="s">
        <v>1201</v>
      </c>
      <c r="P6" s="866" t="s">
        <v>1202</v>
      </c>
      <c r="Q6" s="866" t="s">
        <v>1203</v>
      </c>
      <c r="R6" s="867" t="s">
        <v>1204</v>
      </c>
      <c r="S6" s="865" t="s">
        <v>1205</v>
      </c>
      <c r="T6" s="866" t="s">
        <v>1206</v>
      </c>
      <c r="U6" s="866" t="s">
        <v>1207</v>
      </c>
      <c r="V6" s="866" t="s">
        <v>1208</v>
      </c>
      <c r="W6" s="868" t="s">
        <v>1209</v>
      </c>
      <c r="X6" s="865" t="s">
        <v>1210</v>
      </c>
      <c r="Y6" s="866" t="s">
        <v>1211</v>
      </c>
      <c r="Z6" s="866" t="s">
        <v>1212</v>
      </c>
      <c r="AA6" s="866" t="s">
        <v>1213</v>
      </c>
      <c r="AB6" s="868" t="s">
        <v>1214</v>
      </c>
      <c r="AC6" s="865" t="s">
        <v>1215</v>
      </c>
      <c r="AD6" s="866" t="s">
        <v>1216</v>
      </c>
      <c r="AE6" s="866" t="s">
        <v>1217</v>
      </c>
      <c r="AF6" s="866" t="s">
        <v>1218</v>
      </c>
      <c r="AG6" s="868" t="s">
        <v>1219</v>
      </c>
      <c r="AH6" s="865" t="s">
        <v>1220</v>
      </c>
      <c r="AI6" s="866" t="s">
        <v>1221</v>
      </c>
      <c r="AJ6" s="866" t="s">
        <v>1222</v>
      </c>
      <c r="AK6" s="866" t="s">
        <v>1223</v>
      </c>
      <c r="AL6" s="868" t="s">
        <v>1224</v>
      </c>
      <c r="AM6" s="869"/>
      <c r="AO6" s="35">
        <f t="shared" ref="AO6:AO13" si="1">AO5+5</f>
        <v>15</v>
      </c>
      <c r="AP6" s="36">
        <v>17.84</v>
      </c>
      <c r="AQ6" s="36">
        <v>1776</v>
      </c>
      <c r="AR6" s="36">
        <v>1494</v>
      </c>
      <c r="AS6" s="800">
        <f t="shared" si="0"/>
        <v>0.74590508189836202</v>
      </c>
      <c r="AU6" s="938"/>
      <c r="AV6" s="938"/>
      <c r="AW6" s="938"/>
      <c r="AX6" s="938"/>
      <c r="AY6" s="938"/>
    </row>
    <row r="7" spans="1:58" ht="15.75" x14ac:dyDescent="0.25">
      <c r="A7" s="223" t="s">
        <v>594</v>
      </c>
      <c r="B7">
        <v>0</v>
      </c>
      <c r="C7" t="s">
        <v>1225</v>
      </c>
      <c r="E7" s="32" t="s">
        <v>509</v>
      </c>
      <c r="F7" s="1034">
        <f>F1</f>
        <v>200</v>
      </c>
      <c r="H7" s="35">
        <v>180</v>
      </c>
      <c r="I7" s="417">
        <f>I71*$J$1</f>
        <v>3416.6349206349209</v>
      </c>
      <c r="J7" s="417">
        <f>J71*$J$1</f>
        <v>2277.7566137566141</v>
      </c>
      <c r="K7" s="417">
        <f>K71*$J$1</f>
        <v>2170.7225396825397</v>
      </c>
      <c r="L7" s="417">
        <f>L71*$J$1</f>
        <v>2122.2433862433863</v>
      </c>
      <c r="M7" s="950">
        <f>M71*$J$1</f>
        <v>2089.6507936507937</v>
      </c>
      <c r="N7" s="870">
        <f>$B$8*$H7^3+$B$9*$H7^2+$B$10*$H7+$B$11</f>
        <v>3403.2733440000047</v>
      </c>
      <c r="O7" s="871">
        <v>2227.028355277258</v>
      </c>
      <c r="P7" s="871">
        <v>1859.764475716469</v>
      </c>
      <c r="Q7" s="871">
        <v>1673.6869135630861</v>
      </c>
      <c r="R7" s="871">
        <v>1553.0668466528589</v>
      </c>
      <c r="S7" s="872">
        <f t="shared" ref="S7:S24" si="2">($T7)*(1+$R$102)*($D$2*((5/5)^$D$3))</f>
        <v>3441.6765849945682</v>
      </c>
      <c r="T7" s="873">
        <f>$B$15*$H7^4+$B$16*$H7^3+$B$17*$H7^2+$B$18*$H7+$B$19</f>
        <v>2277.5962569599978</v>
      </c>
      <c r="U7" s="871">
        <f t="shared" ref="U7:U24" si="3">($T7)*(1+$R$102)*($D$2*((50/5)^$D$3))</f>
        <v>1891.3419580532398</v>
      </c>
      <c r="V7" s="871">
        <f t="shared" ref="V7:V24" si="4">($T7)*(1+$R$102)*($D$2*((70/5)^$D$3))</f>
        <v>1732.9130325823864</v>
      </c>
      <c r="W7" s="874">
        <f t="shared" ref="W7:W24" si="5">($T7)*(1+$R$102)*($D$2*((100/5)^$D$3))</f>
        <v>1579.4368206782583</v>
      </c>
      <c r="X7" s="872">
        <f t="shared" ref="X7:X24" si="6">($Z7*(1+$X$102))*($D$2*((5/5)^$D$3))</f>
        <v>3921.7243207155702</v>
      </c>
      <c r="Y7" s="871">
        <f>($Z7*(1+$X$102))*($D$2*((25/5)^$D$3))</f>
        <v>2580.7436080622097</v>
      </c>
      <c r="Z7" s="873">
        <f>$B$24*$H7^4+$B$25*$H7^3+$B$26*$H7^2+$B$27*$H7+$B$28</f>
        <v>2167.2846040172299</v>
      </c>
      <c r="AA7" s="871">
        <f t="shared" ref="AA7:AA24" si="7">($Z7*(1+$X$102))*($D$2*((75/5)^$D$3))</f>
        <v>1939.5158547667231</v>
      </c>
      <c r="AB7" s="874">
        <f t="shared" ref="AB7:AB24" si="8">($Z7*(1+$X$102))*($D$2*((100/5)^$D$3))</f>
        <v>1799.7379009095296</v>
      </c>
      <c r="AC7" s="872">
        <f>($AF7)*(1+$AD$102)*($D$2*((5/5)^$D$3))</f>
        <v>4283.613848328836</v>
      </c>
      <c r="AD7" s="871">
        <f>($AF7)*(1+$AD$102)*($D$2*((25/5)^$D$3))</f>
        <v>2818.8898949593408</v>
      </c>
      <c r="AE7" s="871">
        <f>($AF7)*(1+$AD$102)*($D$2*((50/5)^$D$3))</f>
        <v>2354.0208974792499</v>
      </c>
      <c r="AF7" s="873">
        <f>$B$32*$H7^4+$B$33*$H7^3+$B$34*$H7^2+$B$35*$H7+$B$36</f>
        <v>2130.4211792477399</v>
      </c>
      <c r="AG7" s="874">
        <f t="shared" ref="AG7:AG24" si="9">($AF7)*(1+$AD$102)*($D$2*((100/5)^$D$3))</f>
        <v>1965.8144135668497</v>
      </c>
      <c r="AH7" s="872">
        <f t="shared" ref="AH7:AH24" si="10">($AL7)*(1+$AJ$102)*($D$2*((5/5)^$D$3))</f>
        <v>4543.0960372019836</v>
      </c>
      <c r="AI7" s="871">
        <f t="shared" ref="AI7:AI24" si="11">($AL7)*(1+$AJ$102)*($D$2*((25/5)^$D$3))</f>
        <v>2989.6456507382627</v>
      </c>
      <c r="AJ7" s="871">
        <f t="shared" ref="AJ7:AJ24" si="12">($AL7)*(1+$AJ$102)*($D$2*((50/5)^$D$3))</f>
        <v>2496.6169663030892</v>
      </c>
      <c r="AK7" s="871">
        <f t="shared" ref="AK7:AK24" si="13">($AL7)*(1+$AJ$102)*($D$2*((75/5)^$D$3))</f>
        <v>2246.8195296994663</v>
      </c>
      <c r="AL7" s="875">
        <f>$B$41*$H7^4+$B$42*$H7^3+$B$43*$H7^2+$B$44*$H7+$B$45</f>
        <v>2096.6358286399991</v>
      </c>
      <c r="AM7" s="26"/>
      <c r="AO7" s="35">
        <f t="shared" si="1"/>
        <v>20</v>
      </c>
      <c r="AP7" s="36">
        <v>23.78</v>
      </c>
      <c r="AQ7" s="36">
        <v>1647</v>
      </c>
      <c r="AR7" s="36">
        <v>1385</v>
      </c>
      <c r="AS7" s="800">
        <f t="shared" si="0"/>
        <v>0.69172616547669041</v>
      </c>
      <c r="AU7" s="938"/>
      <c r="AV7" s="938"/>
      <c r="AW7" s="938"/>
      <c r="AX7" s="938"/>
      <c r="AY7" s="938"/>
    </row>
    <row r="8" spans="1:58" ht="15.75" x14ac:dyDescent="0.25">
      <c r="A8" s="224"/>
      <c r="B8" s="876">
        <v>-4.2050799999999999E-4</v>
      </c>
      <c r="C8" t="s">
        <v>1226</v>
      </c>
      <c r="D8" s="876"/>
      <c r="E8" s="35" t="s">
        <v>1065</v>
      </c>
      <c r="F8" s="877">
        <f>-0.000420508*F7^3 + 0.40499*F7^2 - 132.325*F7 + 16552.5</f>
        <v>2923.0360000000037</v>
      </c>
      <c r="H8" s="35">
        <v>190</v>
      </c>
      <c r="I8" s="417">
        <f t="shared" ref="I8:M23" si="14">I72*$J$1</f>
        <v>3131.6825396825398</v>
      </c>
      <c r="J8" s="417">
        <f t="shared" si="14"/>
        <v>2084.063492063492</v>
      </c>
      <c r="K8" s="417">
        <f t="shared" si="14"/>
        <v>1899.9805291005289</v>
      </c>
      <c r="L8" s="417">
        <f t="shared" si="14"/>
        <v>1854.9841269841272</v>
      </c>
      <c r="M8" s="950">
        <f t="shared" si="14"/>
        <v>1826.1164021164022</v>
      </c>
      <c r="N8" s="870">
        <f t="shared" ref="N8:N24" si="15">$B$8*$H8^3+$B$9*$H8^2+$B$10*$H8+$B$11</f>
        <v>3146.624628000005</v>
      </c>
      <c r="O8" s="871">
        <v>2059.0829950007551</v>
      </c>
      <c r="P8" s="871">
        <v>1719.5153342255162</v>
      </c>
      <c r="Q8" s="871">
        <v>1547.4703115057559</v>
      </c>
      <c r="R8" s="871">
        <v>1435.9464828835642</v>
      </c>
      <c r="S8" s="872">
        <f t="shared" si="2"/>
        <v>3163.6480260609533</v>
      </c>
      <c r="T8" s="873">
        <f t="shared" ref="T8:T24" si="16">$B$15*$H8^4+$B$16*$H8^3+$B$17*$H8^2+$B$18*$H8+$B$19</f>
        <v>2093.6054636599983</v>
      </c>
      <c r="U8" s="871">
        <f t="shared" si="3"/>
        <v>1738.5539008194851</v>
      </c>
      <c r="V8" s="871">
        <f t="shared" si="4"/>
        <v>1592.9233207928571</v>
      </c>
      <c r="W8" s="874">
        <f t="shared" si="5"/>
        <v>1451.8453598494193</v>
      </c>
      <c r="X8" s="872">
        <f t="shared" si="6"/>
        <v>3447.2944243116094</v>
      </c>
      <c r="Y8" s="871">
        <f t="shared" ref="Y8:Y24" si="17">(Z8*(1+$X$102))*($D$2*((25/5)^$D$3))</f>
        <v>2268.5386128893888</v>
      </c>
      <c r="Z8" s="873">
        <f t="shared" ref="Z8:Z24" si="18">$B$24*H8^4+$B$25*H8^3+$B$26*H8^2+$B$27*H8+$B$28</f>
        <v>1905.0977377119052</v>
      </c>
      <c r="AA8" s="871">
        <f t="shared" si="7"/>
        <v>1704.8832720555245</v>
      </c>
      <c r="AB8" s="874">
        <f t="shared" si="8"/>
        <v>1582.0149310994045</v>
      </c>
      <c r="AC8" s="872">
        <f t="shared" ref="AC8:AE24" si="19">($AF8)*(1+$AD$102)*($D$2*((100/5)^$D$3))</f>
        <v>1715.6218958241664</v>
      </c>
      <c r="AD8" s="871">
        <f t="shared" si="19"/>
        <v>1715.6218958241664</v>
      </c>
      <c r="AE8" s="871">
        <f t="shared" si="19"/>
        <v>1715.6218958241664</v>
      </c>
      <c r="AF8" s="873">
        <f t="shared" ref="AF8:AF24" si="20">$B$32*$H8^4+$B$33*$H8^3+$B$34*$H8^2+$B$35*$H8+$B$36</f>
        <v>1859.2788806615754</v>
      </c>
      <c r="AG8" s="874">
        <f t="shared" si="9"/>
        <v>1715.6218958241664</v>
      </c>
      <c r="AH8" s="872">
        <f t="shared" si="10"/>
        <v>3977.1883216822989</v>
      </c>
      <c r="AI8" s="871">
        <f t="shared" si="11"/>
        <v>2617.2424423164039</v>
      </c>
      <c r="AJ8" s="871">
        <f t="shared" si="12"/>
        <v>2185.6275457936295</v>
      </c>
      <c r="AK8" s="871">
        <f t="shared" si="13"/>
        <v>1966.9459595998285</v>
      </c>
      <c r="AL8" s="875">
        <f t="shared" ref="AL8:AL24" si="21">$B$41*$H8^4+$B$42*$H8^3+$B$43*$H8^2+$B$44*$H8+$B$45</f>
        <v>1835.4697906900001</v>
      </c>
      <c r="AM8" s="26"/>
      <c r="AO8" s="35">
        <f t="shared" si="1"/>
        <v>25</v>
      </c>
      <c r="AP8" s="36">
        <v>29.73</v>
      </c>
      <c r="AQ8" s="36">
        <v>1554</v>
      </c>
      <c r="AR8" s="36">
        <v>1307</v>
      </c>
      <c r="AS8" s="800">
        <f t="shared" si="0"/>
        <v>0.65266694666106673</v>
      </c>
      <c r="AU8" s="938"/>
      <c r="AV8" s="938"/>
      <c r="AW8" s="938"/>
      <c r="AX8" s="938"/>
      <c r="AY8" s="938"/>
    </row>
    <row r="9" spans="1:58" ht="15.75" x14ac:dyDescent="0.25">
      <c r="A9" s="223" t="s">
        <v>597</v>
      </c>
      <c r="B9" s="878">
        <v>0.40499000000000002</v>
      </c>
      <c r="C9" t="s">
        <v>1227</v>
      </c>
      <c r="D9" s="878"/>
      <c r="E9" s="35" t="s">
        <v>1054</v>
      </c>
      <c r="F9" s="1035">
        <f>F2</f>
        <v>10</v>
      </c>
      <c r="H9" s="35">
        <v>200</v>
      </c>
      <c r="I9" s="417">
        <f t="shared" si="14"/>
        <v>2924.9523809523812</v>
      </c>
      <c r="J9" s="417">
        <f t="shared" si="14"/>
        <v>1946.2433862433863</v>
      </c>
      <c r="K9" s="417">
        <f t="shared" si="14"/>
        <v>1706.8461375661375</v>
      </c>
      <c r="L9" s="417">
        <f t="shared" si="14"/>
        <v>1665.94708994709</v>
      </c>
      <c r="M9" s="950">
        <f t="shared" si="14"/>
        <v>1639.8730158730159</v>
      </c>
      <c r="N9" s="870">
        <f t="shared" si="15"/>
        <v>2923.0360000000037</v>
      </c>
      <c r="O9" s="871">
        <v>1912.7714401703417</v>
      </c>
      <c r="P9" s="871">
        <v>1597.3323223138564</v>
      </c>
      <c r="Q9" s="871">
        <v>1437.5122438222195</v>
      </c>
      <c r="R9" s="871">
        <v>1333.9129256767644</v>
      </c>
      <c r="S9" s="872">
        <f t="shared" si="2"/>
        <v>2925.3174790694138</v>
      </c>
      <c r="T9" s="873">
        <f t="shared" si="16"/>
        <v>1935.8855999999978</v>
      </c>
      <c r="U9" s="871">
        <f t="shared" si="3"/>
        <v>1607.5815237587888</v>
      </c>
      <c r="V9" s="871">
        <f t="shared" si="4"/>
        <v>1472.921891040625</v>
      </c>
      <c r="W9" s="874">
        <f t="shared" si="5"/>
        <v>1342.4719099872145</v>
      </c>
      <c r="X9" s="872">
        <f t="shared" si="6"/>
        <v>3074.4175352517054</v>
      </c>
      <c r="Y9" s="871">
        <f t="shared" si="17"/>
        <v>2023.1619445314548</v>
      </c>
      <c r="Z9" s="873">
        <f t="shared" si="18"/>
        <v>1699.0326819443144</v>
      </c>
      <c r="AA9" s="871">
        <f t="shared" si="7"/>
        <v>1520.4744306722475</v>
      </c>
      <c r="AB9" s="874">
        <f t="shared" si="8"/>
        <v>1410.896154068208</v>
      </c>
      <c r="AC9" s="872">
        <f t="shared" si="19"/>
        <v>1513.8481782090503</v>
      </c>
      <c r="AD9" s="871">
        <f t="shared" si="19"/>
        <v>1513.8481782090503</v>
      </c>
      <c r="AE9" s="871">
        <f t="shared" si="19"/>
        <v>1513.8481782090503</v>
      </c>
      <c r="AF9" s="873">
        <f t="shared" si="20"/>
        <v>1640.6097130859671</v>
      </c>
      <c r="AG9" s="874">
        <f t="shared" si="9"/>
        <v>1513.8481782090503</v>
      </c>
      <c r="AH9" s="872">
        <f t="shared" si="10"/>
        <v>3505.6656753527823</v>
      </c>
      <c r="AI9" s="871">
        <f t="shared" si="11"/>
        <v>2306.9506022848122</v>
      </c>
      <c r="AJ9" s="871">
        <f t="shared" si="12"/>
        <v>1926.5065786860473</v>
      </c>
      <c r="AK9" s="871">
        <f t="shared" si="13"/>
        <v>1733.7511774967375</v>
      </c>
      <c r="AL9" s="875">
        <f t="shared" si="21"/>
        <v>1617.8623999999982</v>
      </c>
      <c r="AM9" s="26"/>
      <c r="AO9" s="35">
        <f t="shared" si="1"/>
        <v>30</v>
      </c>
      <c r="AP9" s="36">
        <v>35.67</v>
      </c>
      <c r="AQ9" s="36">
        <v>1482</v>
      </c>
      <c r="AR9" s="36">
        <v>1246</v>
      </c>
      <c r="AS9" s="800">
        <f t="shared" si="0"/>
        <v>0.62242755144897099</v>
      </c>
      <c r="AU9" s="938"/>
      <c r="AV9" s="938"/>
      <c r="AW9" s="938"/>
      <c r="AX9" s="938"/>
      <c r="AY9" s="938"/>
    </row>
    <row r="10" spans="1:58" ht="15.75" x14ac:dyDescent="0.25">
      <c r="A10" s="223"/>
      <c r="B10" s="860">
        <v>-132.32499999999999</v>
      </c>
      <c r="C10" t="s">
        <v>1228</v>
      </c>
      <c r="D10" s="860"/>
      <c r="E10" s="155" t="s">
        <v>1055</v>
      </c>
      <c r="F10" s="879">
        <f>F8*(0.9944*((F9/5)^-0.26))</f>
        <v>2427.322496164963</v>
      </c>
      <c r="H10" s="35">
        <v>210</v>
      </c>
      <c r="I10" s="417">
        <f t="shared" si="14"/>
        <v>2734.0529100529102</v>
      </c>
      <c r="J10" s="417">
        <f t="shared" si="14"/>
        <v>1813.0793650793653</v>
      </c>
      <c r="K10" s="417">
        <f t="shared" si="14"/>
        <v>1527.1212698412701</v>
      </c>
      <c r="L10" s="417">
        <f t="shared" si="14"/>
        <v>1485.2910052910054</v>
      </c>
      <c r="M10" s="950">
        <f t="shared" si="14"/>
        <v>1462.0105820105821</v>
      </c>
      <c r="N10" s="870">
        <f t="shared" si="15"/>
        <v>2729.9844120000052</v>
      </c>
      <c r="O10" s="871">
        <v>1786.4426628285889</v>
      </c>
      <c r="P10" s="871">
        <v>1491.8366864796021</v>
      </c>
      <c r="Q10" s="871">
        <v>1342.5719073230043</v>
      </c>
      <c r="R10" s="871">
        <v>1245.8147946391641</v>
      </c>
      <c r="S10" s="872">
        <f t="shared" si="2"/>
        <v>2722.4368770804131</v>
      </c>
      <c r="T10" s="873">
        <f t="shared" si="16"/>
        <v>1801.6254252599974</v>
      </c>
      <c r="U10" s="871">
        <f t="shared" si="3"/>
        <v>1496.0903404529925</v>
      </c>
      <c r="V10" s="871">
        <f t="shared" si="4"/>
        <v>1370.7698059848312</v>
      </c>
      <c r="W10" s="874">
        <f t="shared" si="5"/>
        <v>1249.3669696857703</v>
      </c>
      <c r="X10" s="872">
        <f t="shared" si="6"/>
        <v>2785.5037967460398</v>
      </c>
      <c r="Y10" s="871">
        <f t="shared" si="17"/>
        <v>1833.0383603745227</v>
      </c>
      <c r="Z10" s="873">
        <f t="shared" si="18"/>
        <v>1539.3686550659186</v>
      </c>
      <c r="AA10" s="871">
        <f t="shared" si="7"/>
        <v>1377.5901454276839</v>
      </c>
      <c r="AB10" s="874">
        <f t="shared" si="8"/>
        <v>1278.3093216548486</v>
      </c>
      <c r="AC10" s="872">
        <f t="shared" si="19"/>
        <v>1353.3676450793287</v>
      </c>
      <c r="AD10" s="871">
        <f t="shared" si="19"/>
        <v>1353.3676450793287</v>
      </c>
      <c r="AE10" s="871">
        <f t="shared" si="19"/>
        <v>1353.3676450793287</v>
      </c>
      <c r="AF10" s="873">
        <f t="shared" si="20"/>
        <v>1466.6914000056458</v>
      </c>
      <c r="AG10" s="874">
        <f t="shared" si="9"/>
        <v>1353.3676450793287</v>
      </c>
      <c r="AH10" s="872">
        <f t="shared" si="10"/>
        <v>3117.8960494955513</v>
      </c>
      <c r="AI10" s="871">
        <f t="shared" si="11"/>
        <v>2051.773567518349</v>
      </c>
      <c r="AJ10" s="871">
        <f t="shared" si="12"/>
        <v>1713.4113196370206</v>
      </c>
      <c r="AK10" s="871">
        <f t="shared" si="13"/>
        <v>1541.9770302487148</v>
      </c>
      <c r="AL10" s="875">
        <f t="shared" si="21"/>
        <v>1438.906973090001</v>
      </c>
      <c r="AM10" s="26"/>
      <c r="AO10" s="35">
        <f>AO9+5</f>
        <v>35</v>
      </c>
      <c r="AP10" s="36">
        <v>41.62</v>
      </c>
      <c r="AQ10" s="36">
        <v>1424</v>
      </c>
      <c r="AR10" s="36">
        <v>1197</v>
      </c>
      <c r="AS10" s="800">
        <f t="shared" si="0"/>
        <v>0.5980680386392272</v>
      </c>
      <c r="AU10" s="938"/>
      <c r="AV10" s="938"/>
      <c r="AW10" s="938"/>
      <c r="AX10" s="938"/>
      <c r="AY10" s="938"/>
    </row>
    <row r="11" spans="1:58" ht="16.5" thickBot="1" x14ac:dyDescent="0.3">
      <c r="A11" s="223" t="s">
        <v>600</v>
      </c>
      <c r="B11" s="122">
        <v>16552.5</v>
      </c>
      <c r="D11" s="122"/>
      <c r="E11" s="149" t="s">
        <v>1056</v>
      </c>
      <c r="F11" s="880">
        <f>F10*F9*1000</f>
        <v>24273224.96164963</v>
      </c>
      <c r="H11" s="35">
        <v>220</v>
      </c>
      <c r="I11" s="417">
        <f t="shared" si="14"/>
        <v>2553.3968253968255</v>
      </c>
      <c r="J11" s="417">
        <f t="shared" si="14"/>
        <v>1682.7089947089949</v>
      </c>
      <c r="K11" s="417">
        <f t="shared" si="14"/>
        <v>1413.8480423280421</v>
      </c>
      <c r="L11" s="417">
        <f t="shared" si="14"/>
        <v>1312.0846560846562</v>
      </c>
      <c r="M11" s="950">
        <f t="shared" si="14"/>
        <v>1290.6666666666667</v>
      </c>
      <c r="N11" s="870">
        <f t="shared" si="15"/>
        <v>2564.9468160000033</v>
      </c>
      <c r="O11" s="871">
        <v>1678.4456350180608</v>
      </c>
      <c r="P11" s="871">
        <v>1401.6496732208607</v>
      </c>
      <c r="Q11" s="871">
        <v>1261.4084988186316</v>
      </c>
      <c r="R11" s="871">
        <v>1170.500709377463</v>
      </c>
      <c r="S11" s="872">
        <f t="shared" si="2"/>
        <v>2550.9939014973174</v>
      </c>
      <c r="T11" s="873">
        <f t="shared" si="16"/>
        <v>1688.1697097600008</v>
      </c>
      <c r="U11" s="871">
        <f t="shared" si="3"/>
        <v>1401.8754178343067</v>
      </c>
      <c r="V11" s="871">
        <f t="shared" si="4"/>
        <v>1284.446829552948</v>
      </c>
      <c r="W11" s="874">
        <f t="shared" si="5"/>
        <v>1170.689225977027</v>
      </c>
      <c r="X11" s="872">
        <f t="shared" si="6"/>
        <v>2564.6797811719198</v>
      </c>
      <c r="Y11" s="871">
        <f t="shared" si="17"/>
        <v>1687.722137179223</v>
      </c>
      <c r="Z11" s="873">
        <f t="shared" si="18"/>
        <v>1417.3334353481478</v>
      </c>
      <c r="AA11" s="871">
        <f t="shared" si="7"/>
        <v>1268.3801030346197</v>
      </c>
      <c r="AB11" s="874">
        <f t="shared" si="8"/>
        <v>1176.9698806950455</v>
      </c>
      <c r="AC11" s="872">
        <f t="shared" si="19"/>
        <v>1227.6265787244195</v>
      </c>
      <c r="AD11" s="871">
        <f t="shared" si="19"/>
        <v>1227.6265787244195</v>
      </c>
      <c r="AE11" s="871">
        <f t="shared" si="19"/>
        <v>1227.6265787244195</v>
      </c>
      <c r="AF11" s="873">
        <f t="shared" si="20"/>
        <v>1330.4214505053569</v>
      </c>
      <c r="AG11" s="874">
        <f t="shared" si="9"/>
        <v>1227.6265787244195</v>
      </c>
      <c r="AH11" s="872">
        <f t="shared" si="10"/>
        <v>2803.7646255133791</v>
      </c>
      <c r="AI11" s="871">
        <f t="shared" si="11"/>
        <v>1845.055145152151</v>
      </c>
      <c r="AJ11" s="871">
        <f t="shared" si="12"/>
        <v>1540.7832623957177</v>
      </c>
      <c r="AK11" s="871">
        <f t="shared" si="13"/>
        <v>1386.6211644435673</v>
      </c>
      <c r="AL11" s="875">
        <f t="shared" si="21"/>
        <v>1293.9355278399998</v>
      </c>
      <c r="AM11" s="26"/>
      <c r="AO11" s="35">
        <f t="shared" si="1"/>
        <v>40</v>
      </c>
      <c r="AP11" s="36">
        <v>47.56</v>
      </c>
      <c r="AQ11" s="36">
        <v>1375</v>
      </c>
      <c r="AR11" s="36">
        <v>1157</v>
      </c>
      <c r="AS11" s="800">
        <f t="shared" si="0"/>
        <v>0.57748845023099538</v>
      </c>
      <c r="AU11" s="938"/>
      <c r="AV11" s="938"/>
      <c r="AW11" s="938"/>
      <c r="AX11" s="938"/>
      <c r="AY11" s="938"/>
    </row>
    <row r="12" spans="1:58" x14ac:dyDescent="0.25">
      <c r="A12" s="845"/>
      <c r="H12" s="35">
        <v>230</v>
      </c>
      <c r="I12" s="417">
        <f t="shared" si="14"/>
        <v>2415.5767195767198</v>
      </c>
      <c r="J12" s="417">
        <f t="shared" si="14"/>
        <v>1584.931216931217</v>
      </c>
      <c r="K12" s="417">
        <f t="shared" si="14"/>
        <v>1329.1631746031746</v>
      </c>
      <c r="L12" s="417">
        <f t="shared" si="14"/>
        <v>1200.3386243386244</v>
      </c>
      <c r="M12" s="950">
        <f t="shared" si="14"/>
        <v>1161.2275132275133</v>
      </c>
      <c r="N12" s="870">
        <f t="shared" si="15"/>
        <v>2425.400164000006</v>
      </c>
      <c r="O12" s="871">
        <v>1587.1293287813317</v>
      </c>
      <c r="P12" s="871">
        <v>1325.3925290357467</v>
      </c>
      <c r="Q12" s="871">
        <v>1192.7812151196304</v>
      </c>
      <c r="R12" s="871">
        <v>1106.819289498367</v>
      </c>
      <c r="S12" s="872">
        <f t="shared" si="2"/>
        <v>2407.2119820663702</v>
      </c>
      <c r="T12" s="873">
        <f t="shared" si="16"/>
        <v>1593.0192348599994</v>
      </c>
      <c r="U12" s="871">
        <f t="shared" si="3"/>
        <v>1322.8613761852976</v>
      </c>
      <c r="V12" s="871">
        <f t="shared" si="4"/>
        <v>1212.0514269407668</v>
      </c>
      <c r="W12" s="874">
        <f t="shared" si="5"/>
        <v>1104.7055543307295</v>
      </c>
      <c r="X12" s="872">
        <f t="shared" si="6"/>
        <v>2397.7884900739518</v>
      </c>
      <c r="Y12" s="871">
        <f t="shared" si="17"/>
        <v>1577.8970710808126</v>
      </c>
      <c r="Z12" s="873">
        <f t="shared" si="18"/>
        <v>1325.1033609824954</v>
      </c>
      <c r="AA12" s="871">
        <f t="shared" si="7"/>
        <v>1185.8428621079202</v>
      </c>
      <c r="AB12" s="874">
        <f t="shared" si="8"/>
        <v>1100.3809730214093</v>
      </c>
      <c r="AC12" s="872">
        <f t="shared" si="19"/>
        <v>1130.6431593653106</v>
      </c>
      <c r="AD12" s="871">
        <f t="shared" si="19"/>
        <v>1130.6431593653106</v>
      </c>
      <c r="AE12" s="871">
        <f t="shared" si="19"/>
        <v>1130.6431593653106</v>
      </c>
      <c r="AF12" s="873">
        <f t="shared" si="20"/>
        <v>1225.3171592698382</v>
      </c>
      <c r="AG12" s="874">
        <f t="shared" si="9"/>
        <v>1130.6431593653106</v>
      </c>
      <c r="AH12" s="872">
        <f t="shared" si="10"/>
        <v>2553.6738149297557</v>
      </c>
      <c r="AI12" s="871">
        <f t="shared" si="11"/>
        <v>1680.4795125816759</v>
      </c>
      <c r="AJ12" s="871">
        <f t="shared" si="12"/>
        <v>1403.3481398038318</v>
      </c>
      <c r="AK12" s="871">
        <f t="shared" si="13"/>
        <v>1262.9370263984194</v>
      </c>
      <c r="AL12" s="875">
        <f t="shared" si="21"/>
        <v>1178.5187834899989</v>
      </c>
      <c r="AM12" s="26"/>
      <c r="AO12" s="35">
        <f>AO11+5</f>
        <v>45</v>
      </c>
      <c r="AP12" s="36">
        <v>53.51</v>
      </c>
      <c r="AQ12" s="36">
        <v>1334</v>
      </c>
      <c r="AR12" s="36">
        <v>1122</v>
      </c>
      <c r="AS12" s="800">
        <f t="shared" si="0"/>
        <v>0.5602687946241075</v>
      </c>
      <c r="AU12" s="938"/>
      <c r="AV12" s="938"/>
      <c r="AW12" s="938"/>
      <c r="AX12" s="938"/>
      <c r="AY12" s="938"/>
      <c r="BA12" s="32" t="s">
        <v>1229</v>
      </c>
      <c r="BB12" s="33"/>
      <c r="BC12" s="33"/>
      <c r="BD12" s="33"/>
      <c r="BE12" s="33"/>
      <c r="BF12" s="34"/>
    </row>
    <row r="13" spans="1:58" ht="15.75" thickBot="1" x14ac:dyDescent="0.3">
      <c r="A13" s="845"/>
      <c r="E13" t="s">
        <v>1230</v>
      </c>
      <c r="H13" s="35">
        <v>240</v>
      </c>
      <c r="I13" s="417">
        <f t="shared" si="14"/>
        <v>2305.6931216931221</v>
      </c>
      <c r="J13" s="417">
        <f t="shared" si="14"/>
        <v>1508.5714285714287</v>
      </c>
      <c r="K13" s="417">
        <f t="shared" si="14"/>
        <v>1261.9665608465607</v>
      </c>
      <c r="L13" s="417">
        <f t="shared" si="14"/>
        <v>1138.8783068783071</v>
      </c>
      <c r="M13" s="950">
        <f t="shared" si="14"/>
        <v>1059.7248677248679</v>
      </c>
      <c r="N13" s="870">
        <f t="shared" si="15"/>
        <v>2308.8214080000071</v>
      </c>
      <c r="O13" s="871">
        <v>1510.8427161609654</v>
      </c>
      <c r="P13" s="871">
        <v>1261.6865004223671</v>
      </c>
      <c r="Q13" s="871">
        <v>1135.4492530365217</v>
      </c>
      <c r="R13" s="871">
        <v>1053.6191546085756</v>
      </c>
      <c r="S13" s="872">
        <f t="shared" si="2"/>
        <v>2287.550296876741</v>
      </c>
      <c r="T13" s="873">
        <f t="shared" si="16"/>
        <v>1513.8307929600014</v>
      </c>
      <c r="U13" s="871">
        <f t="shared" si="3"/>
        <v>1257.1023891389125</v>
      </c>
      <c r="V13" s="871">
        <f t="shared" si="4"/>
        <v>1151.8007646124215</v>
      </c>
      <c r="W13" s="874">
        <f t="shared" si="5"/>
        <v>1049.7910186544468</v>
      </c>
      <c r="X13" s="872">
        <f t="shared" si="6"/>
        <v>2272.3893541638122</v>
      </c>
      <c r="Y13" s="871">
        <f t="shared" si="17"/>
        <v>1495.3764775890274</v>
      </c>
      <c r="Z13" s="873">
        <f t="shared" si="18"/>
        <v>1255.8033300803945</v>
      </c>
      <c r="AA13" s="871">
        <f t="shared" si="7"/>
        <v>1123.8258531644192</v>
      </c>
      <c r="AB13" s="874">
        <f t="shared" si="8"/>
        <v>1042.8334354633373</v>
      </c>
      <c r="AC13" s="872">
        <f t="shared" si="19"/>
        <v>1057.0074651545888</v>
      </c>
      <c r="AD13" s="871">
        <f t="shared" si="19"/>
        <v>1057.0074651545888</v>
      </c>
      <c r="AE13" s="871">
        <f t="shared" si="19"/>
        <v>1057.0074651545888</v>
      </c>
      <c r="AF13" s="873">
        <f t="shared" si="20"/>
        <v>1145.5156065838491</v>
      </c>
      <c r="AG13" s="874">
        <f t="shared" si="9"/>
        <v>1057.0074651545888</v>
      </c>
      <c r="AH13" s="872">
        <f t="shared" si="10"/>
        <v>2358.5432593888822</v>
      </c>
      <c r="AI13" s="871">
        <f t="shared" si="11"/>
        <v>1552.0712174626931</v>
      </c>
      <c r="AJ13" s="871">
        <f t="shared" si="12"/>
        <v>1296.1159237955765</v>
      </c>
      <c r="AK13" s="871">
        <f t="shared" si="13"/>
        <v>1166.4338621597083</v>
      </c>
      <c r="AL13" s="875">
        <f t="shared" si="21"/>
        <v>1088.4661606400114</v>
      </c>
      <c r="AM13" s="26"/>
      <c r="AO13" s="35">
        <f t="shared" si="1"/>
        <v>50</v>
      </c>
      <c r="AP13" s="36">
        <v>59.45</v>
      </c>
      <c r="AQ13" s="36">
        <v>1298</v>
      </c>
      <c r="AR13" s="36">
        <v>1092</v>
      </c>
      <c r="AS13" s="800">
        <f t="shared" si="0"/>
        <v>0.54514909701805969</v>
      </c>
      <c r="AU13" s="938"/>
      <c r="AV13" s="938"/>
      <c r="AW13" s="938"/>
      <c r="AX13" s="938"/>
      <c r="AY13" s="938"/>
      <c r="BA13" s="35" t="s">
        <v>1231</v>
      </c>
      <c r="BB13" s="36"/>
      <c r="BC13" s="36"/>
      <c r="BD13" s="36"/>
      <c r="BE13" s="36"/>
      <c r="BF13" s="37"/>
    </row>
    <row r="14" spans="1:58" x14ac:dyDescent="0.25">
      <c r="A14" s="845"/>
      <c r="E14" s="32" t="s">
        <v>509</v>
      </c>
      <c r="F14" s="1034">
        <f>F1</f>
        <v>200</v>
      </c>
      <c r="H14" s="35">
        <v>250</v>
      </c>
      <c r="I14" s="417">
        <f t="shared" si="14"/>
        <v>2217.2275132275136</v>
      </c>
      <c r="J14" s="417">
        <f t="shared" si="14"/>
        <v>1447.1111111111113</v>
      </c>
      <c r="K14" s="417">
        <f t="shared" si="14"/>
        <v>1209.110687830688</v>
      </c>
      <c r="L14" s="417">
        <f t="shared" si="14"/>
        <v>1089.5238095238096</v>
      </c>
      <c r="M14" s="950">
        <f t="shared" si="14"/>
        <v>1013.1640211640213</v>
      </c>
      <c r="N14" s="870">
        <f t="shared" si="15"/>
        <v>2212.6875</v>
      </c>
      <c r="O14" s="871">
        <v>1447.9347691995267</v>
      </c>
      <c r="P14" s="871">
        <v>1209.1528338788289</v>
      </c>
      <c r="Q14" s="871">
        <v>1088.1718093798274</v>
      </c>
      <c r="R14" s="871">
        <v>1009.7489243147885</v>
      </c>
      <c r="S14" s="872">
        <f t="shared" si="2"/>
        <v>2188.7037723604703</v>
      </c>
      <c r="T14" s="873">
        <f t="shared" si="16"/>
        <v>1448.4171874999993</v>
      </c>
      <c r="U14" s="871">
        <f t="shared" si="3"/>
        <v>1202.7821836784522</v>
      </c>
      <c r="V14" s="871">
        <f t="shared" si="4"/>
        <v>1102.0307103003631</v>
      </c>
      <c r="W14" s="874">
        <f t="shared" si="5"/>
        <v>1004.4288712935494</v>
      </c>
      <c r="X14" s="872">
        <f t="shared" si="6"/>
        <v>2177.7582333204628</v>
      </c>
      <c r="Y14" s="871">
        <f t="shared" si="17"/>
        <v>1433.1031915882218</v>
      </c>
      <c r="Z14" s="873">
        <f t="shared" si="18"/>
        <v>1203.5068006733345</v>
      </c>
      <c r="AA14" s="871">
        <f t="shared" si="7"/>
        <v>1077.0253786230235</v>
      </c>
      <c r="AB14" s="874">
        <f t="shared" si="8"/>
        <v>999.40579984711178</v>
      </c>
      <c r="AC14" s="872">
        <f t="shared" si="19"/>
        <v>1001.8814721763714</v>
      </c>
      <c r="AD14" s="871">
        <f t="shared" si="19"/>
        <v>1001.8814721763714</v>
      </c>
      <c r="AE14" s="871">
        <f t="shared" si="19"/>
        <v>1001.8814721763714</v>
      </c>
      <c r="AF14" s="873">
        <f t="shared" si="20"/>
        <v>1085.7736583320984</v>
      </c>
      <c r="AG14" s="874">
        <f t="shared" si="9"/>
        <v>1001.8814721763714</v>
      </c>
      <c r="AH14" s="872">
        <f t="shared" si="10"/>
        <v>2209.8098306555421</v>
      </c>
      <c r="AI14" s="871">
        <f t="shared" si="11"/>
        <v>1454.1951777112026</v>
      </c>
      <c r="AJ14" s="871">
        <f t="shared" si="12"/>
        <v>1214.3808253976158</v>
      </c>
      <c r="AK14" s="871">
        <f t="shared" si="13"/>
        <v>1092.8767175031214</v>
      </c>
      <c r="AL14" s="875">
        <f t="shared" si="21"/>
        <v>1019.8257812500015</v>
      </c>
      <c r="AM14" s="26"/>
      <c r="AO14" s="35">
        <v>55</v>
      </c>
      <c r="AP14" s="36"/>
      <c r="AQ14" s="36">
        <v>1267</v>
      </c>
      <c r="AR14" s="36">
        <v>1066</v>
      </c>
      <c r="AS14" s="800">
        <f t="shared" si="0"/>
        <v>0.53212935741285172</v>
      </c>
      <c r="AU14" s="938"/>
      <c r="AV14" s="938"/>
      <c r="AW14" s="938"/>
      <c r="AX14" s="938"/>
      <c r="AY14" s="938"/>
      <c r="BA14" s="35" t="s">
        <v>1062</v>
      </c>
      <c r="BB14" s="36"/>
      <c r="BC14" s="36"/>
      <c r="BD14" s="36"/>
      <c r="BE14" s="36"/>
      <c r="BF14" s="37"/>
    </row>
    <row r="15" spans="1:58" x14ac:dyDescent="0.25">
      <c r="A15" s="845"/>
      <c r="B15" s="881">
        <v>6.5004600000000002E-7</v>
      </c>
      <c r="C15" t="s">
        <v>1225</v>
      </c>
      <c r="D15" s="881"/>
      <c r="E15" s="35" t="s">
        <v>1232</v>
      </c>
      <c r="F15" s="877">
        <f>0.000000650046*F14^4 - 0.000975576*F14^3 + 0.546568*F14^2 - 136.913*F14 + 14220.3</f>
        <v>1935.8855999999978</v>
      </c>
      <c r="H15" s="35">
        <v>260</v>
      </c>
      <c r="I15" s="417">
        <f t="shared" si="14"/>
        <v>2142.730158730159</v>
      </c>
      <c r="J15" s="417">
        <f t="shared" si="14"/>
        <v>1395.8941798941801</v>
      </c>
      <c r="K15" s="417">
        <f t="shared" si="14"/>
        <v>1165.6228571428574</v>
      </c>
      <c r="L15" s="417">
        <f t="shared" si="14"/>
        <v>1049.4814814814815</v>
      </c>
      <c r="M15" s="950">
        <f t="shared" si="14"/>
        <v>974.9841269841271</v>
      </c>
      <c r="N15" s="870">
        <f t="shared" si="15"/>
        <v>2134.4753920000003</v>
      </c>
      <c r="O15" s="871">
        <v>1396.7544599395937</v>
      </c>
      <c r="P15" s="871">
        <v>1166.412775903251</v>
      </c>
      <c r="Q15" s="871">
        <v>1049.70808096008</v>
      </c>
      <c r="R15" s="871">
        <v>974.05721822371515</v>
      </c>
      <c r="S15" s="872">
        <f t="shared" si="2"/>
        <v>2107.6030832925135</v>
      </c>
      <c r="T15" s="873">
        <f t="shared" si="16"/>
        <v>1394.747232959995</v>
      </c>
      <c r="U15" s="871">
        <f t="shared" si="3"/>
        <v>1158.2140401375916</v>
      </c>
      <c r="V15" s="871">
        <f t="shared" si="4"/>
        <v>1061.1958330053787</v>
      </c>
      <c r="W15" s="874">
        <f t="shared" si="5"/>
        <v>967.21055303122728</v>
      </c>
      <c r="X15" s="872">
        <f t="shared" si="6"/>
        <v>2104.887416589992</v>
      </c>
      <c r="Y15" s="871">
        <f t="shared" si="17"/>
        <v>1385.1495673372642</v>
      </c>
      <c r="Z15" s="873">
        <f t="shared" si="18"/>
        <v>1163.2357907127735</v>
      </c>
      <c r="AA15" s="871">
        <f t="shared" si="7"/>
        <v>1040.9866128046344</v>
      </c>
      <c r="AB15" s="874">
        <f t="shared" si="8"/>
        <v>965.96429299582667</v>
      </c>
      <c r="AC15" s="872">
        <f t="shared" si="19"/>
        <v>960.99905444637989</v>
      </c>
      <c r="AD15" s="871">
        <f t="shared" si="19"/>
        <v>960.99905444637989</v>
      </c>
      <c r="AE15" s="871">
        <f t="shared" si="19"/>
        <v>960.99905444637989</v>
      </c>
      <c r="AF15" s="873">
        <f t="shared" si="20"/>
        <v>1041.4679659993235</v>
      </c>
      <c r="AG15" s="874">
        <f t="shared" si="9"/>
        <v>960.99905444637989</v>
      </c>
      <c r="AH15" s="872">
        <f t="shared" si="10"/>
        <v>2099.4276306153643</v>
      </c>
      <c r="AI15" s="871">
        <f t="shared" si="11"/>
        <v>1381.5566815036068</v>
      </c>
      <c r="AJ15" s="871">
        <f t="shared" si="12"/>
        <v>1153.7212947292091</v>
      </c>
      <c r="AK15" s="871">
        <f t="shared" si="13"/>
        <v>1038.2864379337268</v>
      </c>
      <c r="AL15" s="875">
        <f t="shared" si="21"/>
        <v>968.88446864000434</v>
      </c>
      <c r="AM15" s="26"/>
      <c r="AO15" s="35">
        <v>60</v>
      </c>
      <c r="AP15" s="36"/>
      <c r="AQ15" s="36">
        <v>1239</v>
      </c>
      <c r="AR15" s="36">
        <v>1042</v>
      </c>
      <c r="AS15" s="800">
        <f t="shared" si="0"/>
        <v>0.52036959260814786</v>
      </c>
      <c r="AU15" s="938"/>
      <c r="AV15" s="938"/>
      <c r="AW15" s="938"/>
      <c r="AX15" s="938"/>
      <c r="AY15" s="938"/>
      <c r="BA15" s="35" t="s">
        <v>1063</v>
      </c>
      <c r="BB15" s="36"/>
      <c r="BC15" s="36"/>
      <c r="BD15" s="36"/>
      <c r="BE15" s="36"/>
      <c r="BF15" s="37"/>
    </row>
    <row r="16" spans="1:58" x14ac:dyDescent="0.25">
      <c r="A16" s="845"/>
      <c r="B16" s="881">
        <v>-9.7557600000000003E-4</v>
      </c>
      <c r="C16" t="s">
        <v>1226</v>
      </c>
      <c r="D16" s="881"/>
      <c r="E16" s="35" t="s">
        <v>1053</v>
      </c>
      <c r="F16" s="877">
        <f>F15*(1+R102)</f>
        <v>2941.7915115340043</v>
      </c>
      <c r="H16" s="35">
        <v>270</v>
      </c>
      <c r="I16" s="417">
        <f t="shared" si="14"/>
        <v>2081.2698412698414</v>
      </c>
      <c r="J16" s="417">
        <f t="shared" si="14"/>
        <v>1353.9894179894181</v>
      </c>
      <c r="K16" s="417">
        <f t="shared" si="14"/>
        <v>1129.92</v>
      </c>
      <c r="L16" s="417">
        <f t="shared" si="14"/>
        <v>1017.8201058201059</v>
      </c>
      <c r="M16" s="950">
        <f t="shared" si="14"/>
        <v>945.18518518518522</v>
      </c>
      <c r="N16" s="870">
        <f t="shared" si="15"/>
        <v>2071.6620360000015</v>
      </c>
      <c r="O16" s="871">
        <v>1355.6507604237308</v>
      </c>
      <c r="P16" s="871">
        <v>1132.0875729937402</v>
      </c>
      <c r="Q16" s="871">
        <v>1018.8172645878007</v>
      </c>
      <c r="R16" s="871">
        <v>945.39265594205517</v>
      </c>
      <c r="S16" s="872">
        <f t="shared" si="2"/>
        <v>2041.4146527907365</v>
      </c>
      <c r="T16" s="873">
        <f t="shared" si="16"/>
        <v>1350.9457548600003</v>
      </c>
      <c r="U16" s="871">
        <f t="shared" si="3"/>
        <v>1121.8407922003803</v>
      </c>
      <c r="V16" s="871">
        <f t="shared" si="4"/>
        <v>1027.8694029965916</v>
      </c>
      <c r="W16" s="874">
        <f t="shared" si="5"/>
        <v>936.83569308848928</v>
      </c>
      <c r="X16" s="872">
        <f t="shared" si="6"/>
        <v>2046.4856221856119</v>
      </c>
      <c r="Y16" s="871">
        <f t="shared" si="17"/>
        <v>1346.7174784695374</v>
      </c>
      <c r="Z16" s="873">
        <f t="shared" si="18"/>
        <v>1130.9608780701383</v>
      </c>
      <c r="AA16" s="871">
        <f t="shared" si="7"/>
        <v>1012.1036019321483</v>
      </c>
      <c r="AB16" s="874">
        <f t="shared" si="8"/>
        <v>939.16283672938766</v>
      </c>
      <c r="AC16" s="872">
        <f t="shared" si="19"/>
        <v>930.66598391195384</v>
      </c>
      <c r="AD16" s="871">
        <f t="shared" si="19"/>
        <v>930.66598391195384</v>
      </c>
      <c r="AE16" s="871">
        <f t="shared" si="19"/>
        <v>930.66598391195384</v>
      </c>
      <c r="AF16" s="873">
        <f t="shared" si="20"/>
        <v>1008.5949666703054</v>
      </c>
      <c r="AG16" s="874">
        <f t="shared" si="9"/>
        <v>930.66598391195384</v>
      </c>
      <c r="AH16" s="872">
        <f t="shared" si="10"/>
        <v>2019.8679912745752</v>
      </c>
      <c r="AI16" s="871">
        <f t="shared" si="11"/>
        <v>1329.2013872765483</v>
      </c>
      <c r="AJ16" s="871">
        <f t="shared" si="12"/>
        <v>1110.0000210020746</v>
      </c>
      <c r="AK16" s="871">
        <f t="shared" si="13"/>
        <v>998.93966868584994</v>
      </c>
      <c r="AL16" s="875">
        <f t="shared" si="21"/>
        <v>932.16774749001343</v>
      </c>
      <c r="AM16" s="26"/>
      <c r="AO16" s="35">
        <v>65</v>
      </c>
      <c r="AP16" s="36"/>
      <c r="AQ16" s="36">
        <v>1214</v>
      </c>
      <c r="AR16" s="36">
        <v>1021</v>
      </c>
      <c r="AS16" s="800">
        <f t="shared" si="0"/>
        <v>0.50986980260394787</v>
      </c>
      <c r="AU16" s="938"/>
      <c r="AV16" s="938"/>
      <c r="AW16" s="938"/>
      <c r="AX16" s="938"/>
      <c r="AY16" s="938"/>
      <c r="BA16" s="35" t="s">
        <v>1064</v>
      </c>
      <c r="BB16" s="36"/>
      <c r="BC16" s="36"/>
      <c r="BD16" s="36"/>
      <c r="BE16" s="36"/>
      <c r="BF16" s="37"/>
    </row>
    <row r="17" spans="1:58" x14ac:dyDescent="0.25">
      <c r="A17" s="845"/>
      <c r="B17" s="881">
        <v>0.54656800000000005</v>
      </c>
      <c r="C17" t="s">
        <v>1227</v>
      </c>
      <c r="D17" s="881"/>
      <c r="E17" s="35" t="s">
        <v>1054</v>
      </c>
      <c r="F17" s="1035">
        <f>F2</f>
        <v>10</v>
      </c>
      <c r="H17" s="35">
        <v>280</v>
      </c>
      <c r="I17" s="417">
        <f t="shared" si="14"/>
        <v>2030.0529100529102</v>
      </c>
      <c r="J17" s="417">
        <f t="shared" si="14"/>
        <v>1318.6031746031747</v>
      </c>
      <c r="K17" s="417">
        <f t="shared" si="14"/>
        <v>1099.4692063492062</v>
      </c>
      <c r="L17" s="417">
        <f t="shared" si="14"/>
        <v>989.88359788359799</v>
      </c>
      <c r="M17" s="950">
        <f t="shared" si="14"/>
        <v>919.1111111111112</v>
      </c>
      <c r="N17" s="870">
        <f t="shared" si="15"/>
        <v>2021.724384000001</v>
      </c>
      <c r="O17" s="871">
        <v>1322.9726426945047</v>
      </c>
      <c r="P17" s="871">
        <v>1104.7984716484054</v>
      </c>
      <c r="Q17" s="871">
        <v>994.25855707351275</v>
      </c>
      <c r="R17" s="871">
        <v>922.6038570765096</v>
      </c>
      <c r="S17" s="872">
        <f t="shared" si="2"/>
        <v>1987.5406523158747</v>
      </c>
      <c r="T17" s="873">
        <f t="shared" si="16"/>
        <v>1315.2935897600073</v>
      </c>
      <c r="U17" s="871">
        <f t="shared" si="3"/>
        <v>1092.2348269012189</v>
      </c>
      <c r="V17" s="871">
        <f t="shared" si="4"/>
        <v>1000.7433918114398</v>
      </c>
      <c r="W17" s="874">
        <f t="shared" si="5"/>
        <v>912.11210912414401</v>
      </c>
      <c r="X17" s="872">
        <f t="shared" si="6"/>
        <v>1996.9779974877929</v>
      </c>
      <c r="Y17" s="871">
        <f t="shared" si="17"/>
        <v>1314.1383179930237</v>
      </c>
      <c r="Z17" s="873">
        <f t="shared" si="18"/>
        <v>1103.6012005368975</v>
      </c>
      <c r="AA17" s="871">
        <f t="shared" si="7"/>
        <v>987.61926413052015</v>
      </c>
      <c r="AB17" s="874">
        <f t="shared" si="8"/>
        <v>916.44304786457224</v>
      </c>
      <c r="AC17" s="872">
        <f t="shared" si="19"/>
        <v>907.75993045192956</v>
      </c>
      <c r="AD17" s="871">
        <f t="shared" si="19"/>
        <v>907.75993045192956</v>
      </c>
      <c r="AE17" s="871">
        <f t="shared" si="19"/>
        <v>907.75993045192956</v>
      </c>
      <c r="AF17" s="873">
        <f t="shared" si="20"/>
        <v>983.77088302973789</v>
      </c>
      <c r="AG17" s="874">
        <f t="shared" si="9"/>
        <v>907.75993045192956</v>
      </c>
      <c r="AH17" s="872">
        <f t="shared" si="10"/>
        <v>1964.1194747600507</v>
      </c>
      <c r="AI17" s="871">
        <f t="shared" si="11"/>
        <v>1292.5153237269415</v>
      </c>
      <c r="AJ17" s="871">
        <f t="shared" si="12"/>
        <v>1079.3639325204167</v>
      </c>
      <c r="AK17" s="871">
        <f t="shared" si="13"/>
        <v>971.36885472309905</v>
      </c>
      <c r="AL17" s="875">
        <f t="shared" si="21"/>
        <v>906.43984384000214</v>
      </c>
      <c r="AM17" s="26"/>
      <c r="AO17" s="35">
        <v>70</v>
      </c>
      <c r="AP17" s="36"/>
      <c r="AQ17" s="36">
        <v>1191</v>
      </c>
      <c r="AR17" s="36">
        <v>1002</v>
      </c>
      <c r="AS17" s="800">
        <f t="shared" si="0"/>
        <v>0.50020999580008396</v>
      </c>
      <c r="AU17" s="938"/>
      <c r="AV17" s="938"/>
      <c r="AW17" s="938"/>
      <c r="AX17" s="938"/>
      <c r="AY17" s="938"/>
      <c r="BA17" s="35" t="s">
        <v>1067</v>
      </c>
      <c r="BB17" s="36"/>
      <c r="BC17" s="36"/>
      <c r="BD17" s="36"/>
      <c r="BE17" s="36"/>
      <c r="BF17" s="37"/>
    </row>
    <row r="18" spans="1:58" x14ac:dyDescent="0.25">
      <c r="A18" s="845"/>
      <c r="B18" s="882">
        <v>-136.91300000000001</v>
      </c>
      <c r="C18" t="s">
        <v>1228</v>
      </c>
      <c r="D18" s="882"/>
      <c r="E18" s="155" t="s">
        <v>1055</v>
      </c>
      <c r="F18" s="879">
        <f>F16*(0.9944*((F17/5)^-0.26))</f>
        <v>2442.8972872635195</v>
      </c>
      <c r="H18" s="35">
        <v>290</v>
      </c>
      <c r="I18" s="417">
        <f t="shared" si="14"/>
        <v>1986.2857142857144</v>
      </c>
      <c r="J18" s="417">
        <f t="shared" si="14"/>
        <v>1288.8042328042329</v>
      </c>
      <c r="K18" s="417">
        <f t="shared" si="14"/>
        <v>1073.7117460317461</v>
      </c>
      <c r="L18" s="417">
        <f t="shared" si="14"/>
        <v>966.60317460317469</v>
      </c>
      <c r="M18" s="950">
        <f t="shared" si="14"/>
        <v>896.76190476190482</v>
      </c>
      <c r="N18" s="870">
        <f t="shared" si="15"/>
        <v>1982.1393879999996</v>
      </c>
      <c r="O18" s="871">
        <v>1297.0690787944843</v>
      </c>
      <c r="P18" s="871">
        <v>1083.1667183653576</v>
      </c>
      <c r="Q18" s="871">
        <v>974.79115522774157</v>
      </c>
      <c r="R18" s="871">
        <v>904.53944123378142</v>
      </c>
      <c r="S18" s="872">
        <f t="shared" si="2"/>
        <v>1943.6190016715479</v>
      </c>
      <c r="T18" s="873">
        <f t="shared" si="16"/>
        <v>1286.2275852599996</v>
      </c>
      <c r="U18" s="871">
        <f t="shared" si="3"/>
        <v>1068.0980846248663</v>
      </c>
      <c r="V18" s="871">
        <f t="shared" si="4"/>
        <v>978.62847225568362</v>
      </c>
      <c r="W18" s="874">
        <f t="shared" si="5"/>
        <v>891.95580723480589</v>
      </c>
      <c r="X18" s="872">
        <f t="shared" si="6"/>
        <v>1952.5061190442111</v>
      </c>
      <c r="Y18" s="871">
        <f t="shared" si="17"/>
        <v>1284.872998290273</v>
      </c>
      <c r="Z18" s="873">
        <f t="shared" si="18"/>
        <v>1079.0244558245322</v>
      </c>
      <c r="AA18" s="871">
        <f t="shared" si="7"/>
        <v>965.62538942674007</v>
      </c>
      <c r="AB18" s="874">
        <f t="shared" si="8"/>
        <v>896.03423821500678</v>
      </c>
      <c r="AC18" s="872">
        <f t="shared" si="19"/>
        <v>889.73046187679506</v>
      </c>
      <c r="AD18" s="871">
        <f t="shared" si="19"/>
        <v>889.73046187679506</v>
      </c>
      <c r="AE18" s="871">
        <f t="shared" si="19"/>
        <v>889.73046187679506</v>
      </c>
      <c r="AF18" s="873">
        <f t="shared" si="20"/>
        <v>964.2317233623944</v>
      </c>
      <c r="AG18" s="874">
        <f t="shared" si="9"/>
        <v>889.73046187679506</v>
      </c>
      <c r="AH18" s="872">
        <f t="shared" si="10"/>
        <v>1925.6878733194856</v>
      </c>
      <c r="AI18" s="871">
        <f t="shared" si="11"/>
        <v>1267.2248898120874</v>
      </c>
      <c r="AJ18" s="871">
        <f t="shared" si="12"/>
        <v>1058.2441966810206</v>
      </c>
      <c r="AK18" s="871">
        <f t="shared" si="13"/>
        <v>952.36224073844971</v>
      </c>
      <c r="AL18" s="875">
        <f t="shared" si="21"/>
        <v>888.703685090004</v>
      </c>
      <c r="AM18" s="26"/>
      <c r="AO18" s="35">
        <v>75</v>
      </c>
      <c r="AP18" s="36">
        <v>89.18</v>
      </c>
      <c r="AQ18" s="36">
        <v>1170</v>
      </c>
      <c r="AR18" s="36">
        <v>984</v>
      </c>
      <c r="AS18" s="800">
        <f t="shared" si="0"/>
        <v>0.49139017219655606</v>
      </c>
      <c r="AU18" s="938"/>
      <c r="AV18" s="938"/>
      <c r="AW18" s="938"/>
      <c r="AX18" s="938"/>
      <c r="AY18" s="938"/>
      <c r="BA18" s="35"/>
      <c r="BB18" s="36"/>
      <c r="BC18" s="36"/>
      <c r="BD18" s="36"/>
      <c r="BE18" s="36"/>
      <c r="BF18" s="37"/>
    </row>
    <row r="19" spans="1:58" ht="15.75" thickBot="1" x14ac:dyDescent="0.3">
      <c r="A19" s="845"/>
      <c r="B19" s="881">
        <v>14220.3</v>
      </c>
      <c r="D19" s="881"/>
      <c r="E19" s="149" t="s">
        <v>1056</v>
      </c>
      <c r="F19" s="880">
        <f>F18*F17*1000</f>
        <v>24428972.872635197</v>
      </c>
      <c r="H19" s="35">
        <v>300</v>
      </c>
      <c r="I19" s="417">
        <f t="shared" si="14"/>
        <v>1948.1058201058202</v>
      </c>
      <c r="J19" s="417">
        <f t="shared" si="14"/>
        <v>1262.7301587301588</v>
      </c>
      <c r="K19" s="417">
        <f t="shared" si="14"/>
        <v>1051.8281481481479</v>
      </c>
      <c r="L19" s="417">
        <f t="shared" si="14"/>
        <v>946.11640211640213</v>
      </c>
      <c r="M19" s="950">
        <f t="shared" si="14"/>
        <v>878.13756613756618</v>
      </c>
      <c r="N19" s="870">
        <f t="shared" si="15"/>
        <v>1950.3839999999982</v>
      </c>
      <c r="O19" s="871">
        <v>1276.2890407662387</v>
      </c>
      <c r="P19" s="871">
        <v>1065.8135596427076</v>
      </c>
      <c r="Q19" s="871">
        <v>959.17425586101228</v>
      </c>
      <c r="R19" s="871">
        <v>890.04802802057338</v>
      </c>
      <c r="S19" s="872">
        <f t="shared" si="2"/>
        <v>1907.5233690043326</v>
      </c>
      <c r="T19" s="873">
        <f t="shared" si="16"/>
        <v>1262.3405999999995</v>
      </c>
      <c r="U19" s="871">
        <f t="shared" si="3"/>
        <v>1048.2620591064808</v>
      </c>
      <c r="V19" s="871">
        <f t="shared" si="4"/>
        <v>960.45401840344209</v>
      </c>
      <c r="W19" s="874">
        <f t="shared" si="5"/>
        <v>875.39098195492943</v>
      </c>
      <c r="X19" s="872">
        <f t="shared" si="6"/>
        <v>1910.9279925696669</v>
      </c>
      <c r="Y19" s="871">
        <f t="shared" si="17"/>
        <v>1257.5119511183486</v>
      </c>
      <c r="Z19" s="873">
        <f t="shared" si="18"/>
        <v>1056.0469015644921</v>
      </c>
      <c r="AA19" s="871">
        <f t="shared" si="7"/>
        <v>945.06263974979174</v>
      </c>
      <c r="AB19" s="874">
        <f t="shared" si="8"/>
        <v>876.95341459112865</v>
      </c>
      <c r="AC19" s="872">
        <f t="shared" si="19"/>
        <v>874.59904392856254</v>
      </c>
      <c r="AD19" s="871">
        <f t="shared" si="19"/>
        <v>874.59904392856254</v>
      </c>
      <c r="AE19" s="871">
        <f t="shared" si="19"/>
        <v>874.59904392856254</v>
      </c>
      <c r="AF19" s="873">
        <f t="shared" si="20"/>
        <v>947.83328155299023</v>
      </c>
      <c r="AG19" s="874">
        <f t="shared" si="9"/>
        <v>874.59904392856254</v>
      </c>
      <c r="AH19" s="872">
        <f t="shared" si="10"/>
        <v>1898.5962093211581</v>
      </c>
      <c r="AI19" s="871">
        <f t="shared" si="11"/>
        <v>1249.3968547495169</v>
      </c>
      <c r="AJ19" s="871">
        <f t="shared" si="12"/>
        <v>1043.3562199731225</v>
      </c>
      <c r="AK19" s="871">
        <f t="shared" si="13"/>
        <v>938.96387115412836</v>
      </c>
      <c r="AL19" s="875">
        <f t="shared" si="21"/>
        <v>876.20090000000346</v>
      </c>
      <c r="AM19" s="26"/>
      <c r="AO19" s="35">
        <v>80</v>
      </c>
      <c r="AP19" s="36"/>
      <c r="AQ19" s="36">
        <v>1151</v>
      </c>
      <c r="AR19" s="36">
        <v>968</v>
      </c>
      <c r="AS19" s="800">
        <f t="shared" si="0"/>
        <v>0.48341033179336412</v>
      </c>
      <c r="AU19" s="938"/>
      <c r="AV19" s="938"/>
      <c r="AW19" s="938"/>
      <c r="AX19" s="938"/>
      <c r="AY19" s="938"/>
      <c r="BA19" s="35" t="s">
        <v>1068</v>
      </c>
      <c r="BB19" s="36" t="s">
        <v>1069</v>
      </c>
      <c r="BC19" s="36" t="s">
        <v>1070</v>
      </c>
      <c r="BD19" s="36" t="s">
        <v>1071</v>
      </c>
      <c r="BE19" s="36"/>
      <c r="BF19" s="37"/>
    </row>
    <row r="20" spans="1:58" ht="15.75" x14ac:dyDescent="0.25">
      <c r="A20" s="223" t="s">
        <v>608</v>
      </c>
      <c r="H20" s="35">
        <v>310</v>
      </c>
      <c r="I20" s="417">
        <f t="shared" si="14"/>
        <v>1917.3756613756616</v>
      </c>
      <c r="J20" s="417">
        <f t="shared" si="14"/>
        <v>1241.3121693121693</v>
      </c>
      <c r="K20" s="417">
        <f t="shared" si="14"/>
        <v>1033.6507936507937</v>
      </c>
      <c r="L20" s="417">
        <f t="shared" si="14"/>
        <v>929.35449735449743</v>
      </c>
      <c r="M20" s="950">
        <f t="shared" si="14"/>
        <v>862.30687830687839</v>
      </c>
      <c r="N20" s="870">
        <f t="shared" si="15"/>
        <v>1923.935172000005</v>
      </c>
      <c r="O20" s="871">
        <v>1258.981500652342</v>
      </c>
      <c r="P20" s="871">
        <v>1051.3602419785705</v>
      </c>
      <c r="Q20" s="871">
        <v>946.16705578385336</v>
      </c>
      <c r="R20" s="871">
        <v>877.97823704359178</v>
      </c>
      <c r="S20" s="872">
        <f t="shared" si="2"/>
        <v>1877.3631708036514</v>
      </c>
      <c r="T20" s="873">
        <f t="shared" si="16"/>
        <v>1242.3815036599954</v>
      </c>
      <c r="U20" s="871">
        <f t="shared" si="3"/>
        <v>1031.6877974315594</v>
      </c>
      <c r="V20" s="871">
        <f t="shared" si="4"/>
        <v>945.26810559713738</v>
      </c>
      <c r="W20" s="874">
        <f t="shared" si="5"/>
        <v>861.55001625675789</v>
      </c>
      <c r="X20" s="872">
        <f t="shared" si="6"/>
        <v>1871.8180529461665</v>
      </c>
      <c r="Y20" s="871">
        <f t="shared" si="17"/>
        <v>1231.77512760888</v>
      </c>
      <c r="Z20" s="873">
        <f t="shared" si="18"/>
        <v>1034.4333553082397</v>
      </c>
      <c r="AA20" s="871">
        <f t="shared" si="7"/>
        <v>925.7205489306931</v>
      </c>
      <c r="AB20" s="874">
        <f t="shared" si="8"/>
        <v>859.00527880022366</v>
      </c>
      <c r="AC20" s="872">
        <f t="shared" si="19"/>
        <v>860.95904028086181</v>
      </c>
      <c r="AD20" s="871">
        <f t="shared" si="19"/>
        <v>860.95904028086181</v>
      </c>
      <c r="AE20" s="871">
        <f t="shared" si="19"/>
        <v>860.95904028086181</v>
      </c>
      <c r="AF20" s="873">
        <f t="shared" si="20"/>
        <v>933.05113708628414</v>
      </c>
      <c r="AG20" s="874">
        <f t="shared" si="9"/>
        <v>860.95904028086181</v>
      </c>
      <c r="AH20" s="872">
        <f t="shared" si="10"/>
        <v>1877.3847352540574</v>
      </c>
      <c r="AI20" s="871">
        <f t="shared" si="11"/>
        <v>1235.4383580170747</v>
      </c>
      <c r="AJ20" s="871">
        <f t="shared" si="12"/>
        <v>1031.6996479784798</v>
      </c>
      <c r="AK20" s="871">
        <f t="shared" si="13"/>
        <v>928.47359012167465</v>
      </c>
      <c r="AL20" s="875">
        <f t="shared" si="21"/>
        <v>866.41181868999411</v>
      </c>
      <c r="AM20" s="26"/>
      <c r="AO20" s="35">
        <v>85</v>
      </c>
      <c r="AP20" s="36"/>
      <c r="AQ20" s="36">
        <v>1134</v>
      </c>
      <c r="AR20" s="36">
        <v>954</v>
      </c>
      <c r="AS20" s="800">
        <f t="shared" si="0"/>
        <v>0.4762704745905082</v>
      </c>
      <c r="AU20" s="938"/>
      <c r="AV20" s="938"/>
      <c r="AW20" s="938"/>
      <c r="AX20" s="938"/>
      <c r="AY20" s="938"/>
      <c r="BA20" s="35">
        <f>BD20*BB20^BC20</f>
        <v>909.21522816407435</v>
      </c>
      <c r="BB20" s="36">
        <v>5</v>
      </c>
      <c r="BC20" s="36">
        <v>-0.28999999999999998</v>
      </c>
      <c r="BD20" s="36">
        <v>1450</v>
      </c>
      <c r="BE20" s="795">
        <f t="shared" ref="BE20:BE39" si="22">BA20/$BA$20</f>
        <v>1</v>
      </c>
      <c r="BF20" s="37"/>
    </row>
    <row r="21" spans="1:58" x14ac:dyDescent="0.25">
      <c r="A21" s="845"/>
      <c r="H21" s="35">
        <v>320</v>
      </c>
      <c r="I21" s="417">
        <f t="shared" si="14"/>
        <v>1890.3703703703704</v>
      </c>
      <c r="J21" s="417">
        <f t="shared" si="14"/>
        <v>1222.6878306878307</v>
      </c>
      <c r="K21" s="417">
        <f t="shared" si="14"/>
        <v>1017.8573544973545</v>
      </c>
      <c r="L21" s="417">
        <f t="shared" si="14"/>
        <v>915.38624338624345</v>
      </c>
      <c r="M21" s="950">
        <f t="shared" si="14"/>
        <v>849.26984126984132</v>
      </c>
      <c r="N21" s="870">
        <f t="shared" si="15"/>
        <v>1900.2698560000026</v>
      </c>
      <c r="O21" s="871">
        <v>1243.4954304953508</v>
      </c>
      <c r="P21" s="871">
        <v>1038.4280118710469</v>
      </c>
      <c r="Q21" s="871">
        <v>934.5287518067812</v>
      </c>
      <c r="R21" s="871">
        <v>867.17868790953105</v>
      </c>
      <c r="S21" s="872">
        <f t="shared" si="2"/>
        <v>1851.4835719018615</v>
      </c>
      <c r="T21" s="873">
        <f t="shared" si="16"/>
        <v>1225.2551769599995</v>
      </c>
      <c r="U21" s="871">
        <f t="shared" si="3"/>
        <v>1017.4659000359849</v>
      </c>
      <c r="V21" s="871">
        <f t="shared" si="4"/>
        <v>932.23751044753897</v>
      </c>
      <c r="W21" s="874">
        <f t="shared" si="5"/>
        <v>849.67348155036382</v>
      </c>
      <c r="X21" s="872">
        <f t="shared" si="6"/>
        <v>1836.46716422292</v>
      </c>
      <c r="Y21" s="871">
        <f t="shared" si="17"/>
        <v>1208.5119982680624</v>
      </c>
      <c r="Z21" s="873">
        <f t="shared" si="18"/>
        <v>1014.8971945272497</v>
      </c>
      <c r="AA21" s="871">
        <f t="shared" si="7"/>
        <v>908.23752270249554</v>
      </c>
      <c r="AB21" s="874">
        <f t="shared" si="8"/>
        <v>842.78222764642589</v>
      </c>
      <c r="AC21" s="872">
        <f t="shared" si="19"/>
        <v>847.97571253889339</v>
      </c>
      <c r="AD21" s="871">
        <f t="shared" si="19"/>
        <v>847.97571253889339</v>
      </c>
      <c r="AE21" s="871">
        <f t="shared" si="19"/>
        <v>847.97571253889339</v>
      </c>
      <c r="AF21" s="873">
        <f t="shared" si="20"/>
        <v>918.98065504702754</v>
      </c>
      <c r="AG21" s="874">
        <f t="shared" si="9"/>
        <v>847.97571253889339</v>
      </c>
      <c r="AH21" s="872">
        <f t="shared" si="10"/>
        <v>1857.1109337279293</v>
      </c>
      <c r="AI21" s="871">
        <f t="shared" si="11"/>
        <v>1222.09690935295</v>
      </c>
      <c r="AJ21" s="871">
        <f t="shared" si="12"/>
        <v>1020.5583653713952</v>
      </c>
      <c r="AK21" s="871">
        <f t="shared" si="13"/>
        <v>918.44704152196471</v>
      </c>
      <c r="AL21" s="875">
        <f t="shared" si="21"/>
        <v>857.05547264000052</v>
      </c>
      <c r="AM21" s="26"/>
      <c r="AO21" s="35">
        <v>90</v>
      </c>
      <c r="AP21" s="36"/>
      <c r="AQ21" s="36">
        <v>1118</v>
      </c>
      <c r="AR21" s="36">
        <v>940</v>
      </c>
      <c r="AS21" s="800">
        <f t="shared" si="0"/>
        <v>0.46955060898782025</v>
      </c>
      <c r="AU21" s="938"/>
      <c r="AV21" s="938"/>
      <c r="AW21" s="938"/>
      <c r="AX21" s="938"/>
      <c r="AY21" s="938"/>
      <c r="BA21" s="35">
        <f t="shared" ref="BA21:BA39" si="23">BD21*BB21^BC21</f>
        <v>743.64900678747904</v>
      </c>
      <c r="BB21" s="36">
        <f>5+BB20</f>
        <v>10</v>
      </c>
      <c r="BC21" s="36">
        <f>BC20</f>
        <v>-0.28999999999999998</v>
      </c>
      <c r="BD21" s="36">
        <f>BD20</f>
        <v>1450</v>
      </c>
      <c r="BE21" s="795">
        <f t="shared" si="22"/>
        <v>0.81790205855778109</v>
      </c>
      <c r="BF21" s="37"/>
    </row>
    <row r="22" spans="1:58" ht="15.75" thickBot="1" x14ac:dyDescent="0.3">
      <c r="A22" s="845"/>
      <c r="E22" t="s">
        <v>1233</v>
      </c>
      <c r="H22" s="35">
        <v>330</v>
      </c>
      <c r="I22" s="417">
        <f t="shared" si="14"/>
        <v>1868.0211640211642</v>
      </c>
      <c r="J22" s="417">
        <f t="shared" si="14"/>
        <v>1207.7883597883599</v>
      </c>
      <c r="K22" s="417">
        <f t="shared" si="14"/>
        <v>1004.7830687830689</v>
      </c>
      <c r="L22" s="417">
        <f t="shared" si="14"/>
        <v>903.28042328042329</v>
      </c>
      <c r="M22" s="950">
        <f t="shared" si="14"/>
        <v>838.09523809523819</v>
      </c>
      <c r="N22" s="870">
        <f t="shared" si="15"/>
        <v>1876.8650040000066</v>
      </c>
      <c r="O22" s="871">
        <v>1228.179802337844</v>
      </c>
      <c r="P22" s="871">
        <v>1025.6381158182562</v>
      </c>
      <c r="Q22" s="871">
        <v>923.01854074032792</v>
      </c>
      <c r="R22" s="871">
        <v>856.49800022510078</v>
      </c>
      <c r="S22" s="872">
        <f t="shared" si="2"/>
        <v>1828.4654854741934</v>
      </c>
      <c r="T22" s="873">
        <f t="shared" si="16"/>
        <v>1210.0225116600086</v>
      </c>
      <c r="U22" s="871">
        <f t="shared" si="3"/>
        <v>1004.8165207059939</v>
      </c>
      <c r="V22" s="871">
        <f t="shared" si="4"/>
        <v>920.64771083373341</v>
      </c>
      <c r="W22" s="874">
        <f t="shared" si="5"/>
        <v>839.11013768362147</v>
      </c>
      <c r="X22" s="872">
        <f t="shared" si="6"/>
        <v>1807.8826196161849</v>
      </c>
      <c r="Y22" s="871">
        <f t="shared" si="17"/>
        <v>1189.7015529765533</v>
      </c>
      <c r="Z22" s="873">
        <f t="shared" si="18"/>
        <v>999.10035661292204</v>
      </c>
      <c r="AA22" s="871">
        <f t="shared" si="7"/>
        <v>894.10083870020605</v>
      </c>
      <c r="AB22" s="874">
        <f t="shared" si="8"/>
        <v>829.66435293064433</v>
      </c>
      <c r="AC22" s="872">
        <f t="shared" si="19"/>
        <v>835.38622023936216</v>
      </c>
      <c r="AD22" s="871">
        <f t="shared" si="19"/>
        <v>835.38622023936216</v>
      </c>
      <c r="AE22" s="871">
        <f t="shared" si="19"/>
        <v>835.38622023936216</v>
      </c>
      <c r="AF22" s="873">
        <f t="shared" si="20"/>
        <v>905.33698611989166</v>
      </c>
      <c r="AG22" s="874">
        <f t="shared" si="9"/>
        <v>835.38622023936216</v>
      </c>
      <c r="AH22" s="872">
        <f t="shared" si="10"/>
        <v>1833.3495174731197</v>
      </c>
      <c r="AI22" s="871">
        <f t="shared" si="11"/>
        <v>1206.4603887555722</v>
      </c>
      <c r="AJ22" s="871">
        <f t="shared" si="12"/>
        <v>1007.5004959186324</v>
      </c>
      <c r="AK22" s="871">
        <f t="shared" si="13"/>
        <v>906.69566896513322</v>
      </c>
      <c r="AL22" s="875">
        <f t="shared" si="21"/>
        <v>846.08959469000547</v>
      </c>
      <c r="AM22" s="26"/>
      <c r="AO22" s="35">
        <v>95</v>
      </c>
      <c r="AP22" s="36"/>
      <c r="AQ22" s="36">
        <v>1103</v>
      </c>
      <c r="AR22" s="36">
        <v>927</v>
      </c>
      <c r="AS22" s="800">
        <f t="shared" si="0"/>
        <v>0.46325073498530028</v>
      </c>
      <c r="AU22" s="938"/>
      <c r="AV22" s="938"/>
      <c r="AW22" s="938"/>
      <c r="AX22" s="938"/>
      <c r="AY22" s="938"/>
      <c r="BA22" s="35">
        <f t="shared" si="23"/>
        <v>661.15233656915211</v>
      </c>
      <c r="BB22" s="36">
        <f t="shared" ref="BB22:BB38" si="24">5+BB21</f>
        <v>15</v>
      </c>
      <c r="BC22" s="36">
        <f t="shared" ref="BC22:BD37" si="25">BC21</f>
        <v>-0.28999999999999998</v>
      </c>
      <c r="BD22" s="36">
        <f t="shared" si="25"/>
        <v>1450</v>
      </c>
      <c r="BE22" s="795">
        <f t="shared" si="22"/>
        <v>0.72716812927141439</v>
      </c>
      <c r="BF22" s="37"/>
    </row>
    <row r="23" spans="1:58" ht="15.75" thickBot="1" x14ac:dyDescent="0.3">
      <c r="A23" s="845"/>
      <c r="E23" s="32" t="s">
        <v>509</v>
      </c>
      <c r="F23" s="1034">
        <f>F1</f>
        <v>200</v>
      </c>
      <c r="H23" s="35">
        <v>340</v>
      </c>
      <c r="I23" s="417">
        <f t="shared" si="14"/>
        <v>1848.4656084656085</v>
      </c>
      <c r="J23" s="417">
        <f t="shared" si="14"/>
        <v>1194.7513227513227</v>
      </c>
      <c r="K23" s="417">
        <f t="shared" si="14"/>
        <v>993.60846560846562</v>
      </c>
      <c r="L23" s="417">
        <f t="shared" si="14"/>
        <v>893.03703703703707</v>
      </c>
      <c r="M23" s="950">
        <f t="shared" si="14"/>
        <v>828.78306878306887</v>
      </c>
      <c r="N23" s="870">
        <f t="shared" si="15"/>
        <v>1851.1975680000105</v>
      </c>
      <c r="O23" s="871">
        <v>1211.3835882223857</v>
      </c>
      <c r="P23" s="871">
        <v>1011.6118003183047</v>
      </c>
      <c r="Q23" s="871">
        <v>910.39561939501516</v>
      </c>
      <c r="R23" s="871">
        <v>844.78479359700054</v>
      </c>
      <c r="S23" s="872">
        <f t="shared" si="2"/>
        <v>1807.1255730387363</v>
      </c>
      <c r="T23" s="873">
        <f t="shared" si="16"/>
        <v>1195.9004105599925</v>
      </c>
      <c r="U23" s="871">
        <f t="shared" si="3"/>
        <v>993.08936657816753</v>
      </c>
      <c r="V23" s="871">
        <f t="shared" si="4"/>
        <v>909.90288590311638</v>
      </c>
      <c r="W23" s="874">
        <f t="shared" si="5"/>
        <v>829.31693294219917</v>
      </c>
      <c r="X23" s="872">
        <f t="shared" si="6"/>
        <v>1790.7881415096078</v>
      </c>
      <c r="Y23" s="871">
        <f t="shared" si="17"/>
        <v>1178.452300989698</v>
      </c>
      <c r="Z23" s="873">
        <f t="shared" si="18"/>
        <v>989.65333887677116</v>
      </c>
      <c r="AA23" s="871">
        <f t="shared" si="7"/>
        <v>885.64664646095673</v>
      </c>
      <c r="AB23" s="874">
        <f t="shared" si="8"/>
        <v>821.81944145072123</v>
      </c>
      <c r="AC23" s="872">
        <f t="shared" si="19"/>
        <v>823.49962085067762</v>
      </c>
      <c r="AD23" s="871">
        <f t="shared" si="19"/>
        <v>823.49962085067762</v>
      </c>
      <c r="AE23" s="871">
        <f t="shared" si="19"/>
        <v>823.49962085067762</v>
      </c>
      <c r="AF23" s="873">
        <f t="shared" si="20"/>
        <v>892.45506658968588</v>
      </c>
      <c r="AG23" s="874">
        <f t="shared" si="9"/>
        <v>823.49962085067762</v>
      </c>
      <c r="AH23" s="872">
        <f t="shared" si="10"/>
        <v>1802.1924293406835</v>
      </c>
      <c r="AI23" s="871">
        <f t="shared" si="11"/>
        <v>1185.9570464836852</v>
      </c>
      <c r="AJ23" s="871">
        <f t="shared" si="12"/>
        <v>990.3784024794744</v>
      </c>
      <c r="AK23" s="871">
        <f t="shared" si="13"/>
        <v>891.28671579062814</v>
      </c>
      <c r="AL23" s="875">
        <f t="shared" si="21"/>
        <v>831.71061904000089</v>
      </c>
      <c r="AM23" s="26"/>
      <c r="AO23" s="38">
        <v>100</v>
      </c>
      <c r="AP23" s="39">
        <v>118.9</v>
      </c>
      <c r="AQ23" s="39">
        <v>1088</v>
      </c>
      <c r="AR23" s="39">
        <v>915</v>
      </c>
      <c r="AS23" s="803">
        <f t="shared" si="0"/>
        <v>0.45695086098278037</v>
      </c>
      <c r="AU23" s="938"/>
      <c r="AV23" s="938"/>
      <c r="AW23" s="938"/>
      <c r="AX23" s="938"/>
      <c r="AY23" s="938"/>
      <c r="BA23" s="35">
        <f t="shared" si="23"/>
        <v>608.23205349592854</v>
      </c>
      <c r="BB23" s="36">
        <f t="shared" si="24"/>
        <v>20</v>
      </c>
      <c r="BC23" s="36">
        <f t="shared" si="25"/>
        <v>-0.28999999999999998</v>
      </c>
      <c r="BD23" s="36">
        <f t="shared" si="25"/>
        <v>1450</v>
      </c>
      <c r="BE23" s="795">
        <f t="shared" si="22"/>
        <v>0.66896377739305612</v>
      </c>
      <c r="BF23" s="37"/>
    </row>
    <row r="24" spans="1:58" ht="15.75" thickBot="1" x14ac:dyDescent="0.3">
      <c r="A24" s="845"/>
      <c r="B24" s="883">
        <v>3.9523329999999997E-6</v>
      </c>
      <c r="C24" t="s">
        <v>1225</v>
      </c>
      <c r="D24" s="883"/>
      <c r="E24" s="35" t="s">
        <v>1052</v>
      </c>
      <c r="F24" s="877">
        <f>0.00000395233*F23^4 - 0.00470295*F23^3 + 2.10482*F23^2 - 422.181*F23 + 33242.3</f>
        <v>1699.0280000000057</v>
      </c>
      <c r="H24" s="38">
        <v>350</v>
      </c>
      <c r="I24" s="951">
        <f>I88*$J$1</f>
        <v>1833.5661375661377</v>
      </c>
      <c r="J24" s="951">
        <f>J88*$J$1</f>
        <v>1184.5079365079366</v>
      </c>
      <c r="K24" s="951">
        <f>K88*$J$1</f>
        <v>984.79915343915343</v>
      </c>
      <c r="L24" s="951">
        <f>L88*$J$1</f>
        <v>884.65608465608466</v>
      </c>
      <c r="M24" s="952">
        <f>M88*$J$1</f>
        <v>820.40211640211646</v>
      </c>
      <c r="N24" s="870">
        <f t="shared" si="15"/>
        <v>1820.744500000008</v>
      </c>
      <c r="O24" s="884">
        <v>1191.4557601915405</v>
      </c>
      <c r="P24" s="884">
        <v>994.97031186929974</v>
      </c>
      <c r="Q24" s="884">
        <v>895.41918458136456</v>
      </c>
      <c r="R24" s="884">
        <v>830.88768763192968</v>
      </c>
      <c r="S24" s="885">
        <f t="shared" si="2"/>
        <v>1786.5162444565892</v>
      </c>
      <c r="T24" s="887">
        <f t="shared" si="16"/>
        <v>1182.261787499996</v>
      </c>
      <c r="U24" s="884">
        <f t="shared" si="3"/>
        <v>981.76369813951555</v>
      </c>
      <c r="V24" s="884">
        <f t="shared" si="4"/>
        <v>899.52591607146906</v>
      </c>
      <c r="W24" s="886">
        <f t="shared" si="5"/>
        <v>819.85900404962968</v>
      </c>
      <c r="X24" s="885">
        <f t="shared" si="6"/>
        <v>1791.6238814539342</v>
      </c>
      <c r="Y24" s="884">
        <f t="shared" si="17"/>
        <v>1179.0022709373379</v>
      </c>
      <c r="Z24" s="887">
        <f t="shared" si="18"/>
        <v>990.11519855026563</v>
      </c>
      <c r="AA24" s="884">
        <f t="shared" si="7"/>
        <v>886.05996742386094</v>
      </c>
      <c r="AB24" s="886">
        <f t="shared" si="8"/>
        <v>822.20297500129834</v>
      </c>
      <c r="AC24" s="885">
        <f t="shared" si="19"/>
        <v>813.19686977276672</v>
      </c>
      <c r="AD24" s="884">
        <f t="shared" si="19"/>
        <v>813.19686977276672</v>
      </c>
      <c r="AE24" s="884">
        <f t="shared" si="19"/>
        <v>813.19686977276672</v>
      </c>
      <c r="AF24" s="873">
        <f t="shared" si="20"/>
        <v>881.28961834115398</v>
      </c>
      <c r="AG24" s="886">
        <f t="shared" si="9"/>
        <v>813.19686977276672</v>
      </c>
      <c r="AH24" s="885">
        <f t="shared" si="10"/>
        <v>1760.2488423024495</v>
      </c>
      <c r="AI24" s="884">
        <f t="shared" si="11"/>
        <v>1158.3555030563866</v>
      </c>
      <c r="AJ24" s="884">
        <f t="shared" si="12"/>
        <v>967.32868700576</v>
      </c>
      <c r="AK24" s="884">
        <f t="shared" si="13"/>
        <v>870.54322506724168</v>
      </c>
      <c r="AL24" s="875">
        <f t="shared" si="21"/>
        <v>812.35368125001696</v>
      </c>
      <c r="AM24" s="26"/>
      <c r="BA24" s="35">
        <f t="shared" si="23"/>
        <v>570.11884905203431</v>
      </c>
      <c r="BB24" s="36">
        <f t="shared" si="24"/>
        <v>25</v>
      </c>
      <c r="BC24" s="36">
        <f t="shared" si="25"/>
        <v>-0.28999999999999998</v>
      </c>
      <c r="BD24" s="36">
        <f t="shared" si="25"/>
        <v>1450</v>
      </c>
      <c r="BE24" s="795">
        <f t="shared" si="22"/>
        <v>0.6270449849407409</v>
      </c>
      <c r="BF24" s="37"/>
    </row>
    <row r="25" spans="1:58" ht="15.75" thickBot="1" x14ac:dyDescent="0.3">
      <c r="A25" s="845"/>
      <c r="B25">
        <v>-4.7029500147566907E-3</v>
      </c>
      <c r="C25" t="s">
        <v>1226</v>
      </c>
      <c r="E25" s="35" t="s">
        <v>1053</v>
      </c>
      <c r="F25" s="877">
        <f>F24*(1+X102)</f>
        <v>3091.7227104024137</v>
      </c>
      <c r="N25" s="850"/>
      <c r="O25" s="850"/>
      <c r="P25" s="850"/>
      <c r="Q25" s="850"/>
      <c r="R25" s="850"/>
      <c r="S25" s="850"/>
      <c r="T25" s="850"/>
      <c r="U25" s="850"/>
      <c r="V25" s="850"/>
      <c r="W25" s="850"/>
      <c r="AA25" s="850"/>
      <c r="AB25" s="850"/>
      <c r="AC25" s="850"/>
      <c r="AD25" s="850"/>
      <c r="AE25" s="850"/>
      <c r="AF25" s="850"/>
      <c r="AG25" s="850"/>
      <c r="AH25" s="850"/>
      <c r="AI25" s="850"/>
      <c r="AJ25" s="850"/>
      <c r="AK25" s="850"/>
      <c r="AL25" s="850"/>
      <c r="AM25" s="850"/>
      <c r="AU25" s="938"/>
      <c r="AV25" s="938"/>
      <c r="AW25" s="938"/>
      <c r="BA25" s="35">
        <f t="shared" si="23"/>
        <v>540.75785710019636</v>
      </c>
      <c r="BB25" s="36">
        <f t="shared" si="24"/>
        <v>30</v>
      </c>
      <c r="BC25" s="36">
        <f t="shared" si="25"/>
        <v>-0.28999999999999998</v>
      </c>
      <c r="BD25" s="36">
        <f t="shared" si="25"/>
        <v>1450</v>
      </c>
      <c r="BE25" s="795">
        <f t="shared" si="22"/>
        <v>0.59475230984870042</v>
      </c>
      <c r="BF25" s="37"/>
    </row>
    <row r="26" spans="1:58" ht="15.75" thickBot="1" x14ac:dyDescent="0.3">
      <c r="A26" s="845"/>
      <c r="B26">
        <v>2.104819999999946</v>
      </c>
      <c r="C26" t="s">
        <v>1227</v>
      </c>
      <c r="E26" s="35" t="s">
        <v>1054</v>
      </c>
      <c r="F26" s="1035">
        <f>F2</f>
        <v>10</v>
      </c>
      <c r="N26" t="s">
        <v>1234</v>
      </c>
      <c r="P26" s="31" t="s">
        <v>1235</v>
      </c>
      <c r="S26" s="32" t="s">
        <v>1236</v>
      </c>
      <c r="T26" s="33"/>
      <c r="U26" s="33"/>
      <c r="V26" s="888" t="s">
        <v>1237</v>
      </c>
      <c r="W26" s="34"/>
      <c r="AO26" s="1277"/>
      <c r="AP26" s="1277"/>
      <c r="AQ26" s="1277"/>
      <c r="AR26" s="1277"/>
      <c r="AS26" s="1277"/>
      <c r="AU26" s="938"/>
      <c r="AV26" s="938"/>
      <c r="AW26" s="938"/>
      <c r="BA26" s="35">
        <f t="shared" si="23"/>
        <v>517.11635001962168</v>
      </c>
      <c r="BB26" s="36">
        <f t="shared" si="24"/>
        <v>35</v>
      </c>
      <c r="BC26" s="36">
        <f t="shared" si="25"/>
        <v>-0.28999999999999998</v>
      </c>
      <c r="BD26" s="36">
        <f t="shared" si="25"/>
        <v>1450</v>
      </c>
      <c r="BE26" s="795">
        <f t="shared" si="22"/>
        <v>0.56875020787300801</v>
      </c>
      <c r="BF26" s="37"/>
    </row>
    <row r="27" spans="1:58" x14ac:dyDescent="0.25">
      <c r="A27" s="845"/>
      <c r="B27">
        <v>-422.18099999999998</v>
      </c>
      <c r="C27" t="s">
        <v>1228</v>
      </c>
      <c r="E27" s="155" t="s">
        <v>1055</v>
      </c>
      <c r="F27" s="877">
        <f>F25*(0.9944*((F26/5)^-0.26))</f>
        <v>2567.4018680795862</v>
      </c>
      <c r="J27" s="32" t="s">
        <v>1238</v>
      </c>
      <c r="K27" s="34"/>
      <c r="M27" t="s">
        <v>48</v>
      </c>
      <c r="N27" s="889" t="s">
        <v>1200</v>
      </c>
      <c r="O27" s="890" t="s">
        <v>1201</v>
      </c>
      <c r="P27" s="890" t="s">
        <v>1202</v>
      </c>
      <c r="Q27" s="890" t="s">
        <v>1203</v>
      </c>
      <c r="R27" s="891" t="s">
        <v>1204</v>
      </c>
      <c r="S27" s="889" t="s">
        <v>1205</v>
      </c>
      <c r="T27" s="890" t="s">
        <v>1206</v>
      </c>
      <c r="U27" s="890" t="s">
        <v>1207</v>
      </c>
      <c r="V27" s="890" t="s">
        <v>1208</v>
      </c>
      <c r="W27" s="891" t="s">
        <v>1209</v>
      </c>
      <c r="X27" s="865" t="s">
        <v>1210</v>
      </c>
      <c r="Y27" s="866" t="s">
        <v>1211</v>
      </c>
      <c r="Z27" s="866" t="s">
        <v>1212</v>
      </c>
      <c r="AA27" s="866" t="s">
        <v>1213</v>
      </c>
      <c r="AB27" s="868" t="s">
        <v>1214</v>
      </c>
      <c r="AC27" s="889" t="s">
        <v>1215</v>
      </c>
      <c r="AD27" s="890" t="s">
        <v>1216</v>
      </c>
      <c r="AE27" s="890" t="s">
        <v>1217</v>
      </c>
      <c r="AF27" s="890" t="s">
        <v>1218</v>
      </c>
      <c r="AG27" s="891" t="s">
        <v>1219</v>
      </c>
      <c r="AH27" s="889" t="s">
        <v>1220</v>
      </c>
      <c r="AI27" s="890" t="s">
        <v>1221</v>
      </c>
      <c r="AJ27" s="890" t="s">
        <v>1222</v>
      </c>
      <c r="AK27" s="890" t="s">
        <v>1223</v>
      </c>
      <c r="AL27" s="891" t="s">
        <v>1224</v>
      </c>
      <c r="AM27" s="358"/>
      <c r="AN27" s="358"/>
      <c r="AO27" s="1277"/>
      <c r="AP27" s="1277"/>
      <c r="AQ27" s="1277"/>
      <c r="AR27" s="1277"/>
      <c r="AS27" s="1277"/>
      <c r="AU27" s="938"/>
      <c r="AV27" s="938"/>
      <c r="AW27" s="938"/>
      <c r="BA27" s="35">
        <f t="shared" si="23"/>
        <v>497.47424863514635</v>
      </c>
      <c r="BB27" s="36">
        <f>5+BB26</f>
        <v>40</v>
      </c>
      <c r="BC27" s="36">
        <f>BC26</f>
        <v>-0.28999999999999998</v>
      </c>
      <c r="BD27" s="36">
        <f>BD26</f>
        <v>1450</v>
      </c>
      <c r="BE27" s="795">
        <f t="shared" si="22"/>
        <v>0.54714685063036972</v>
      </c>
      <c r="BF27" s="37"/>
    </row>
    <row r="28" spans="1:58" ht="15.75" thickBot="1" x14ac:dyDescent="0.3">
      <c r="A28" s="845"/>
      <c r="B28" s="153">
        <v>33242.300000000003</v>
      </c>
      <c r="D28" s="153"/>
      <c r="E28" s="149" t="s">
        <v>1056</v>
      </c>
      <c r="F28" s="880">
        <f>F27*F26*1000</f>
        <v>25674018.68079586</v>
      </c>
      <c r="J28" s="35" t="s">
        <v>1239</v>
      </c>
      <c r="K28" s="892">
        <f>IF(AND($F$2&lt;=12.5,$F$2&gt;0),B7,IF(AND($F$2&gt;12.5,$F$2&lt;=37.5),B15,IF(AND($F$2&gt;37.5,$F$2&lt;=62.5),B24,IF(AND($F$2&gt;62.5,$F$2&lt;=87.5),B32,IF( $F$2&gt;87.5,B41,B41)))))</f>
        <v>0</v>
      </c>
      <c r="M28">
        <v>180</v>
      </c>
      <c r="N28" s="893">
        <f t="shared" ref="N28:N45" si="26">ABS(N7-I7)/I7</f>
        <v>3.9107416933013162E-3</v>
      </c>
      <c r="O28" s="893">
        <f t="shared" ref="O28:R43" si="27">ABS(O7-J7)/J7</f>
        <v>2.2271149679900164E-2</v>
      </c>
      <c r="P28" s="893">
        <f t="shared" si="27"/>
        <v>0.14325094906488936</v>
      </c>
      <c r="Q28" s="893">
        <f t="shared" si="27"/>
        <v>0.2113595808981629</v>
      </c>
      <c r="R28" s="893">
        <f t="shared" si="27"/>
        <v>0.2567816348206573</v>
      </c>
      <c r="S28" s="893">
        <f t="shared" ref="S28:W43" si="28">ABS(S7-I7)/I7</f>
        <v>7.3293357181380405E-3</v>
      </c>
      <c r="T28" s="412">
        <f t="shared" si="28"/>
        <v>7.0401198990176502E-5</v>
      </c>
      <c r="U28" s="412">
        <f t="shared" si="28"/>
        <v>0.128703957563438</v>
      </c>
      <c r="V28" s="412">
        <f t="shared" si="28"/>
        <v>0.18345226385657828</v>
      </c>
      <c r="W28" s="894">
        <f t="shared" si="28"/>
        <v>0.24416231387692736</v>
      </c>
      <c r="X28" s="895">
        <f t="shared" ref="X28:AB43" si="29">ABS(X7-I7)/I7</f>
        <v>0.14783241751412743</v>
      </c>
      <c r="Y28" s="896">
        <f t="shared" si="29"/>
        <v>0.13301991638425803</v>
      </c>
      <c r="Z28" s="850">
        <f t="shared" si="29"/>
        <v>1.5837748042237755E-3</v>
      </c>
      <c r="AA28" s="896">
        <f t="shared" si="29"/>
        <v>8.6101119532812798E-2</v>
      </c>
      <c r="AB28" s="897">
        <f t="shared" si="29"/>
        <v>0.13873748361311711</v>
      </c>
      <c r="AC28" s="893">
        <f>ABS(AC7-I7)/I7</f>
        <v>0.25375228780158998</v>
      </c>
      <c r="AD28" s="412">
        <f>ABS(AD7-J7)/J7</f>
        <v>0.23757291623456508</v>
      </c>
      <c r="AE28" s="412">
        <f t="shared" ref="AD28:AG43" si="30">ABS(AE7-K7)/K7</f>
        <v>8.4441173132848629E-2</v>
      </c>
      <c r="AF28" s="412">
        <f t="shared" si="30"/>
        <v>3.8533718881457882E-3</v>
      </c>
      <c r="AG28" s="894">
        <f t="shared" si="30"/>
        <v>5.9261758213481973E-2</v>
      </c>
      <c r="AH28" s="893">
        <f t="shared" ref="AH28:AH45" si="31">ABS(AH7-I7)/I7</f>
        <v>0.32969899996155566</v>
      </c>
      <c r="AI28" s="412">
        <f t="shared" ref="AI28:AL43" si="32">ABS(AI7-J7)/J7</f>
        <v>0.31253955435017183</v>
      </c>
      <c r="AJ28" s="412">
        <f t="shared" si="32"/>
        <v>0.15013177440365563</v>
      </c>
      <c r="AK28" s="412">
        <f t="shared" si="32"/>
        <v>5.8700215189075942E-2</v>
      </c>
      <c r="AL28" s="894">
        <f t="shared" si="32"/>
        <v>3.3426805140977277E-3</v>
      </c>
      <c r="AM28" s="898"/>
      <c r="AN28" s="898"/>
      <c r="AO28" s="938"/>
      <c r="AP28" s="938"/>
      <c r="AQ28" s="938"/>
      <c r="AR28" s="938"/>
      <c r="AS28" s="938"/>
      <c r="AU28" s="938"/>
      <c r="AV28" s="938"/>
      <c r="AW28" s="938"/>
      <c r="BA28" s="35">
        <f t="shared" si="23"/>
        <v>480.76890774641481</v>
      </c>
      <c r="BB28" s="36">
        <f t="shared" si="24"/>
        <v>45</v>
      </c>
      <c r="BC28" s="36">
        <f t="shared" si="25"/>
        <v>-0.28999999999999998</v>
      </c>
      <c r="BD28" s="36">
        <f t="shared" si="25"/>
        <v>1450</v>
      </c>
      <c r="BE28" s="795">
        <f t="shared" si="22"/>
        <v>0.52877348822808834</v>
      </c>
      <c r="BF28" s="37"/>
    </row>
    <row r="29" spans="1:58" x14ac:dyDescent="0.25">
      <c r="A29" s="845"/>
      <c r="E29" s="801"/>
      <c r="F29" s="801"/>
      <c r="J29" s="35" t="s">
        <v>1240</v>
      </c>
      <c r="K29" s="892">
        <f>IF(AND($F$2&lt;=12.5,$F$2&gt;0),B8,IF(AND($F$2&gt;12.5,$F$2&lt;=37.5),B16,IF(AND($F$2&gt;37.5,$F$2&lt;=62.5),B25,IF(AND($F$2&gt;62.5,$F$2&lt;=87.5),B33,IF( $F$2&gt;87.5,B42,B42)))))</f>
        <v>-4.2050799999999999E-4</v>
      </c>
      <c r="M29">
        <f>M28+10</f>
        <v>190</v>
      </c>
      <c r="N29" s="893">
        <f t="shared" si="26"/>
        <v>4.7712653272256531E-3</v>
      </c>
      <c r="O29" s="893">
        <f t="shared" si="27"/>
        <v>1.1986437629116107E-2</v>
      </c>
      <c r="P29" s="893">
        <f t="shared" si="27"/>
        <v>9.4982654880388082E-2</v>
      </c>
      <c r="Q29" s="893">
        <f t="shared" si="27"/>
        <v>0.16577706030203815</v>
      </c>
      <c r="R29" s="893">
        <f t="shared" si="27"/>
        <v>0.21366103430243844</v>
      </c>
      <c r="S29" s="893">
        <f t="shared" si="28"/>
        <v>1.0207128587706043E-2</v>
      </c>
      <c r="T29" s="412">
        <f t="shared" si="28"/>
        <v>4.5785416964713088E-3</v>
      </c>
      <c r="U29" s="412">
        <f t="shared" si="28"/>
        <v>8.4962253985552627E-2</v>
      </c>
      <c r="V29" s="412">
        <f t="shared" si="28"/>
        <v>0.14127388066513225</v>
      </c>
      <c r="W29" s="894">
        <f t="shared" si="28"/>
        <v>0.2049546468304082</v>
      </c>
      <c r="X29" s="893">
        <f t="shared" si="29"/>
        <v>0.10078029322252549</v>
      </c>
      <c r="Y29" s="896">
        <f t="shared" si="29"/>
        <v>8.8517034883252299E-2</v>
      </c>
      <c r="Z29" s="850">
        <f t="shared" si="29"/>
        <v>2.6932952906621988E-3</v>
      </c>
      <c r="AA29" s="896">
        <f t="shared" si="29"/>
        <v>8.0917595328775099E-2</v>
      </c>
      <c r="AB29" s="897">
        <f t="shared" si="29"/>
        <v>0.1336724596165354</v>
      </c>
      <c r="AC29" s="893">
        <f t="shared" ref="AC29:AC45" si="33">ABS(AC8-I8)/I8</f>
        <v>0.45217247467296612</v>
      </c>
      <c r="AD29" s="412">
        <f t="shared" si="30"/>
        <v>0.1767900055072319</v>
      </c>
      <c r="AE29" s="412">
        <f t="shared" si="30"/>
        <v>9.7031853986229988E-2</v>
      </c>
      <c r="AF29" s="412">
        <f t="shared" si="30"/>
        <v>2.3152509042924656E-3</v>
      </c>
      <c r="AG29" s="894">
        <f t="shared" si="30"/>
        <v>6.0507920614576806E-2</v>
      </c>
      <c r="AH29" s="893">
        <f t="shared" si="31"/>
        <v>0.26998451193123441</v>
      </c>
      <c r="AI29" s="412">
        <f t="shared" si="32"/>
        <v>0.25583623161355595</v>
      </c>
      <c r="AJ29" s="412">
        <f t="shared" si="32"/>
        <v>0.15034207578344444</v>
      </c>
      <c r="AK29" s="412">
        <f t="shared" si="32"/>
        <v>6.0357299551522955E-2</v>
      </c>
      <c r="AL29" s="894">
        <f t="shared" si="32"/>
        <v>5.1220111504160434E-3</v>
      </c>
      <c r="AM29" s="898"/>
      <c r="AN29" s="898"/>
      <c r="AO29" s="938"/>
      <c r="AP29" s="938"/>
      <c r="AQ29" s="938"/>
      <c r="AR29" s="938"/>
      <c r="AS29" s="938"/>
      <c r="AU29" s="938"/>
      <c r="AV29" s="938"/>
      <c r="AW29" s="938"/>
      <c r="BA29" s="35">
        <f t="shared" si="23"/>
        <v>466.30138026225183</v>
      </c>
      <c r="BB29" s="36">
        <f t="shared" si="24"/>
        <v>50</v>
      </c>
      <c r="BC29" s="36">
        <f t="shared" si="25"/>
        <v>-0.28999999999999998</v>
      </c>
      <c r="BD29" s="36">
        <f t="shared" si="25"/>
        <v>1450</v>
      </c>
      <c r="BE29" s="795">
        <f t="shared" si="22"/>
        <v>0.51286138399136494</v>
      </c>
      <c r="BF29" s="37"/>
    </row>
    <row r="30" spans="1:58" x14ac:dyDescent="0.25">
      <c r="A30" s="845"/>
      <c r="E30" s="801"/>
      <c r="F30" s="801"/>
      <c r="J30" s="35" t="s">
        <v>1241</v>
      </c>
      <c r="K30" s="892">
        <f>IF(AND($F$2&lt;=12.5,$F$2&gt;0),B9,IF(AND($F$2&gt;12.5,$F$2&lt;=37.5),B17,IF(AND($F$2&gt;37.5,$F$2&lt;=62.5),B26,IF(AND($F$2&gt;62.5,$F$2&lt;=87.5),B34,IF( $F$2&gt;87.5,B43,B43)))))</f>
        <v>0.40499000000000002</v>
      </c>
      <c r="M30">
        <f t="shared" ref="M30:M45" si="34">M29+10</f>
        <v>200</v>
      </c>
      <c r="N30" s="893">
        <f t="shared" si="26"/>
        <v>6.5518364157214409E-4</v>
      </c>
      <c r="O30" s="893">
        <f t="shared" si="27"/>
        <v>1.7198232404864691E-2</v>
      </c>
      <c r="P30" s="893">
        <f t="shared" si="27"/>
        <v>6.4161503982099646E-2</v>
      </c>
      <c r="Q30" s="893">
        <f t="shared" si="27"/>
        <v>0.13712010873774241</v>
      </c>
      <c r="R30" s="893">
        <f t="shared" si="27"/>
        <v>0.18657547702458421</v>
      </c>
      <c r="S30" s="893">
        <f t="shared" si="28"/>
        <v>1.2482190117356796E-4</v>
      </c>
      <c r="T30" s="412">
        <f t="shared" si="28"/>
        <v>5.3219377990442445E-3</v>
      </c>
      <c r="U30" s="412">
        <f t="shared" si="28"/>
        <v>5.8156743963398039E-2</v>
      </c>
      <c r="V30" s="412">
        <f t="shared" si="28"/>
        <v>0.11586514365987183</v>
      </c>
      <c r="W30" s="894">
        <f t="shared" si="28"/>
        <v>0.18135618002560677</v>
      </c>
      <c r="X30" s="895">
        <f t="shared" si="29"/>
        <v>5.1100029960370684E-2</v>
      </c>
      <c r="Y30" s="896">
        <f t="shared" si="29"/>
        <v>3.9521551534484917E-2</v>
      </c>
      <c r="Z30" s="850">
        <f t="shared" si="29"/>
        <v>4.5777152666874972E-3</v>
      </c>
      <c r="AA30" s="896">
        <f t="shared" si="29"/>
        <v>8.7321296188021591E-2</v>
      </c>
      <c r="AB30" s="897">
        <f t="shared" si="29"/>
        <v>0.13963084921115548</v>
      </c>
      <c r="AC30" s="893">
        <f t="shared" si="33"/>
        <v>0.48243664133905229</v>
      </c>
      <c r="AD30" s="412">
        <f t="shared" si="30"/>
        <v>0.22216913418467135</v>
      </c>
      <c r="AE30" s="412">
        <f t="shared" si="30"/>
        <v>0.11307285121334427</v>
      </c>
      <c r="AF30" s="412">
        <f t="shared" si="30"/>
        <v>1.5208992538849272E-2</v>
      </c>
      <c r="AG30" s="894">
        <f t="shared" si="30"/>
        <v>7.6850363683113626E-2</v>
      </c>
      <c r="AH30" s="893">
        <f t="shared" si="31"/>
        <v>0.19853769182092376</v>
      </c>
      <c r="AI30" s="412">
        <f t="shared" si="32"/>
        <v>0.18533510176117196</v>
      </c>
      <c r="AJ30" s="412">
        <f t="shared" si="32"/>
        <v>0.12869375644668987</v>
      </c>
      <c r="AK30" s="412">
        <f t="shared" si="32"/>
        <v>4.0700024603903151E-2</v>
      </c>
      <c r="AL30" s="894">
        <f t="shared" si="32"/>
        <v>1.3422146507667237E-2</v>
      </c>
      <c r="AM30" s="898"/>
      <c r="AN30" s="898"/>
      <c r="AO30" s="938"/>
      <c r="AP30" s="938"/>
      <c r="AQ30" s="938"/>
      <c r="AR30" s="938"/>
      <c r="AS30" s="938"/>
      <c r="AU30" s="938"/>
      <c r="AV30" s="938"/>
      <c r="AW30" s="938"/>
      <c r="BA30" s="35">
        <f t="shared" si="23"/>
        <v>453.58932205675239</v>
      </c>
      <c r="BB30" s="36">
        <f t="shared" si="24"/>
        <v>55</v>
      </c>
      <c r="BC30" s="36">
        <f t="shared" si="25"/>
        <v>-0.28999999999999998</v>
      </c>
      <c r="BD30" s="36">
        <f t="shared" si="25"/>
        <v>1450</v>
      </c>
      <c r="BE30" s="795">
        <f t="shared" si="22"/>
        <v>0.49888003192891855</v>
      </c>
      <c r="BF30" s="37"/>
    </row>
    <row r="31" spans="1:58" ht="15.75" thickBot="1" x14ac:dyDescent="0.3">
      <c r="A31" s="845"/>
      <c r="E31" t="s">
        <v>1242</v>
      </c>
      <c r="J31" s="35" t="s">
        <v>1243</v>
      </c>
      <c r="K31" s="892">
        <f>IF(AND($F$2&lt;=12.5,$F$2&gt;0),B10,IF(AND($F$2&gt;12.5,$F$2&lt;=37.5),B18,IF(AND($F$2&gt;37.5,$F$2&lt;=62.5),B27,IF(AND($F$2&gt;62.5,$F$2&lt;=87.5),B35,IF( $F$2&gt;87.5,B44,B44)))))</f>
        <v>-132.32499999999999</v>
      </c>
      <c r="M31">
        <f t="shared" si="34"/>
        <v>210</v>
      </c>
      <c r="N31" s="893">
        <f t="shared" si="26"/>
        <v>1.4880831449696442E-3</v>
      </c>
      <c r="O31" s="893">
        <f t="shared" si="27"/>
        <v>1.4691415480099716E-2</v>
      </c>
      <c r="P31" s="893">
        <f t="shared" si="27"/>
        <v>2.3105292329099351E-2</v>
      </c>
      <c r="Q31" s="893">
        <f t="shared" si="27"/>
        <v>9.6088306910630514E-2</v>
      </c>
      <c r="R31" s="893">
        <f t="shared" si="27"/>
        <v>0.14787566521857989</v>
      </c>
      <c r="S31" s="893">
        <f t="shared" si="28"/>
        <v>4.2486496621136445E-3</v>
      </c>
      <c r="T31" s="412">
        <f t="shared" si="28"/>
        <v>6.3173957191148544E-3</v>
      </c>
      <c r="U31" s="412">
        <f t="shared" si="28"/>
        <v>2.0319885526512902E-2</v>
      </c>
      <c r="V31" s="412">
        <f t="shared" si="28"/>
        <v>7.7103543277525333E-2</v>
      </c>
      <c r="W31" s="894">
        <f t="shared" si="28"/>
        <v>0.14544601450995015</v>
      </c>
      <c r="X31" s="895">
        <f t="shared" si="29"/>
        <v>1.8818540966763494E-2</v>
      </c>
      <c r="Y31" s="899">
        <f t="shared" si="29"/>
        <v>1.1008340660412119E-2</v>
      </c>
      <c r="Z31" s="850">
        <f t="shared" si="29"/>
        <v>8.0199166015947759E-3</v>
      </c>
      <c r="AA31" s="896">
        <f t="shared" si="29"/>
        <v>7.2511621951295832E-2</v>
      </c>
      <c r="AB31" s="897">
        <f t="shared" si="29"/>
        <v>0.12564974742050383</v>
      </c>
      <c r="AC31" s="893">
        <f t="shared" si="33"/>
        <v>0.50499581039448949</v>
      </c>
      <c r="AD31" s="412">
        <f t="shared" si="30"/>
        <v>0.25355300427232719</v>
      </c>
      <c r="AE31" s="412">
        <f t="shared" si="30"/>
        <v>0.11377853756172322</v>
      </c>
      <c r="AF31" s="412">
        <f t="shared" si="30"/>
        <v>1.2522532769068648E-2</v>
      </c>
      <c r="AG31" s="894">
        <f t="shared" si="30"/>
        <v>7.4310636508421013E-2</v>
      </c>
      <c r="AH31" s="893">
        <f t="shared" si="31"/>
        <v>0.14039345691931504</v>
      </c>
      <c r="AI31" s="412">
        <f t="shared" si="32"/>
        <v>0.13165127078071132</v>
      </c>
      <c r="AJ31" s="412">
        <f t="shared" si="32"/>
        <v>0.12198772518905039</v>
      </c>
      <c r="AK31" s="412">
        <f t="shared" si="32"/>
        <v>3.8164928458987862E-2</v>
      </c>
      <c r="AL31" s="894">
        <f t="shared" si="32"/>
        <v>1.5802627699731578E-2</v>
      </c>
      <c r="AM31" s="898"/>
      <c r="AN31" s="898"/>
      <c r="AO31" s="938"/>
      <c r="AP31" s="938"/>
      <c r="AQ31" s="938"/>
      <c r="AR31" s="938"/>
      <c r="AS31" s="938"/>
      <c r="AU31" s="938"/>
      <c r="AV31" s="938"/>
      <c r="AW31" s="938"/>
      <c r="BA31" s="35">
        <f t="shared" si="23"/>
        <v>442.28696450354511</v>
      </c>
      <c r="BB31" s="36">
        <f t="shared" si="24"/>
        <v>60</v>
      </c>
      <c r="BC31" s="36">
        <f t="shared" si="25"/>
        <v>-0.28999999999999998</v>
      </c>
      <c r="BD31" s="36">
        <f t="shared" si="25"/>
        <v>1450</v>
      </c>
      <c r="BE31" s="795">
        <f t="shared" si="22"/>
        <v>0.48644913855724742</v>
      </c>
      <c r="BF31" s="37"/>
    </row>
    <row r="32" spans="1:58" ht="15.75" thickBot="1" x14ac:dyDescent="0.3">
      <c r="A32" s="845"/>
      <c r="B32" s="882">
        <v>2.5824399999999999E-6</v>
      </c>
      <c r="C32" t="s">
        <v>1225</v>
      </c>
      <c r="D32" s="882"/>
      <c r="E32" s="32" t="s">
        <v>509</v>
      </c>
      <c r="F32" s="1034">
        <f>F1</f>
        <v>200</v>
      </c>
      <c r="J32" s="38" t="s">
        <v>1244</v>
      </c>
      <c r="K32" s="900">
        <f>IF(AND($F$2&lt;=12.5,$F$2&gt;0),B11,IF(AND($F$2&gt;12.5,$F$2&lt;=37.5),B19,IF(AND($F$2&gt;37.5,$F$2&lt;=62.5),B28,IF(AND($F$2&gt;62.5,$F$2&lt;=87.5),B36,IF( $F$2&gt;87.5,B45,B45)))))</f>
        <v>16552.5</v>
      </c>
      <c r="M32">
        <f t="shared" si="34"/>
        <v>220</v>
      </c>
      <c r="N32" s="893">
        <f t="shared" si="26"/>
        <v>4.5233825343159425E-3</v>
      </c>
      <c r="O32" s="893">
        <f t="shared" si="27"/>
        <v>2.5336286335542919E-3</v>
      </c>
      <c r="P32" s="893">
        <f t="shared" si="27"/>
        <v>8.6277794656740986E-3</v>
      </c>
      <c r="Q32" s="893">
        <f t="shared" si="27"/>
        <v>3.8622627763398622E-2</v>
      </c>
      <c r="R32" s="893">
        <f t="shared" si="27"/>
        <v>9.3103789222007058E-2</v>
      </c>
      <c r="S32" s="893">
        <f t="shared" si="28"/>
        <v>9.4106951007689749E-4</v>
      </c>
      <c r="T32" s="412">
        <f t="shared" si="28"/>
        <v>3.245192762489725E-3</v>
      </c>
      <c r="U32" s="412">
        <f t="shared" si="28"/>
        <v>8.4681126509332759E-3</v>
      </c>
      <c r="V32" s="412">
        <f t="shared" si="28"/>
        <v>2.106405741698197E-2</v>
      </c>
      <c r="W32" s="894">
        <f t="shared" si="28"/>
        <v>9.2957727807055551E-2</v>
      </c>
      <c r="X32" s="901">
        <f t="shared" si="29"/>
        <v>4.418802304001752E-3</v>
      </c>
      <c r="Y32" s="850">
        <f t="shared" si="29"/>
        <v>2.9792094093459513E-3</v>
      </c>
      <c r="Z32" s="850">
        <f t="shared" si="29"/>
        <v>2.4651821948040663E-3</v>
      </c>
      <c r="AA32" s="412">
        <f t="shared" si="29"/>
        <v>3.3309247880737913E-2</v>
      </c>
      <c r="AB32" s="897">
        <f t="shared" si="29"/>
        <v>8.8091518056524709E-2</v>
      </c>
      <c r="AC32" s="893">
        <f t="shared" si="33"/>
        <v>0.51921825604461891</v>
      </c>
      <c r="AD32" s="412">
        <f t="shared" si="30"/>
        <v>0.27044629666538189</v>
      </c>
      <c r="AE32" s="412">
        <f t="shared" si="30"/>
        <v>0.13171250235420659</v>
      </c>
      <c r="AF32" s="412">
        <f t="shared" si="30"/>
        <v>1.3975313510195948E-2</v>
      </c>
      <c r="AG32" s="894">
        <f t="shared" si="30"/>
        <v>4.8843043343683328E-2</v>
      </c>
      <c r="AH32" s="893">
        <f t="shared" si="31"/>
        <v>9.8052835981592354E-2</v>
      </c>
      <c r="AI32" s="412">
        <f t="shared" si="32"/>
        <v>9.6479041208923977E-2</v>
      </c>
      <c r="AJ32" s="412">
        <f t="shared" si="32"/>
        <v>8.9779959562460515E-2</v>
      </c>
      <c r="AK32" s="412">
        <f t="shared" si="32"/>
        <v>5.6807697592724499E-2</v>
      </c>
      <c r="AL32" s="894">
        <f t="shared" si="32"/>
        <v>2.5326920247932131E-3</v>
      </c>
      <c r="AM32" s="898"/>
      <c r="AN32" s="898"/>
      <c r="AO32" s="938"/>
      <c r="AP32" s="938"/>
      <c r="AQ32" s="938"/>
      <c r="AR32" s="938"/>
      <c r="AS32" s="938"/>
      <c r="AU32" s="938"/>
      <c r="AV32" s="938"/>
      <c r="AW32" s="938"/>
      <c r="BA32" s="35">
        <f t="shared" si="23"/>
        <v>432.1386678558992</v>
      </c>
      <c r="BB32" s="36">
        <f>5+BB31</f>
        <v>65</v>
      </c>
      <c r="BC32" s="36">
        <f t="shared" si="25"/>
        <v>-0.28999999999999998</v>
      </c>
      <c r="BD32" s="36">
        <f t="shared" si="25"/>
        <v>1450</v>
      </c>
      <c r="BE32" s="795">
        <f t="shared" si="22"/>
        <v>0.47528753860457418</v>
      </c>
      <c r="BF32" s="37"/>
    </row>
    <row r="33" spans="1:58" ht="15.75" thickBot="1" x14ac:dyDescent="0.3">
      <c r="A33" s="845"/>
      <c r="B33" s="882">
        <v>-3.3013492858767145E-3</v>
      </c>
      <c r="C33" t="s">
        <v>1226</v>
      </c>
      <c r="D33" s="882"/>
      <c r="E33" s="35" t="s">
        <v>1245</v>
      </c>
      <c r="F33" s="877">
        <f>0.00000258244*F32^4 - 0.00330135*F32^3 + 1.58452*F32^2 - 339.79*F32 + 28496.7</f>
        <v>1640.6039999999957</v>
      </c>
      <c r="M33">
        <f t="shared" si="34"/>
        <v>230</v>
      </c>
      <c r="N33" s="893">
        <f t="shared" si="26"/>
        <v>4.0667076908273798E-3</v>
      </c>
      <c r="O33" s="893">
        <f t="shared" si="27"/>
        <v>1.3868815420082815E-3</v>
      </c>
      <c r="P33" s="893">
        <f t="shared" si="27"/>
        <v>2.8368567828804224E-3</v>
      </c>
      <c r="Q33" s="893">
        <f t="shared" si="27"/>
        <v>6.2960643486400479E-3</v>
      </c>
      <c r="R33" s="893">
        <f t="shared" si="27"/>
        <v>4.6854060129805447E-2</v>
      </c>
      <c r="S33" s="893">
        <f t="shared" si="28"/>
        <v>3.4628324749773997E-3</v>
      </c>
      <c r="T33" s="412">
        <f t="shared" si="28"/>
        <v>5.1030718824774061E-3</v>
      </c>
      <c r="U33" s="412">
        <f t="shared" si="28"/>
        <v>4.741177410184043E-3</v>
      </c>
      <c r="V33" s="412">
        <f t="shared" si="28"/>
        <v>9.7579152787789312E-3</v>
      </c>
      <c r="W33" s="894">
        <f t="shared" si="28"/>
        <v>4.8674319418842274E-2</v>
      </c>
      <c r="X33" s="902">
        <f t="shared" si="29"/>
        <v>7.3639679330429267E-3</v>
      </c>
      <c r="Y33" s="850">
        <f t="shared" si="29"/>
        <v>4.4381395074192202E-3</v>
      </c>
      <c r="Z33" s="850">
        <f t="shared" si="29"/>
        <v>3.0544132565900701E-3</v>
      </c>
      <c r="AA33" s="850">
        <f t="shared" si="29"/>
        <v>1.2076394058127798E-2</v>
      </c>
      <c r="AB33" s="894">
        <f t="shared" si="29"/>
        <v>5.2398465858759465E-2</v>
      </c>
      <c r="AC33" s="893">
        <f t="shared" si="33"/>
        <v>0.53193655568785558</v>
      </c>
      <c r="AD33" s="412">
        <f t="shared" si="30"/>
        <v>0.28662950966762468</v>
      </c>
      <c r="AE33" s="412">
        <f t="shared" si="30"/>
        <v>0.14935714367585665</v>
      </c>
      <c r="AF33" s="412">
        <f t="shared" si="30"/>
        <v>2.0809573585934292E-2</v>
      </c>
      <c r="AG33" s="894">
        <f t="shared" si="30"/>
        <v>2.633795144691041E-2</v>
      </c>
      <c r="AH33" s="893">
        <f t="shared" si="31"/>
        <v>5.7169409786841541E-2</v>
      </c>
      <c r="AI33" s="412">
        <f t="shared" si="32"/>
        <v>6.0285452535575525E-2</v>
      </c>
      <c r="AJ33" s="412">
        <f t="shared" si="32"/>
        <v>5.581328659876942E-2</v>
      </c>
      <c r="AK33" s="412">
        <f t="shared" si="32"/>
        <v>5.2150618825821907E-2</v>
      </c>
      <c r="AL33" s="894">
        <f t="shared" si="32"/>
        <v>1.4890510313888661E-2</v>
      </c>
      <c r="AM33" s="898"/>
      <c r="AN33" s="898"/>
      <c r="AO33" s="938"/>
      <c r="AP33" s="938"/>
      <c r="AQ33" s="938"/>
      <c r="AR33" s="938"/>
      <c r="AS33" s="938"/>
      <c r="AU33" s="938"/>
      <c r="AV33" s="938"/>
      <c r="AW33" s="938"/>
      <c r="BA33" s="35">
        <f t="shared" si="23"/>
        <v>422.95052719493458</v>
      </c>
      <c r="BB33" s="36">
        <f t="shared" si="24"/>
        <v>70</v>
      </c>
      <c r="BC33" s="36">
        <f t="shared" si="25"/>
        <v>-0.28999999999999998</v>
      </c>
      <c r="BD33" s="36">
        <f t="shared" si="25"/>
        <v>1450</v>
      </c>
      <c r="BE33" s="795">
        <f t="shared" si="22"/>
        <v>0.46518196582449911</v>
      </c>
      <c r="BF33" s="37"/>
    </row>
    <row r="34" spans="1:58" x14ac:dyDescent="0.25">
      <c r="A34" s="845"/>
      <c r="B34" s="882">
        <v>1.5845200000024922</v>
      </c>
      <c r="C34" t="s">
        <v>1227</v>
      </c>
      <c r="D34" s="882"/>
      <c r="E34" s="35" t="s">
        <v>1053</v>
      </c>
      <c r="F34" s="877">
        <f>F33*(1+AD102)</f>
        <v>3317.3209652555706</v>
      </c>
      <c r="I34" s="1295" t="s">
        <v>1246</v>
      </c>
      <c r="J34" s="33" t="s">
        <v>1247</v>
      </c>
      <c r="K34" s="903">
        <f>K28*F1^4+K29*F1^3+K30*F1^2+K31*F1+K32</f>
        <v>2923.0360000000037</v>
      </c>
      <c r="M34">
        <f t="shared" si="34"/>
        <v>240</v>
      </c>
      <c r="N34" s="893">
        <f t="shared" si="26"/>
        <v>1.3567661183756454E-3</v>
      </c>
      <c r="O34" s="893">
        <f t="shared" si="27"/>
        <v>1.5055883642762671E-3</v>
      </c>
      <c r="P34" s="893">
        <f t="shared" si="27"/>
        <v>2.2192380755773364E-4</v>
      </c>
      <c r="Q34" s="893">
        <f t="shared" si="27"/>
        <v>3.0109045198907238E-3</v>
      </c>
      <c r="R34" s="893">
        <f t="shared" si="27"/>
        <v>5.7616021877458087E-3</v>
      </c>
      <c r="S34" s="893">
        <f t="shared" si="28"/>
        <v>7.8687075247283675E-3</v>
      </c>
      <c r="T34" s="412">
        <f t="shared" si="28"/>
        <v>3.4863210909099659E-3</v>
      </c>
      <c r="U34" s="412">
        <f t="shared" si="28"/>
        <v>3.8544378738412811E-3</v>
      </c>
      <c r="V34" s="412">
        <f t="shared" si="28"/>
        <v>1.1346653682020889E-2</v>
      </c>
      <c r="W34" s="894">
        <f t="shared" si="28"/>
        <v>9.3739888276360931E-3</v>
      </c>
      <c r="X34" s="902">
        <f t="shared" si="29"/>
        <v>1.4444145760756826E-2</v>
      </c>
      <c r="Y34" s="850">
        <f t="shared" si="29"/>
        <v>8.7466531133341442E-3</v>
      </c>
      <c r="Z34" s="850">
        <f t="shared" si="29"/>
        <v>4.8838304891626614E-3</v>
      </c>
      <c r="AA34" s="850">
        <f t="shared" si="29"/>
        <v>1.3216911432044931E-2</v>
      </c>
      <c r="AB34" s="897">
        <f t="shared" si="29"/>
        <v>1.5939450678169806E-2</v>
      </c>
      <c r="AC34" s="893">
        <f t="shared" si="33"/>
        <v>0.54156628425104358</v>
      </c>
      <c r="AD34" s="412">
        <f t="shared" si="30"/>
        <v>0.29933217271949614</v>
      </c>
      <c r="AE34" s="412">
        <f t="shared" si="30"/>
        <v>0.16241246166972911</v>
      </c>
      <c r="AF34" s="412">
        <f t="shared" si="30"/>
        <v>5.8279270624928227E-3</v>
      </c>
      <c r="AG34" s="894">
        <f t="shared" si="30"/>
        <v>2.5642529047309286E-3</v>
      </c>
      <c r="AH34" s="893">
        <f t="shared" si="31"/>
        <v>2.2921583622087197E-2</v>
      </c>
      <c r="AI34" s="412">
        <f t="shared" si="32"/>
        <v>2.8835087333224516E-2</v>
      </c>
      <c r="AJ34" s="412">
        <f t="shared" si="32"/>
        <v>2.7060434094313454E-2</v>
      </c>
      <c r="AK34" s="412">
        <f t="shared" si="32"/>
        <v>2.4195346522080708E-2</v>
      </c>
      <c r="AL34" s="894">
        <f t="shared" si="32"/>
        <v>2.712146689248543E-2</v>
      </c>
      <c r="AM34" s="898"/>
      <c r="AN34" s="898"/>
      <c r="AO34" s="938"/>
      <c r="AP34" s="938"/>
      <c r="AQ34" s="938"/>
      <c r="AR34" s="938"/>
      <c r="AS34" s="938"/>
      <c r="AU34" s="938"/>
      <c r="AV34" s="938"/>
      <c r="AW34" s="938"/>
      <c r="BA34" s="35">
        <f t="shared" si="23"/>
        <v>414.57225692753974</v>
      </c>
      <c r="BB34" s="36">
        <f t="shared" si="24"/>
        <v>75</v>
      </c>
      <c r="BC34" s="36">
        <f t="shared" si="25"/>
        <v>-0.28999999999999998</v>
      </c>
      <c r="BD34" s="36">
        <f t="shared" si="25"/>
        <v>1450</v>
      </c>
      <c r="BE34" s="795">
        <f t="shared" si="22"/>
        <v>0.45596712866838085</v>
      </c>
      <c r="BF34" s="37"/>
    </row>
    <row r="35" spans="1:58" x14ac:dyDescent="0.25">
      <c r="A35" s="845"/>
      <c r="B35" s="882">
        <v>-339.79</v>
      </c>
      <c r="C35" t="s">
        <v>1228</v>
      </c>
      <c r="D35" s="882"/>
      <c r="E35" s="35" t="s">
        <v>1054</v>
      </c>
      <c r="F35" s="1035">
        <f>F2</f>
        <v>10</v>
      </c>
      <c r="I35" s="1296"/>
      <c r="J35" s="358" t="s">
        <v>1248</v>
      </c>
      <c r="K35" s="904">
        <f>IF(AND($F$2&lt;=12.5,$F$2&gt;0),0,IF(AND($F$2&gt;12.5,$F$2&lt;=37.5),R102,IF(AND($F$2&gt;37.5,$F$2&lt;=62.5),X102,IF(AND($F$2&gt;62.5,F2&lt;=87.5),AD102,IF( $F$2&gt;87.5,AJ102,AJ102)))))+1</f>
        <v>1</v>
      </c>
      <c r="M35">
        <f t="shared" si="34"/>
        <v>250</v>
      </c>
      <c r="N35" s="893">
        <f t="shared" si="26"/>
        <v>2.0476081955635088E-3</v>
      </c>
      <c r="O35" s="893">
        <f t="shared" si="27"/>
        <v>5.6917404758436135E-4</v>
      </c>
      <c r="P35" s="893">
        <f t="shared" si="27"/>
        <v>3.4857063596499271E-5</v>
      </c>
      <c r="Q35" s="893">
        <f t="shared" si="27"/>
        <v>1.2409092230605812E-3</v>
      </c>
      <c r="R35" s="893">
        <f t="shared" si="27"/>
        <v>3.3707245597896251E-3</v>
      </c>
      <c r="S35" s="893">
        <f t="shared" si="28"/>
        <v>1.2864598105912258E-2</v>
      </c>
      <c r="T35" s="412">
        <f t="shared" si="28"/>
        <v>9.0254050214923459E-4</v>
      </c>
      <c r="U35" s="412">
        <f t="shared" si="28"/>
        <v>5.2340155586500106E-3</v>
      </c>
      <c r="V35" s="412">
        <f t="shared" si="28"/>
        <v>1.1479235852605916E-2</v>
      </c>
      <c r="W35" s="894">
        <f t="shared" si="28"/>
        <v>8.6216542316969683E-3</v>
      </c>
      <c r="X35" s="895">
        <f t="shared" si="29"/>
        <v>1.7801186243443838E-2</v>
      </c>
      <c r="Y35" s="850">
        <f t="shared" si="29"/>
        <v>9.679919817721587E-3</v>
      </c>
      <c r="Z35" s="850">
        <f t="shared" si="29"/>
        <v>4.6347180731713096E-3</v>
      </c>
      <c r="AA35" s="850">
        <f t="shared" si="29"/>
        <v>1.1471461928169115E-2</v>
      </c>
      <c r="AB35" s="851">
        <f t="shared" si="29"/>
        <v>1.3579461004845708E-2</v>
      </c>
      <c r="AC35" s="893">
        <f t="shared" si="33"/>
        <v>0.54813772326053278</v>
      </c>
      <c r="AD35" s="412">
        <f t="shared" si="30"/>
        <v>0.30766790159802354</v>
      </c>
      <c r="AE35" s="412">
        <f t="shared" si="30"/>
        <v>0.1713897807206671</v>
      </c>
      <c r="AF35" s="412">
        <f t="shared" si="30"/>
        <v>3.4420093979866881E-3</v>
      </c>
      <c r="AG35" s="894">
        <f t="shared" si="30"/>
        <v>1.1135955039824041E-2</v>
      </c>
      <c r="AH35" s="893">
        <f t="shared" si="31"/>
        <v>3.3454765141236603E-3</v>
      </c>
      <c r="AI35" s="412">
        <f t="shared" si="32"/>
        <v>4.8953162930606463E-3</v>
      </c>
      <c r="AJ35" s="412">
        <f t="shared" si="32"/>
        <v>4.3586890927109177E-3</v>
      </c>
      <c r="AK35" s="412">
        <f t="shared" si="32"/>
        <v>3.0774067991935173E-3</v>
      </c>
      <c r="AL35" s="894">
        <f t="shared" si="32"/>
        <v>6.5752039618683852E-3</v>
      </c>
      <c r="AM35" s="898"/>
      <c r="AN35" s="898"/>
      <c r="AO35" s="938"/>
      <c r="AP35" s="938"/>
      <c r="AQ35" s="938"/>
      <c r="AR35" s="938"/>
      <c r="AS35" s="938"/>
      <c r="AU35" s="938"/>
      <c r="AV35" s="938"/>
      <c r="AW35" s="938"/>
      <c r="BA35" s="35">
        <f t="shared" si="23"/>
        <v>406.88521203817169</v>
      </c>
      <c r="BB35" s="36">
        <f t="shared" si="24"/>
        <v>80</v>
      </c>
      <c r="BC35" s="36">
        <f t="shared" si="25"/>
        <v>-0.28999999999999998</v>
      </c>
      <c r="BD35" s="36">
        <f t="shared" si="25"/>
        <v>1450</v>
      </c>
      <c r="BE35" s="795">
        <f t="shared" si="22"/>
        <v>0.44751253546398628</v>
      </c>
      <c r="BF35" s="37"/>
    </row>
    <row r="36" spans="1:58" x14ac:dyDescent="0.25">
      <c r="A36" s="845"/>
      <c r="B36" s="881">
        <v>28496.7</v>
      </c>
      <c r="D36" s="881"/>
      <c r="E36" s="155" t="s">
        <v>1055</v>
      </c>
      <c r="F36" s="879">
        <f>F34*(0.9944*((F35/5)^-0.26))</f>
        <v>2754.7412368388573</v>
      </c>
      <c r="I36" s="1296"/>
      <c r="J36" s="358" t="s">
        <v>1249</v>
      </c>
      <c r="K36" s="37">
        <f>K34*(K35)</f>
        <v>2923.0360000000037</v>
      </c>
      <c r="M36">
        <f t="shared" si="34"/>
        <v>260</v>
      </c>
      <c r="N36" s="893">
        <f t="shared" si="26"/>
        <v>3.8524527675714137E-3</v>
      </c>
      <c r="O36" s="893">
        <f t="shared" si="27"/>
        <v>6.1629316735090209E-4</v>
      </c>
      <c r="P36" s="893">
        <f t="shared" si="27"/>
        <v>6.7767953892899999E-4</v>
      </c>
      <c r="Q36" s="893">
        <f t="shared" si="27"/>
        <v>2.1591565225009785E-4</v>
      </c>
      <c r="R36" s="893">
        <f t="shared" si="27"/>
        <v>9.5069112897161858E-4</v>
      </c>
      <c r="S36" s="893">
        <f t="shared" si="28"/>
        <v>1.6393606677222866E-2</v>
      </c>
      <c r="T36" s="412">
        <f t="shared" si="28"/>
        <v>8.2165750864582039E-4</v>
      </c>
      <c r="U36" s="412">
        <f t="shared" si="28"/>
        <v>6.3561013408968614E-3</v>
      </c>
      <c r="V36" s="412">
        <f t="shared" si="28"/>
        <v>1.1162037378078239E-2</v>
      </c>
      <c r="W36" s="894">
        <f t="shared" si="28"/>
        <v>7.9730261629442703E-3</v>
      </c>
      <c r="X36" s="895">
        <f t="shared" si="29"/>
        <v>1.7660992909435548E-2</v>
      </c>
      <c r="Y36" s="850">
        <f t="shared" si="29"/>
        <v>7.6972973393515986E-3</v>
      </c>
      <c r="Z36" s="850">
        <f t="shared" si="29"/>
        <v>2.0478891739777795E-3</v>
      </c>
      <c r="AA36" s="850">
        <f t="shared" si="29"/>
        <v>8.0943483298585341E-3</v>
      </c>
      <c r="AB36" s="851">
        <f t="shared" si="29"/>
        <v>9.251262393574617E-3</v>
      </c>
      <c r="AC36" s="893">
        <f t="shared" si="33"/>
        <v>0.55150719724041486</v>
      </c>
      <c r="AD36" s="412">
        <f t="shared" si="30"/>
        <v>0.31155307595076348</v>
      </c>
      <c r="AE36" s="412">
        <f t="shared" si="30"/>
        <v>0.17554889340283331</v>
      </c>
      <c r="AF36" s="412">
        <f t="shared" si="30"/>
        <v>7.6356902180359518E-3</v>
      </c>
      <c r="AG36" s="894">
        <f t="shared" si="30"/>
        <v>1.4343897660166619E-2</v>
      </c>
      <c r="AH36" s="893">
        <f t="shared" si="31"/>
        <v>2.020904402655024E-2</v>
      </c>
      <c r="AI36" s="412">
        <f t="shared" si="32"/>
        <v>1.0271192900639624E-2</v>
      </c>
      <c r="AJ36" s="412">
        <f t="shared" si="32"/>
        <v>1.0210474460685327E-2</v>
      </c>
      <c r="AK36" s="412">
        <f t="shared" si="32"/>
        <v>1.0667213995954879E-2</v>
      </c>
      <c r="AL36" s="894">
        <f t="shared" si="32"/>
        <v>6.2561616905400779E-3</v>
      </c>
      <c r="AM36" s="898"/>
      <c r="AN36" s="898"/>
      <c r="AO36" s="938"/>
      <c r="AP36" s="938"/>
      <c r="AQ36" s="938"/>
      <c r="AR36" s="938"/>
      <c r="AS36" s="938"/>
      <c r="AU36" s="938"/>
      <c r="AV36" s="938"/>
      <c r="AW36" s="938"/>
      <c r="BA36" s="35">
        <f t="shared" si="23"/>
        <v>399.79422251840361</v>
      </c>
      <c r="BB36" s="36">
        <f t="shared" si="24"/>
        <v>85</v>
      </c>
      <c r="BC36" s="36">
        <f t="shared" si="25"/>
        <v>-0.28999999999999998</v>
      </c>
      <c r="BD36" s="36">
        <f t="shared" si="25"/>
        <v>1450</v>
      </c>
      <c r="BE36" s="795">
        <f t="shared" si="22"/>
        <v>0.43971351351613958</v>
      </c>
      <c r="BF36" s="37"/>
    </row>
    <row r="37" spans="1:58" ht="15.75" thickBot="1" x14ac:dyDescent="0.3">
      <c r="A37" s="845"/>
      <c r="E37" s="149" t="s">
        <v>1056</v>
      </c>
      <c r="F37" s="880">
        <f>F36*F35*1000</f>
        <v>27547412.368388575</v>
      </c>
      <c r="I37" s="1297"/>
      <c r="J37" s="358" t="str">
        <f>CONCATENATE(F2," MW Scaled Cost")</f>
        <v>10 MW Scaled Cost</v>
      </c>
      <c r="K37" s="905">
        <f>K36*(D2*((F2/5)^D3))</f>
        <v>2427.322496164963</v>
      </c>
      <c r="M37">
        <f t="shared" si="34"/>
        <v>270</v>
      </c>
      <c r="N37" s="893">
        <f t="shared" si="26"/>
        <v>4.6163188834648693E-3</v>
      </c>
      <c r="O37" s="893">
        <f t="shared" si="27"/>
        <v>1.2269980933674364E-3</v>
      </c>
      <c r="P37" s="893">
        <f t="shared" si="27"/>
        <v>1.9183420009736289E-3</v>
      </c>
      <c r="Q37" s="893">
        <f t="shared" si="27"/>
        <v>9.7970040284403267E-4</v>
      </c>
      <c r="R37" s="893">
        <f t="shared" si="27"/>
        <v>2.1950276001131316E-4</v>
      </c>
      <c r="S37" s="893">
        <f t="shared" si="28"/>
        <v>1.9149457551735919E-2</v>
      </c>
      <c r="T37" s="412">
        <f t="shared" si="28"/>
        <v>2.2479223906620104E-3</v>
      </c>
      <c r="U37" s="412">
        <f t="shared" si="28"/>
        <v>7.1502476278141637E-3</v>
      </c>
      <c r="V37" s="412">
        <f t="shared" si="28"/>
        <v>9.8733529815550822E-3</v>
      </c>
      <c r="W37" s="894">
        <f t="shared" si="28"/>
        <v>8.8337102903914728E-3</v>
      </c>
      <c r="X37" s="895">
        <f t="shared" si="29"/>
        <v>1.6712978968170089E-2</v>
      </c>
      <c r="Y37" s="850">
        <f t="shared" si="29"/>
        <v>5.3707506301482934E-3</v>
      </c>
      <c r="Z37" s="850">
        <f t="shared" si="29"/>
        <v>9.2119625295437337E-4</v>
      </c>
      <c r="AA37" s="850">
        <f t="shared" si="29"/>
        <v>5.6164187121766178E-3</v>
      </c>
      <c r="AB37" s="851">
        <f t="shared" si="29"/>
        <v>6.3716069085632439E-3</v>
      </c>
      <c r="AC37" s="893">
        <f t="shared" si="33"/>
        <v>0.55283742383730106</v>
      </c>
      <c r="AD37" s="412">
        <f t="shared" si="30"/>
        <v>0.31264899743904256</v>
      </c>
      <c r="AE37" s="412">
        <f t="shared" si="30"/>
        <v>0.1763434721821423</v>
      </c>
      <c r="AF37" s="412">
        <f t="shared" si="30"/>
        <v>9.0636244038108937E-3</v>
      </c>
      <c r="AG37" s="894">
        <f t="shared" si="30"/>
        <v>1.5361223917603726E-2</v>
      </c>
      <c r="AH37" s="893">
        <f t="shared" si="31"/>
        <v>2.9502109134394258E-2</v>
      </c>
      <c r="AI37" s="412">
        <f t="shared" si="32"/>
        <v>1.8307403576076964E-2</v>
      </c>
      <c r="AJ37" s="412">
        <f t="shared" si="32"/>
        <v>1.7629548107764667E-2</v>
      </c>
      <c r="AK37" s="412">
        <f t="shared" si="32"/>
        <v>1.8549876374315807E-2</v>
      </c>
      <c r="AL37" s="894">
        <f t="shared" si="32"/>
        <v>1.3772367467462319E-2</v>
      </c>
      <c r="AM37" s="898"/>
      <c r="AN37" s="898"/>
      <c r="AO37" s="938"/>
      <c r="AP37" s="938"/>
      <c r="AQ37" s="938"/>
      <c r="AR37" s="938"/>
      <c r="AS37" s="938"/>
      <c r="AU37" s="938"/>
      <c r="AV37" s="938"/>
      <c r="AW37" s="938"/>
      <c r="BA37" s="35">
        <f t="shared" si="23"/>
        <v>393.22187933636866</v>
      </c>
      <c r="BB37" s="36">
        <f t="shared" si="24"/>
        <v>90</v>
      </c>
      <c r="BC37" s="36">
        <f t="shared" si="25"/>
        <v>-0.28999999999999998</v>
      </c>
      <c r="BD37" s="36">
        <f t="shared" si="25"/>
        <v>1450</v>
      </c>
      <c r="BE37" s="795">
        <f t="shared" si="22"/>
        <v>0.43248492453253212</v>
      </c>
      <c r="BF37" s="37"/>
    </row>
    <row r="38" spans="1:58" ht="15.75" thickBot="1" x14ac:dyDescent="0.3">
      <c r="A38" s="845"/>
      <c r="I38" s="47" t="s">
        <v>1250</v>
      </c>
      <c r="J38" s="20">
        <f>F3</f>
        <v>2010</v>
      </c>
      <c r="K38" s="927">
        <f>LOOKUP(J38,'CERA PCCI power plant index'!C19:C29,'CERA PCCI power plant index'!G19:G29)*K37</f>
        <v>2427.322496164963</v>
      </c>
      <c r="M38">
        <f t="shared" si="34"/>
        <v>280</v>
      </c>
      <c r="N38" s="893">
        <f t="shared" si="26"/>
        <v>4.1026152627185036E-3</v>
      </c>
      <c r="O38" s="893">
        <f t="shared" si="27"/>
        <v>3.3137096705723669E-3</v>
      </c>
      <c r="P38" s="893">
        <f t="shared" si="27"/>
        <v>4.8471255660675885E-3</v>
      </c>
      <c r="Q38" s="893">
        <f t="shared" si="27"/>
        <v>4.4196703524218006E-3</v>
      </c>
      <c r="R38" s="893">
        <f t="shared" si="27"/>
        <v>3.8001346335330738E-3</v>
      </c>
      <c r="S38" s="893">
        <f t="shared" si="28"/>
        <v>2.0941453065835353E-2</v>
      </c>
      <c r="T38" s="412">
        <f t="shared" si="28"/>
        <v>2.5099172419051582E-3</v>
      </c>
      <c r="U38" s="412">
        <f t="shared" si="28"/>
        <v>6.5798836440441044E-3</v>
      </c>
      <c r="V38" s="412">
        <f t="shared" si="28"/>
        <v>1.0970778737076128E-2</v>
      </c>
      <c r="W38" s="894">
        <f t="shared" si="28"/>
        <v>7.6149683127060778E-3</v>
      </c>
      <c r="X38" s="895">
        <f t="shared" si="29"/>
        <v>1.6292635724580822E-2</v>
      </c>
      <c r="Y38" s="850">
        <f t="shared" si="29"/>
        <v>3.3860502508608146E-3</v>
      </c>
      <c r="Z38" s="850">
        <f t="shared" si="29"/>
        <v>3.7581718194833963E-3</v>
      </c>
      <c r="AA38" s="850">
        <f t="shared" si="29"/>
        <v>2.2874747676585928E-3</v>
      </c>
      <c r="AB38" s="851">
        <f t="shared" si="29"/>
        <v>2.9028734548900712E-3</v>
      </c>
      <c r="AC38" s="893">
        <f t="shared" si="33"/>
        <v>0.55283927529343557</v>
      </c>
      <c r="AD38" s="412">
        <f t="shared" si="30"/>
        <v>0.31157459049413089</v>
      </c>
      <c r="AE38" s="412">
        <f t="shared" si="30"/>
        <v>0.17436529808219764</v>
      </c>
      <c r="AF38" s="412">
        <f t="shared" si="30"/>
        <v>6.1751855136596596E-3</v>
      </c>
      <c r="AG38" s="894">
        <f t="shared" si="30"/>
        <v>1.235017238063766E-2</v>
      </c>
      <c r="AH38" s="893">
        <f t="shared" si="31"/>
        <v>3.2478678248411288E-2</v>
      </c>
      <c r="AI38" s="412">
        <f t="shared" si="32"/>
        <v>1.9784459326881422E-2</v>
      </c>
      <c r="AJ38" s="412">
        <f t="shared" si="32"/>
        <v>1.8286345549912333E-2</v>
      </c>
      <c r="AK38" s="412">
        <f t="shared" si="32"/>
        <v>1.8703959940425355E-2</v>
      </c>
      <c r="AL38" s="894">
        <f t="shared" si="32"/>
        <v>1.3786436827850765E-2</v>
      </c>
      <c r="AM38" s="898"/>
      <c r="AN38" s="898"/>
      <c r="AO38" s="938"/>
      <c r="AP38" s="938"/>
      <c r="AQ38" s="938"/>
      <c r="AR38" s="938"/>
      <c r="AS38" s="938"/>
      <c r="AU38" s="938"/>
      <c r="AV38" s="938"/>
      <c r="AW38" s="938"/>
      <c r="BA38" s="35">
        <f t="shared" si="23"/>
        <v>387.10444364970675</v>
      </c>
      <c r="BB38" s="36">
        <f t="shared" si="24"/>
        <v>95</v>
      </c>
      <c r="BC38" s="36">
        <f>BC37</f>
        <v>-0.28999999999999998</v>
      </c>
      <c r="BD38" s="36">
        <f>BD37</f>
        <v>1450</v>
      </c>
      <c r="BE38" s="795">
        <f t="shared" si="22"/>
        <v>0.42575666537324097</v>
      </c>
      <c r="BF38" s="37"/>
    </row>
    <row r="39" spans="1:58" x14ac:dyDescent="0.25">
      <c r="A39" s="845"/>
      <c r="M39">
        <f t="shared" si="34"/>
        <v>290</v>
      </c>
      <c r="N39" s="893">
        <f t="shared" si="26"/>
        <v>2.0874772727275562E-3</v>
      </c>
      <c r="O39" s="893">
        <f t="shared" si="27"/>
        <v>6.4128017117606748E-3</v>
      </c>
      <c r="P39" s="893">
        <f t="shared" si="27"/>
        <v>8.805875849412538E-3</v>
      </c>
      <c r="Q39" s="893">
        <f t="shared" si="27"/>
        <v>8.4708811637498882E-3</v>
      </c>
      <c r="R39" s="893">
        <f t="shared" si="27"/>
        <v>8.6729113163449782E-3</v>
      </c>
      <c r="S39" s="893">
        <f t="shared" si="28"/>
        <v>2.1480652207937677E-2</v>
      </c>
      <c r="T39" s="412">
        <f t="shared" si="28"/>
        <v>1.9992544085822368E-3</v>
      </c>
      <c r="U39" s="412">
        <f t="shared" si="28"/>
        <v>5.2282760504641541E-3</v>
      </c>
      <c r="V39" s="412">
        <f t="shared" si="28"/>
        <v>1.2440780217223828E-2</v>
      </c>
      <c r="W39" s="894">
        <f t="shared" si="28"/>
        <v>5.3593908277972321E-3</v>
      </c>
      <c r="X39" s="895">
        <f t="shared" si="29"/>
        <v>1.7006413024347185E-2</v>
      </c>
      <c r="Y39" s="850">
        <f t="shared" si="29"/>
        <v>3.0502960914445217E-3</v>
      </c>
      <c r="Z39" s="850">
        <f t="shared" si="29"/>
        <v>4.9479851668019562E-3</v>
      </c>
      <c r="AA39" s="850">
        <f t="shared" si="29"/>
        <v>1.0115683479273057E-3</v>
      </c>
      <c r="AB39" s="851">
        <f t="shared" si="29"/>
        <v>8.1143784435316185E-4</v>
      </c>
      <c r="AC39" s="893">
        <f t="shared" si="33"/>
        <v>0.55206320244982987</v>
      </c>
      <c r="AD39" s="412">
        <f t="shared" si="30"/>
        <v>0.30964653961379135</v>
      </c>
      <c r="AE39" s="412">
        <f t="shared" si="30"/>
        <v>0.17135072316654279</v>
      </c>
      <c r="AF39" s="412">
        <f t="shared" si="30"/>
        <v>2.4533865634714623E-3</v>
      </c>
      <c r="AG39" s="894">
        <f t="shared" si="30"/>
        <v>7.840925052426978E-3</v>
      </c>
      <c r="AH39" s="893">
        <f t="shared" si="31"/>
        <v>3.0508119013492676E-2</v>
      </c>
      <c r="AI39" s="412">
        <f t="shared" si="32"/>
        <v>1.6743693450782877E-2</v>
      </c>
      <c r="AJ39" s="412">
        <f t="shared" si="32"/>
        <v>1.4405681420447201E-2</v>
      </c>
      <c r="AK39" s="412">
        <f t="shared" si="32"/>
        <v>1.4732968232358014E-2</v>
      </c>
      <c r="AL39" s="894">
        <f t="shared" si="32"/>
        <v>8.9859076630159889E-3</v>
      </c>
      <c r="AM39" s="898"/>
      <c r="AN39" s="898"/>
      <c r="AO39" s="938"/>
      <c r="AP39" s="938"/>
      <c r="AQ39" s="938"/>
      <c r="AR39" s="938"/>
      <c r="AS39" s="938"/>
      <c r="AU39" s="938"/>
      <c r="AV39" s="938"/>
      <c r="AW39" s="938"/>
      <c r="BA39" s="35">
        <f t="shared" si="23"/>
        <v>381.38885882483038</v>
      </c>
      <c r="BB39" s="36">
        <f>5+BB38</f>
        <v>100</v>
      </c>
      <c r="BC39" s="36">
        <f>BC38</f>
        <v>-0.28999999999999998</v>
      </c>
      <c r="BD39" s="36">
        <f>BD38</f>
        <v>1450</v>
      </c>
      <c r="BE39" s="795">
        <f t="shared" si="22"/>
        <v>0.41947038172132994</v>
      </c>
      <c r="BF39" s="37"/>
    </row>
    <row r="40" spans="1:58" ht="15.75" thickBot="1" x14ac:dyDescent="0.3">
      <c r="A40" s="845"/>
      <c r="E40" t="s">
        <v>1251</v>
      </c>
      <c r="M40">
        <f t="shared" si="34"/>
        <v>300</v>
      </c>
      <c r="N40" s="893">
        <f t="shared" si="26"/>
        <v>1.169433339126459E-3</v>
      </c>
      <c r="O40" s="893">
        <f t="shared" si="27"/>
        <v>1.0737751009063694E-2</v>
      </c>
      <c r="P40" s="893">
        <f t="shared" si="27"/>
        <v>1.3296289435857414E-2</v>
      </c>
      <c r="Q40" s="893">
        <f t="shared" si="27"/>
        <v>1.3801529828042901E-2</v>
      </c>
      <c r="R40" s="893">
        <f t="shared" si="27"/>
        <v>1.35633212178755E-2</v>
      </c>
      <c r="S40" s="893">
        <f t="shared" si="28"/>
        <v>2.0831748810895258E-2</v>
      </c>
      <c r="T40" s="412">
        <f t="shared" si="28"/>
        <v>3.0850512872124941E-4</v>
      </c>
      <c r="U40" s="412">
        <f t="shared" si="28"/>
        <v>3.3903723226513032E-3</v>
      </c>
      <c r="V40" s="412">
        <f t="shared" si="28"/>
        <v>1.5154177916129167E-2</v>
      </c>
      <c r="W40" s="894">
        <f t="shared" si="28"/>
        <v>3.1277379405568913E-3</v>
      </c>
      <c r="X40" s="895">
        <f t="shared" si="29"/>
        <v>1.9084090377664269E-2</v>
      </c>
      <c r="Y40" s="850">
        <f t="shared" si="29"/>
        <v>4.1324803844534378E-3</v>
      </c>
      <c r="Z40" s="850">
        <f t="shared" si="29"/>
        <v>4.0108770845996298E-3</v>
      </c>
      <c r="AA40" s="850">
        <f t="shared" si="29"/>
        <v>1.1137766603064763E-3</v>
      </c>
      <c r="AB40" s="851">
        <f t="shared" si="29"/>
        <v>1.3484806846903849E-3</v>
      </c>
      <c r="AC40" s="893">
        <f t="shared" si="33"/>
        <v>0.55105157281391681</v>
      </c>
      <c r="AD40" s="412">
        <f t="shared" si="30"/>
        <v>0.30737455038843225</v>
      </c>
      <c r="AE40" s="412">
        <f t="shared" si="30"/>
        <v>0.16849625533564155</v>
      </c>
      <c r="AF40" s="412">
        <f t="shared" si="30"/>
        <v>1.8146598375713087E-3</v>
      </c>
      <c r="AG40" s="894">
        <f t="shared" si="30"/>
        <v>4.0295761683076794E-3</v>
      </c>
      <c r="AH40" s="893">
        <f t="shared" si="31"/>
        <v>2.5414230722832467E-2</v>
      </c>
      <c r="AI40" s="412">
        <f t="shared" si="32"/>
        <v>1.0559107888933491E-2</v>
      </c>
      <c r="AJ40" s="412">
        <f t="shared" si="32"/>
        <v>8.0544794222716636E-3</v>
      </c>
      <c r="AK40" s="412">
        <f t="shared" si="32"/>
        <v>7.5598847523137913E-3</v>
      </c>
      <c r="AL40" s="894">
        <f t="shared" si="32"/>
        <v>2.2054245396664111E-3</v>
      </c>
      <c r="AM40" s="898"/>
      <c r="AN40" s="898"/>
      <c r="AO40" s="938"/>
      <c r="AP40" s="938"/>
      <c r="AQ40" s="938"/>
      <c r="AR40" s="938"/>
      <c r="AS40" s="938"/>
      <c r="AU40" s="938"/>
      <c r="AV40" s="938"/>
      <c r="AW40" s="938"/>
      <c r="BA40" s="38"/>
      <c r="BB40" s="39"/>
      <c r="BC40" s="39"/>
      <c r="BD40" s="39"/>
      <c r="BE40" s="39"/>
      <c r="BF40" s="40"/>
    </row>
    <row r="41" spans="1:58" x14ac:dyDescent="0.25">
      <c r="A41" s="845"/>
      <c r="B41" s="881">
        <v>9.9458900000000009E-7</v>
      </c>
      <c r="C41" t="s">
        <v>1225</v>
      </c>
      <c r="D41" s="881"/>
      <c r="E41" s="32" t="s">
        <v>509</v>
      </c>
      <c r="F41" s="1034">
        <f>F1</f>
        <v>200</v>
      </c>
      <c r="M41">
        <f t="shared" si="34"/>
        <v>310</v>
      </c>
      <c r="N41" s="893">
        <f t="shared" si="26"/>
        <v>3.4210878736392822E-3</v>
      </c>
      <c r="O41" s="893">
        <f t="shared" si="27"/>
        <v>1.4234397903279666E-2</v>
      </c>
      <c r="P41" s="893">
        <f t="shared" si="27"/>
        <v>1.7132912233567776E-2</v>
      </c>
      <c r="Q41" s="893">
        <f t="shared" si="27"/>
        <v>1.8090576284092452E-2</v>
      </c>
      <c r="R41" s="893">
        <f t="shared" si="27"/>
        <v>1.817376056130246E-2</v>
      </c>
      <c r="S41" s="893">
        <f t="shared" si="28"/>
        <v>2.0868362615650581E-2</v>
      </c>
      <c r="T41" s="412">
        <f t="shared" si="28"/>
        <v>8.6145481713804364E-4</v>
      </c>
      <c r="U41" s="412">
        <f t="shared" si="28"/>
        <v>1.8990903226622296E-3</v>
      </c>
      <c r="V41" s="412">
        <f t="shared" si="28"/>
        <v>1.7123291798705084E-2</v>
      </c>
      <c r="W41" s="894">
        <f t="shared" si="28"/>
        <v>8.7771774661775414E-4</v>
      </c>
      <c r="X41" s="895">
        <f t="shared" si="29"/>
        <v>2.3760397791223034E-2</v>
      </c>
      <c r="Y41" s="850">
        <f t="shared" si="29"/>
        <v>7.6830324708521613E-3</v>
      </c>
      <c r="Z41" s="850">
        <f t="shared" si="29"/>
        <v>7.5708514157088349E-4</v>
      </c>
      <c r="AA41" s="850">
        <f t="shared" si="29"/>
        <v>3.9101854396236665E-3</v>
      </c>
      <c r="AB41" s="851">
        <f t="shared" si="29"/>
        <v>3.8287987602944173E-3</v>
      </c>
      <c r="AC41" s="893">
        <f t="shared" si="33"/>
        <v>0.55097007976874557</v>
      </c>
      <c r="AD41" s="412">
        <f t="shared" si="30"/>
        <v>0.30641214872006545</v>
      </c>
      <c r="AE41" s="412">
        <f t="shared" si="30"/>
        <v>0.16706972454400659</v>
      </c>
      <c r="AF41" s="412">
        <f t="shared" si="30"/>
        <v>3.9776422692412647E-3</v>
      </c>
      <c r="AG41" s="894">
        <f t="shared" si="30"/>
        <v>1.5630607384960525E-3</v>
      </c>
      <c r="AH41" s="893">
        <f t="shared" si="31"/>
        <v>2.0857115758375608E-2</v>
      </c>
      <c r="AI41" s="412">
        <f t="shared" si="32"/>
        <v>4.7319372518110046E-3</v>
      </c>
      <c r="AJ41" s="412">
        <f t="shared" si="32"/>
        <v>1.8876255736452446E-3</v>
      </c>
      <c r="AK41" s="412">
        <f t="shared" si="32"/>
        <v>9.4786998430671074E-4</v>
      </c>
      <c r="AL41" s="894">
        <f t="shared" si="32"/>
        <v>4.760417070052465E-3</v>
      </c>
      <c r="AM41" s="898"/>
      <c r="AN41" s="898"/>
      <c r="AO41" s="938"/>
      <c r="AP41" s="938"/>
      <c r="AQ41" s="938"/>
      <c r="AR41" s="938"/>
      <c r="AS41" s="938"/>
      <c r="AU41" s="938"/>
      <c r="AV41" s="938"/>
      <c r="AW41" s="938"/>
    </row>
    <row r="42" spans="1:58" x14ac:dyDescent="0.25">
      <c r="A42" s="845"/>
      <c r="B42" s="881">
        <v>-1.5935599999999999E-3</v>
      </c>
      <c r="C42" t="s">
        <v>1226</v>
      </c>
      <c r="D42" s="881"/>
      <c r="E42" s="35" t="s">
        <v>1252</v>
      </c>
      <c r="F42" s="877">
        <f>0.000000994589*F41^4 - 0.00159356*F41^3 + 0.910595*F41^2 - 224.586*F41 + 21268.4</f>
        <v>1617.8623999999982</v>
      </c>
      <c r="M42">
        <f t="shared" si="34"/>
        <v>320</v>
      </c>
      <c r="N42" s="893">
        <f t="shared" si="26"/>
        <v>5.2367968652051117E-3</v>
      </c>
      <c r="O42" s="893">
        <f t="shared" si="27"/>
        <v>1.7017916826582501E-2</v>
      </c>
      <c r="P42" s="893">
        <f t="shared" si="27"/>
        <v>2.0209764445677868E-2</v>
      </c>
      <c r="Q42" s="893">
        <f t="shared" si="27"/>
        <v>2.0911946797151779E-2</v>
      </c>
      <c r="R42" s="893">
        <f t="shared" si="27"/>
        <v>2.1087345587254277E-2</v>
      </c>
      <c r="S42" s="893">
        <f t="shared" si="28"/>
        <v>2.0570994487651657E-2</v>
      </c>
      <c r="T42" s="412">
        <f t="shared" si="28"/>
        <v>2.0997561337668317E-3</v>
      </c>
      <c r="U42" s="412">
        <f t="shared" si="28"/>
        <v>3.8458675927432583E-4</v>
      </c>
      <c r="V42" s="412">
        <f t="shared" si="28"/>
        <v>1.8408914469763549E-2</v>
      </c>
      <c r="W42" s="894">
        <f t="shared" si="28"/>
        <v>4.7527918796570718E-4</v>
      </c>
      <c r="X42" s="895">
        <f t="shared" si="29"/>
        <v>2.8514627076433409E-2</v>
      </c>
      <c r="Y42" s="850">
        <f t="shared" si="29"/>
        <v>1.1593991584747849E-2</v>
      </c>
      <c r="Z42" s="850">
        <f t="shared" si="29"/>
        <v>2.9082267343508951E-3</v>
      </c>
      <c r="AA42" s="850">
        <f t="shared" si="29"/>
        <v>7.8095129082375097E-3</v>
      </c>
      <c r="AB42" s="851">
        <f t="shared" si="29"/>
        <v>7.6390486370210061E-3</v>
      </c>
      <c r="AC42" s="893">
        <f t="shared" si="33"/>
        <v>0.5514235062979993</v>
      </c>
      <c r="AD42" s="412">
        <f t="shared" si="30"/>
        <v>0.30646589321015866</v>
      </c>
      <c r="AE42" s="412">
        <f t="shared" si="30"/>
        <v>0.1669012275716702</v>
      </c>
      <c r="AF42" s="412">
        <f t="shared" si="30"/>
        <v>3.9266612173321051E-3</v>
      </c>
      <c r="AG42" s="894">
        <f t="shared" si="30"/>
        <v>1.5238133606780748E-3</v>
      </c>
      <c r="AH42" s="893">
        <f t="shared" si="31"/>
        <v>1.7594137722294515E-2</v>
      </c>
      <c r="AI42" s="412">
        <f t="shared" si="32"/>
        <v>4.8329697904024924E-4</v>
      </c>
      <c r="AJ42" s="412">
        <f t="shared" si="32"/>
        <v>2.653624166595028E-3</v>
      </c>
      <c r="AK42" s="412">
        <f t="shared" si="32"/>
        <v>3.3437231090545955E-3</v>
      </c>
      <c r="AL42" s="894">
        <f t="shared" si="32"/>
        <v>9.1674412440196848E-3</v>
      </c>
      <c r="AM42" s="898"/>
      <c r="AN42" s="898"/>
      <c r="AO42" s="938"/>
      <c r="AP42" s="938"/>
      <c r="AQ42" s="938"/>
      <c r="AR42" s="938"/>
      <c r="AS42" s="938"/>
      <c r="AU42" s="938"/>
      <c r="AV42" s="938"/>
      <c r="AW42" s="938"/>
    </row>
    <row r="43" spans="1:58" ht="15.75" thickBot="1" x14ac:dyDescent="0.3">
      <c r="A43" s="845"/>
      <c r="B43" s="881">
        <v>0.91059500000000004</v>
      </c>
      <c r="C43" t="s">
        <v>1227</v>
      </c>
      <c r="D43" s="881"/>
      <c r="E43" s="35" t="s">
        <v>1053</v>
      </c>
      <c r="F43" s="877">
        <f>F42*(1+AJ102)</f>
        <v>3525.4079599283814</v>
      </c>
      <c r="M43">
        <f t="shared" si="34"/>
        <v>330</v>
      </c>
      <c r="N43" s="893">
        <f t="shared" si="26"/>
        <v>4.7343360713349106E-3</v>
      </c>
      <c r="O43" s="893">
        <f t="shared" si="27"/>
        <v>1.688329116953672E-2</v>
      </c>
      <c r="P43" s="893">
        <f t="shared" si="27"/>
        <v>2.0755770756015708E-2</v>
      </c>
      <c r="Q43" s="893">
        <f t="shared" si="27"/>
        <v>2.1851594423160585E-2</v>
      </c>
      <c r="R43" s="893">
        <f t="shared" si="27"/>
        <v>2.1957841177676955E-2</v>
      </c>
      <c r="S43" s="893">
        <f t="shared" si="28"/>
        <v>2.1175176871027455E-2</v>
      </c>
      <c r="T43" s="412">
        <f t="shared" si="28"/>
        <v>1.8497875505607464E-3</v>
      </c>
      <c r="U43" s="412">
        <f t="shared" si="28"/>
        <v>3.3292681738269358E-5</v>
      </c>
      <c r="V43" s="412">
        <f t="shared" si="28"/>
        <v>1.9226905737907758E-2</v>
      </c>
      <c r="W43" s="894">
        <f t="shared" si="28"/>
        <v>1.2109597361391489E-3</v>
      </c>
      <c r="X43" s="895">
        <f t="shared" si="29"/>
        <v>3.2193716839654558E-2</v>
      </c>
      <c r="Y43" s="850">
        <f t="shared" si="29"/>
        <v>1.4975145823541406E-2</v>
      </c>
      <c r="Z43" s="850">
        <f t="shared" si="29"/>
        <v>5.6556607557384283E-3</v>
      </c>
      <c r="AA43" s="850">
        <f t="shared" si="29"/>
        <v>1.0162496987236751E-2</v>
      </c>
      <c r="AB43" s="851">
        <f t="shared" si="29"/>
        <v>1.0059578889572219E-2</v>
      </c>
      <c r="AC43" s="893">
        <f t="shared" si="33"/>
        <v>0.55279616937471843</v>
      </c>
      <c r="AD43" s="412">
        <f t="shared" si="30"/>
        <v>0.30833393659651892</v>
      </c>
      <c r="AE43" s="412">
        <f t="shared" si="30"/>
        <v>0.16859046873557462</v>
      </c>
      <c r="AF43" s="412">
        <f t="shared" si="30"/>
        <v>2.2767711847441535E-3</v>
      </c>
      <c r="AG43" s="894">
        <f t="shared" si="30"/>
        <v>3.2323508507611683E-3</v>
      </c>
      <c r="AH43" s="893">
        <f t="shared" si="31"/>
        <v>1.8560628335392695E-2</v>
      </c>
      <c r="AI43" s="412">
        <f t="shared" si="32"/>
        <v>1.0995064011217763E-3</v>
      </c>
      <c r="AJ43" s="412">
        <f t="shared" si="32"/>
        <v>2.7044913673303682E-3</v>
      </c>
      <c r="AK43" s="412">
        <f t="shared" si="32"/>
        <v>3.7809362371730129E-3</v>
      </c>
      <c r="AL43" s="894">
        <f t="shared" si="32"/>
        <v>9.5387209369382341E-3</v>
      </c>
      <c r="AM43" s="898"/>
      <c r="AN43" s="898"/>
      <c r="AO43" s="938"/>
      <c r="AP43" s="938"/>
      <c r="AQ43" s="938"/>
      <c r="AR43" s="938"/>
      <c r="AS43" s="938"/>
      <c r="AU43" s="938"/>
      <c r="AV43" s="938"/>
      <c r="AW43" s="938"/>
    </row>
    <row r="44" spans="1:58" x14ac:dyDescent="0.25">
      <c r="A44" s="845"/>
      <c r="B44" s="881">
        <v>-224.58600000000001</v>
      </c>
      <c r="C44" t="s">
        <v>1228</v>
      </c>
      <c r="D44" s="881"/>
      <c r="E44" s="35" t="s">
        <v>1054</v>
      </c>
      <c r="F44" s="1035">
        <f>F2</f>
        <v>10</v>
      </c>
      <c r="M44">
        <f t="shared" si="34"/>
        <v>340</v>
      </c>
      <c r="N44" s="893">
        <f t="shared" si="26"/>
        <v>1.4779607052953312E-3</v>
      </c>
      <c r="O44" s="893">
        <f t="shared" ref="O44:R45" si="35">ABS(O23-J23)/J23</f>
        <v>1.3921110740234626E-2</v>
      </c>
      <c r="P44" s="893">
        <f t="shared" si="35"/>
        <v>1.8119143840843031E-2</v>
      </c>
      <c r="Q44" s="893">
        <f t="shared" si="35"/>
        <v>1.9437695905167904E-2</v>
      </c>
      <c r="R44" s="893">
        <f t="shared" si="35"/>
        <v>1.9307494827841457E-2</v>
      </c>
      <c r="S44" s="893">
        <f t="shared" ref="S44:W45" si="36">ABS(S23-I23)/I23</f>
        <v>2.2364514242268273E-2</v>
      </c>
      <c r="T44" s="412">
        <f t="shared" si="36"/>
        <v>9.6177990079437828E-4</v>
      </c>
      <c r="U44" s="412">
        <f t="shared" si="36"/>
        <v>5.224382120981708E-4</v>
      </c>
      <c r="V44" s="412">
        <f t="shared" si="36"/>
        <v>1.8885945561717882E-2</v>
      </c>
      <c r="W44" s="894">
        <f t="shared" si="36"/>
        <v>6.4415427780660918E-4</v>
      </c>
      <c r="X44" s="895">
        <f t="shared" ref="X44:AB45" si="37">ABS(X23-I23)/I23</f>
        <v>3.1202888867312019E-2</v>
      </c>
      <c r="Y44" s="850">
        <f t="shared" si="37"/>
        <v>1.3642187668050211E-2</v>
      </c>
      <c r="Z44" s="850">
        <f t="shared" si="37"/>
        <v>3.9805686732675167E-3</v>
      </c>
      <c r="AA44" s="850">
        <f t="shared" si="37"/>
        <v>8.2755700710919478E-3</v>
      </c>
      <c r="AB44" s="851">
        <f t="shared" si="37"/>
        <v>8.4022316510067932E-3</v>
      </c>
      <c r="AC44" s="893">
        <f t="shared" si="33"/>
        <v>0.55449556806509592</v>
      </c>
      <c r="AD44" s="412">
        <f t="shared" ref="AD44:AG45" si="38">ABS(AD23-J23)/J23</f>
        <v>0.3107355437328258</v>
      </c>
      <c r="AE44" s="412">
        <f t="shared" si="38"/>
        <v>0.17120309522888053</v>
      </c>
      <c r="AF44" s="412">
        <f t="shared" si="38"/>
        <v>6.5167560046789621E-4</v>
      </c>
      <c r="AG44" s="894">
        <f t="shared" si="38"/>
        <v>6.3749467519276497E-3</v>
      </c>
      <c r="AH44" s="893">
        <f t="shared" si="31"/>
        <v>2.5033291889772245E-2</v>
      </c>
      <c r="AI44" s="412">
        <f t="shared" ref="AI44:AL45" si="39">ABS(AI23-J23)/J23</f>
        <v>7.3607587622382536E-3</v>
      </c>
      <c r="AJ44" s="412">
        <f t="shared" si="39"/>
        <v>3.250840990986519E-3</v>
      </c>
      <c r="AK44" s="412">
        <f t="shared" si="39"/>
        <v>1.9599648993464296E-3</v>
      </c>
      <c r="AL44" s="894">
        <f t="shared" si="39"/>
        <v>3.5323480500520439E-3</v>
      </c>
      <c r="AM44" s="898"/>
      <c r="AN44" s="898"/>
      <c r="AO44" s="938"/>
      <c r="AP44" s="938"/>
      <c r="AQ44" s="938"/>
      <c r="AR44" s="938"/>
      <c r="AS44" s="938"/>
      <c r="AU44" s="938"/>
      <c r="AV44" s="938"/>
      <c r="AW44" s="938"/>
      <c r="BA44" s="32" t="s">
        <v>1072</v>
      </c>
      <c r="BB44" s="33"/>
      <c r="BC44" s="33"/>
      <c r="BD44" s="33"/>
      <c r="BE44" s="34"/>
    </row>
    <row r="45" spans="1:58" ht="15.75" thickBot="1" x14ac:dyDescent="0.3">
      <c r="A45" s="845"/>
      <c r="B45" s="881">
        <v>21268.400000000001</v>
      </c>
      <c r="D45" s="881"/>
      <c r="E45" s="155" t="s">
        <v>1055</v>
      </c>
      <c r="F45" s="879">
        <f>F43*(0.9944*((F44/5)^-0.26))</f>
        <v>2927.5390550418047</v>
      </c>
      <c r="M45">
        <f t="shared" si="34"/>
        <v>350</v>
      </c>
      <c r="N45" s="893">
        <f t="shared" si="26"/>
        <v>6.9927325245813677E-3</v>
      </c>
      <c r="O45" s="893">
        <f t="shared" si="35"/>
        <v>5.8655779918933247E-3</v>
      </c>
      <c r="P45" s="893">
        <f t="shared" si="35"/>
        <v>1.0328155131557736E-2</v>
      </c>
      <c r="Q45" s="893">
        <f t="shared" si="35"/>
        <v>1.2166422762427642E-2</v>
      </c>
      <c r="R45" s="893">
        <f t="shared" si="35"/>
        <v>1.2781014358907092E-2</v>
      </c>
      <c r="S45" s="893">
        <f t="shared" si="36"/>
        <v>2.5660319606470375E-2</v>
      </c>
      <c r="T45" s="412">
        <f t="shared" si="36"/>
        <v>1.8962718093409586E-3</v>
      </c>
      <c r="U45" s="412">
        <f t="shared" si="36"/>
        <v>3.0823090058895164E-3</v>
      </c>
      <c r="V45" s="412">
        <f t="shared" si="36"/>
        <v>1.6808601300883078E-2</v>
      </c>
      <c r="W45" s="894">
        <f t="shared" si="36"/>
        <v>6.6200749806523298E-4</v>
      </c>
      <c r="X45" s="895">
        <f t="shared" si="37"/>
        <v>2.2874689520541287E-2</v>
      </c>
      <c r="Y45" s="850">
        <f t="shared" si="37"/>
        <v>4.648061360255651E-3</v>
      </c>
      <c r="Z45" s="850">
        <f t="shared" si="37"/>
        <v>5.3981008132950826E-3</v>
      </c>
      <c r="AA45" s="850">
        <f t="shared" si="37"/>
        <v>1.5869248989815617E-3</v>
      </c>
      <c r="AB45" s="851">
        <f t="shared" si="37"/>
        <v>2.1950925810376581E-3</v>
      </c>
      <c r="AC45" s="893">
        <f t="shared" si="33"/>
        <v>0.5564943892058356</v>
      </c>
      <c r="AD45" s="412">
        <f t="shared" si="38"/>
        <v>0.31347283989488234</v>
      </c>
      <c r="AE45" s="412">
        <f t="shared" si="38"/>
        <v>0.17425104709636541</v>
      </c>
      <c r="AF45" s="412">
        <f t="shared" si="38"/>
        <v>3.8053955354180489E-3</v>
      </c>
      <c r="AG45" s="894">
        <f t="shared" si="38"/>
        <v>8.7825792806927924E-3</v>
      </c>
      <c r="AH45" s="893">
        <f t="shared" si="31"/>
        <v>3.9986174352570181E-2</v>
      </c>
      <c r="AI45" s="412">
        <f t="shared" si="39"/>
        <v>2.20787321431128E-2</v>
      </c>
      <c r="AJ45" s="412">
        <f t="shared" si="39"/>
        <v>1.7740131449526932E-2</v>
      </c>
      <c r="AK45" s="412">
        <f t="shared" si="39"/>
        <v>1.5952933386909826E-2</v>
      </c>
      <c r="AL45" s="894">
        <f t="shared" si="39"/>
        <v>9.8103539608064543E-3</v>
      </c>
      <c r="AM45" s="898"/>
      <c r="AN45" s="898"/>
      <c r="AO45" s="938"/>
      <c r="AP45" s="938"/>
      <c r="AQ45" s="938"/>
      <c r="AR45" s="938"/>
      <c r="AS45" s="938"/>
      <c r="AU45" s="938"/>
      <c r="AV45" s="938"/>
      <c r="AW45" s="938"/>
      <c r="BA45" s="35" t="s">
        <v>1062</v>
      </c>
      <c r="BB45" s="36"/>
      <c r="BC45" s="36"/>
      <c r="BD45" s="36"/>
      <c r="BE45" s="37"/>
    </row>
    <row r="46" spans="1:58" ht="15.75" thickBot="1" x14ac:dyDescent="0.3">
      <c r="A46" s="845"/>
      <c r="E46" s="149" t="s">
        <v>1056</v>
      </c>
      <c r="F46" s="880">
        <f>F45*F44*1000</f>
        <v>29275390.550418049</v>
      </c>
      <c r="G46" s="799"/>
      <c r="M46" s="791"/>
      <c r="N46" s="906">
        <f t="shared" ref="N46:AL46" si="40">AVERAGE(N28:N45)</f>
        <v>3.361719439545335E-3</v>
      </c>
      <c r="O46" s="907">
        <f t="shared" si="40"/>
        <v>9.0206864480580993E-3</v>
      </c>
      <c r="P46" s="907">
        <f t="shared" si="40"/>
        <v>2.5184048676393747E-2</v>
      </c>
      <c r="Q46" s="907">
        <f t="shared" si="40"/>
        <v>4.3325638681937395E-2</v>
      </c>
      <c r="R46" s="908">
        <f t="shared" si="40"/>
        <v>5.9694333613073684E-2</v>
      </c>
      <c r="S46" s="908">
        <f t="shared" si="40"/>
        <v>1.4249079423417866E-2</v>
      </c>
      <c r="T46" s="908">
        <f t="shared" si="40"/>
        <v>2.4767616412091306E-3</v>
      </c>
      <c r="U46" s="908">
        <f t="shared" si="40"/>
        <v>1.939262125000241E-2</v>
      </c>
      <c r="V46" s="908">
        <f t="shared" si="40"/>
        <v>4.0077637766029725E-2</v>
      </c>
      <c r="W46" s="908">
        <f t="shared" si="40"/>
        <v>5.4018099861617416E-2</v>
      </c>
      <c r="X46" s="906">
        <f t="shared" si="40"/>
        <v>3.265904527802193E-2</v>
      </c>
      <c r="Y46" s="907">
        <f t="shared" si="40"/>
        <v>2.0782781050774125E-2</v>
      </c>
      <c r="Z46" s="907">
        <f t="shared" si="40"/>
        <v>3.6832559773853496E-3</v>
      </c>
      <c r="AA46" s="907">
        <f t="shared" si="40"/>
        <v>2.4821884745726896E-2</v>
      </c>
      <c r="AB46" s="908">
        <f t="shared" si="40"/>
        <v>4.2250547070256404E-2</v>
      </c>
      <c r="AC46" s="908">
        <f t="shared" si="40"/>
        <v>0.52003857876663562</v>
      </c>
      <c r="AD46" s="908">
        <f t="shared" si="40"/>
        <v>0.28624328093832968</v>
      </c>
      <c r="AE46" s="908">
        <f t="shared" si="40"/>
        <v>0.15207313942558112</v>
      </c>
      <c r="AF46" s="908">
        <f t="shared" si="40"/>
        <v>6.6519813333732599E-3</v>
      </c>
      <c r="AG46" s="908">
        <f t="shared" si="40"/>
        <v>2.4178579328691149E-2</v>
      </c>
      <c r="AH46" s="908">
        <f t="shared" si="40"/>
        <v>7.6680416430097778E-2</v>
      </c>
      <c r="AI46" s="908">
        <f t="shared" si="40"/>
        <v>6.5959841364279709E-2</v>
      </c>
      <c r="AJ46" s="908">
        <f t="shared" si="40"/>
        <v>4.5832830204458878E-2</v>
      </c>
      <c r="AK46" s="908">
        <f t="shared" si="40"/>
        <v>2.3908492691970498E-2</v>
      </c>
      <c r="AL46" s="908">
        <f t="shared" si="40"/>
        <v>9.4791621397418164E-3</v>
      </c>
      <c r="AO46" s="938"/>
      <c r="AP46" s="938"/>
      <c r="AQ46" s="938"/>
      <c r="AR46" s="938"/>
      <c r="AS46" s="938"/>
      <c r="BA46" s="35" t="s">
        <v>1073</v>
      </c>
      <c r="BB46" s="36"/>
      <c r="BC46" s="36"/>
      <c r="BD46" s="36"/>
      <c r="BE46" s="37"/>
    </row>
    <row r="47" spans="1:58" ht="15.75" thickBot="1" x14ac:dyDescent="0.3">
      <c r="A47" s="845"/>
      <c r="H47" s="801"/>
      <c r="I47" s="153"/>
      <c r="AO47" s="938"/>
      <c r="AP47" s="938"/>
      <c r="AQ47" s="938"/>
      <c r="AR47" s="938"/>
      <c r="AS47" s="938"/>
      <c r="BA47" s="35" t="s">
        <v>1074</v>
      </c>
      <c r="BB47" s="36"/>
      <c r="BC47" s="36"/>
      <c r="BD47" s="36"/>
      <c r="BE47" s="37"/>
    </row>
    <row r="48" spans="1:58" x14ac:dyDescent="0.25">
      <c r="A48" s="845"/>
      <c r="G48" s="801"/>
      <c r="N48" s="32"/>
      <c r="O48" s="398" t="s">
        <v>1253</v>
      </c>
      <c r="P48" s="398"/>
      <c r="Q48" s="398"/>
      <c r="R48" s="419"/>
      <c r="S48" s="1298" t="s">
        <v>1254</v>
      </c>
      <c r="T48" s="1299"/>
      <c r="U48" s="1299"/>
      <c r="V48" s="1299"/>
      <c r="W48" s="1300"/>
      <c r="X48" s="397" t="s">
        <v>1255</v>
      </c>
      <c r="Y48" s="398"/>
      <c r="Z48" s="398"/>
      <c r="AA48" s="398"/>
      <c r="AB48" s="419"/>
      <c r="AC48" s="1301" t="s">
        <v>1256</v>
      </c>
      <c r="AD48" s="1302"/>
      <c r="AE48" s="1302"/>
      <c r="AF48" s="1302"/>
      <c r="AG48" s="1303"/>
      <c r="AH48" s="1301" t="s">
        <v>1257</v>
      </c>
      <c r="AI48" s="1302"/>
      <c r="AJ48" s="1302"/>
      <c r="AK48" s="1302"/>
      <c r="AL48" s="1303"/>
      <c r="AO48" s="938"/>
      <c r="AP48" s="938"/>
      <c r="AQ48" s="938"/>
      <c r="AR48" s="938"/>
      <c r="AS48" s="938"/>
      <c r="AZ48" s="802"/>
      <c r="BA48" s="35" t="s">
        <v>1068</v>
      </c>
      <c r="BB48" s="36" t="s">
        <v>1075</v>
      </c>
      <c r="BC48" s="36" t="s">
        <v>1076</v>
      </c>
      <c r="BD48" s="36" t="s">
        <v>1077</v>
      </c>
      <c r="BE48" s="37"/>
    </row>
    <row r="49" spans="1:57" x14ac:dyDescent="0.25">
      <c r="A49" s="845"/>
      <c r="G49" s="801"/>
      <c r="M49" t="s">
        <v>48</v>
      </c>
      <c r="N49" s="865" t="s">
        <v>1258</v>
      </c>
      <c r="O49" s="866" t="s">
        <v>1259</v>
      </c>
      <c r="P49" s="866" t="s">
        <v>1260</v>
      </c>
      <c r="Q49" s="866" t="s">
        <v>1261</v>
      </c>
      <c r="R49" s="868" t="s">
        <v>1262</v>
      </c>
      <c r="S49" s="865" t="s">
        <v>1258</v>
      </c>
      <c r="T49" s="866" t="s">
        <v>1259</v>
      </c>
      <c r="U49" s="866" t="s">
        <v>1260</v>
      </c>
      <c r="V49" s="866" t="s">
        <v>1261</v>
      </c>
      <c r="W49" s="868" t="s">
        <v>1262</v>
      </c>
      <c r="X49" s="865" t="s">
        <v>1258</v>
      </c>
      <c r="Y49" s="866" t="s">
        <v>1259</v>
      </c>
      <c r="Z49" s="866" t="s">
        <v>1260</v>
      </c>
      <c r="AA49" s="866" t="s">
        <v>1261</v>
      </c>
      <c r="AB49" s="868" t="s">
        <v>1262</v>
      </c>
      <c r="AC49" s="865" t="s">
        <v>1258</v>
      </c>
      <c r="AD49" s="866" t="s">
        <v>1259</v>
      </c>
      <c r="AE49" s="866" t="s">
        <v>1260</v>
      </c>
      <c r="AF49" s="866" t="s">
        <v>1261</v>
      </c>
      <c r="AG49" s="868" t="s">
        <v>1262</v>
      </c>
      <c r="AH49" s="865" t="s">
        <v>1258</v>
      </c>
      <c r="AI49" s="866" t="s">
        <v>1259</v>
      </c>
      <c r="AJ49" s="866" t="s">
        <v>1260</v>
      </c>
      <c r="AK49" s="866" t="s">
        <v>1261</v>
      </c>
      <c r="AL49" s="868" t="s">
        <v>1262</v>
      </c>
      <c r="BA49" s="802">
        <f>(3.35*10^6*BB49^0.699)</f>
        <v>10318696.527778698</v>
      </c>
      <c r="BB49" s="36">
        <v>5</v>
      </c>
      <c r="BC49" s="23">
        <f>(BA49/BB49)/1000</f>
        <v>2063.7393055557395</v>
      </c>
      <c r="BD49" s="795">
        <f t="shared" ref="BD49:BD68" si="41">BC49/$BC$49</f>
        <v>1</v>
      </c>
      <c r="BE49" s="37"/>
    </row>
    <row r="50" spans="1:57" x14ac:dyDescent="0.25">
      <c r="A50" s="845"/>
      <c r="G50" s="801"/>
      <c r="M50">
        <v>180</v>
      </c>
      <c r="N50" s="872">
        <f t="shared" ref="N50:R65" si="42">(N7-I7)^2</f>
        <v>178.53173017073902</v>
      </c>
      <c r="O50" s="871">
        <f t="shared" si="42"/>
        <v>2573.3562083483639</v>
      </c>
      <c r="P50" s="871">
        <f t="shared" si="42"/>
        <v>96694.917545526958</v>
      </c>
      <c r="Q50" s="871">
        <f t="shared" si="42"/>
        <v>201202.90918339291</v>
      </c>
      <c r="R50" s="874">
        <f t="shared" si="42"/>
        <v>287922.33217588253</v>
      </c>
      <c r="S50" s="872">
        <f t="shared" ref="S50:W65" si="43">(S7-I7)^2</f>
        <v>627.08495390122766</v>
      </c>
      <c r="T50" s="871">
        <f t="shared" si="43"/>
        <v>2.5714302221031781E-2</v>
      </c>
      <c r="U50" s="871">
        <f t="shared" si="43"/>
        <v>78053.509391525949</v>
      </c>
      <c r="V50" s="871">
        <f t="shared" si="43"/>
        <v>151578.12428179925</v>
      </c>
      <c r="W50" s="874">
        <f t="shared" si="43"/>
        <v>260318.29821641912</v>
      </c>
      <c r="X50" s="909">
        <f t="shared" ref="X50:AB65" si="44">(I7-X7)^2</f>
        <v>255115.30207383019</v>
      </c>
      <c r="Y50" s="854">
        <f t="shared" si="44"/>
        <v>91801.118718338985</v>
      </c>
      <c r="Z50" s="854">
        <f t="shared" si="44"/>
        <v>11.81940163880949</v>
      </c>
      <c r="AA50" s="854">
        <f t="shared" si="44"/>
        <v>33389.350759554945</v>
      </c>
      <c r="AB50" s="910">
        <f t="shared" si="44"/>
        <v>84049.485377607736</v>
      </c>
      <c r="AC50" s="872">
        <f t="shared" ref="AC50:AC67" si="45">(AC7-I7)^2</f>
        <v>751652.46106529073</v>
      </c>
      <c r="AD50" s="871">
        <f t="shared" ref="AD50:AG65" si="46">(AD7-J7)^2</f>
        <v>292825.2280252293</v>
      </c>
      <c r="AE50" s="871">
        <f t="shared" si="46"/>
        <v>33598.287970970792</v>
      </c>
      <c r="AF50" s="871">
        <f t="shared" si="46"/>
        <v>66.876298422054504</v>
      </c>
      <c r="AG50" s="874">
        <f t="shared" si="46"/>
        <v>15335.449032295055</v>
      </c>
      <c r="AH50" s="872">
        <f t="shared" ref="AH50:AH67" si="47">(AH7-I7)^2</f>
        <v>1268914.6471375134</v>
      </c>
      <c r="AI50" s="871">
        <f t="shared" ref="AI50:AL65" si="48">(AI7-J7)^2</f>
        <v>506786.00097465905</v>
      </c>
      <c r="AJ50" s="871">
        <f t="shared" si="48"/>
        <v>106207.17730233668</v>
      </c>
      <c r="AK50" s="871">
        <f t="shared" si="48"/>
        <v>15519.215518389821</v>
      </c>
      <c r="AL50" s="874">
        <f t="shared" si="48"/>
        <v>48.790713800423127</v>
      </c>
      <c r="BA50" s="802">
        <f>(3.35*10^6*BB50^0.699)</f>
        <v>16751156.92172878</v>
      </c>
      <c r="BB50" s="36">
        <f>5+BB49</f>
        <v>10</v>
      </c>
      <c r="BC50" s="23">
        <f>(BA50/BB50)/1000</f>
        <v>1675.115692172878</v>
      </c>
      <c r="BD50" s="795">
        <f t="shared" si="41"/>
        <v>0.8116895809772785</v>
      </c>
      <c r="BE50" s="37"/>
    </row>
    <row r="51" spans="1:57" x14ac:dyDescent="0.25">
      <c r="A51" s="845"/>
      <c r="M51">
        <f>M50+10</f>
        <v>190</v>
      </c>
      <c r="N51" s="872">
        <f t="shared" si="42"/>
        <v>223.26600328693232</v>
      </c>
      <c r="O51" s="871">
        <f t="shared" si="42"/>
        <v>624.02523350140984</v>
      </c>
      <c r="P51" s="871">
        <f t="shared" si="42"/>
        <v>32567.686561276303</v>
      </c>
      <c r="Q51" s="871">
        <f t="shared" si="42"/>
        <v>94564.746710065781</v>
      </c>
      <c r="R51" s="874">
        <f t="shared" si="42"/>
        <v>152232.56587415939</v>
      </c>
      <c r="S51" s="872">
        <f t="shared" si="43"/>
        <v>1021.79231940854</v>
      </c>
      <c r="T51" s="871">
        <f t="shared" si="43"/>
        <v>91.049221948533003</v>
      </c>
      <c r="U51" s="871">
        <f t="shared" si="43"/>
        <v>26058.556318186293</v>
      </c>
      <c r="V51" s="871">
        <f t="shared" si="43"/>
        <v>68675.866141618433</v>
      </c>
      <c r="W51" s="874">
        <f t="shared" si="43"/>
        <v>140078.81307961373</v>
      </c>
      <c r="X51" s="909">
        <f t="shared" si="44"/>
        <v>99610.861719113178</v>
      </c>
      <c r="Y51" s="854">
        <f t="shared" si="44"/>
        <v>34031.070203729199</v>
      </c>
      <c r="Z51" s="854">
        <f t="shared" si="44"/>
        <v>26.185823972344039</v>
      </c>
      <c r="AA51" s="854">
        <f t="shared" si="44"/>
        <v>22530.26665029745</v>
      </c>
      <c r="AB51" s="910">
        <f t="shared" si="44"/>
        <v>59585.528152662177</v>
      </c>
      <c r="AC51" s="872">
        <f t="shared" si="45"/>
        <v>2005227.7470845911</v>
      </c>
      <c r="AD51" s="871">
        <f t="shared" si="46"/>
        <v>135749.2098393823</v>
      </c>
      <c r="AE51" s="871">
        <f t="shared" si="46"/>
        <v>33988.105663528324</v>
      </c>
      <c r="AF51" s="871">
        <f t="shared" si="46"/>
        <v>18.444909149954583</v>
      </c>
      <c r="AG51" s="874">
        <f t="shared" si="46"/>
        <v>12209.035920764954</v>
      </c>
      <c r="AH51" s="872">
        <f t="shared" si="47"/>
        <v>714880.02739502431</v>
      </c>
      <c r="AI51" s="871">
        <f t="shared" si="48"/>
        <v>284279.79299279704</v>
      </c>
      <c r="AJ51" s="871">
        <f t="shared" si="48"/>
        <v>81594.218145668478</v>
      </c>
      <c r="AK51" s="871">
        <f t="shared" si="48"/>
        <v>12535.451962666308</v>
      </c>
      <c r="AL51" s="874">
        <f t="shared" si="48"/>
        <v>87.48587780871064</v>
      </c>
      <c r="BA51" s="802">
        <f t="shared" ref="BA51:BA68" si="49">(3.35*10^6*BB51^0.699)</f>
        <v>22239888.06691853</v>
      </c>
      <c r="BB51" s="36">
        <f t="shared" ref="BB51:BB68" si="50">5+BB50</f>
        <v>15</v>
      </c>
      <c r="BC51" s="23">
        <f t="shared" ref="BC51:BC68" si="51">(BA51/BB51)/1000</f>
        <v>1482.6592044612353</v>
      </c>
      <c r="BD51" s="795">
        <f t="shared" si="41"/>
        <v>0.71843337987012534</v>
      </c>
      <c r="BE51" s="37"/>
    </row>
    <row r="52" spans="1:57" x14ac:dyDescent="0.25">
      <c r="M52">
        <f t="shared" ref="M52:M67" si="52">M51+10</f>
        <v>200</v>
      </c>
      <c r="N52" s="872">
        <f t="shared" si="42"/>
        <v>3.6725159546352724</v>
      </c>
      <c r="O52" s="871">
        <f t="shared" si="42"/>
        <v>1120.3711739168052</v>
      </c>
      <c r="P52" s="871">
        <f t="shared" si="42"/>
        <v>11993.275731110762</v>
      </c>
      <c r="Q52" s="871">
        <f t="shared" si="42"/>
        <v>52182.478924093281</v>
      </c>
      <c r="R52" s="874">
        <f t="shared" si="42"/>
        <v>93611.57679289834</v>
      </c>
      <c r="S52" s="872">
        <f t="shared" si="43"/>
        <v>0.13329663506077227</v>
      </c>
      <c r="T52" s="871">
        <f t="shared" si="43"/>
        <v>107.28373586372901</v>
      </c>
      <c r="U52" s="871">
        <f t="shared" si="43"/>
        <v>9853.4635543220866</v>
      </c>
      <c r="V52" s="871">
        <f t="shared" si="43"/>
        <v>37258.727412880377</v>
      </c>
      <c r="W52" s="874">
        <f t="shared" si="43"/>
        <v>88447.417782097633</v>
      </c>
      <c r="X52" s="909">
        <f t="shared" si="44"/>
        <v>22339.832349720804</v>
      </c>
      <c r="Y52" s="854">
        <f t="shared" si="44"/>
        <v>5916.4646091149798</v>
      </c>
      <c r="Z52" s="854">
        <f t="shared" si="44"/>
        <v>61.050088754198939</v>
      </c>
      <c r="AA52" s="854">
        <f t="shared" si="44"/>
        <v>21162.294596494419</v>
      </c>
      <c r="AB52" s="910">
        <f t="shared" si="44"/>
        <v>52430.403241978078</v>
      </c>
      <c r="AC52" s="872">
        <f t="shared" si="45"/>
        <v>1991215.0709998915</v>
      </c>
      <c r="AD52" s="871">
        <f t="shared" si="46"/>
        <v>186965.61593105676</v>
      </c>
      <c r="AE52" s="871">
        <f t="shared" si="46"/>
        <v>37248.212315999888</v>
      </c>
      <c r="AF52" s="871">
        <f t="shared" si="46"/>
        <v>641.98266620256857</v>
      </c>
      <c r="AG52" s="874">
        <f t="shared" si="46"/>
        <v>15882.259708228888</v>
      </c>
      <c r="AH52" s="872">
        <f t="shared" si="47"/>
        <v>337227.9302933669</v>
      </c>
      <c r="AI52" s="871">
        <f t="shared" si="48"/>
        <v>130109.69570435591</v>
      </c>
      <c r="AJ52" s="871">
        <f t="shared" si="48"/>
        <v>48250.709392993369</v>
      </c>
      <c r="AK52" s="871">
        <f t="shared" si="48"/>
        <v>4597.3942884402522</v>
      </c>
      <c r="AL52" s="874">
        <f t="shared" si="48"/>
        <v>484.46721110954053</v>
      </c>
      <c r="BA52" s="802">
        <f t="shared" si="49"/>
        <v>27193479.08536534</v>
      </c>
      <c r="BB52" s="36">
        <f t="shared" si="50"/>
        <v>20</v>
      </c>
      <c r="BC52" s="23">
        <f t="shared" si="51"/>
        <v>1359.6739542682669</v>
      </c>
      <c r="BD52" s="795">
        <f t="shared" si="41"/>
        <v>0.65883997586706988</v>
      </c>
      <c r="BE52" s="37"/>
    </row>
    <row r="53" spans="1:57" x14ac:dyDescent="0.25">
      <c r="M53">
        <f t="shared" si="52"/>
        <v>210</v>
      </c>
      <c r="N53" s="872">
        <f t="shared" si="42"/>
        <v>16.552676406491308</v>
      </c>
      <c r="O53" s="871">
        <f t="shared" si="42"/>
        <v>709.51390679651399</v>
      </c>
      <c r="P53" s="871">
        <f t="shared" si="42"/>
        <v>1245.0018230064952</v>
      </c>
      <c r="Q53" s="871">
        <f t="shared" si="42"/>
        <v>20368.74092479988</v>
      </c>
      <c r="R53" s="874">
        <f t="shared" si="42"/>
        <v>46740.618477147371</v>
      </c>
      <c r="S53" s="872">
        <f t="shared" si="43"/>
        <v>134.93222201814035</v>
      </c>
      <c r="T53" s="871">
        <f t="shared" si="43"/>
        <v>131.19273738570067</v>
      </c>
      <c r="U53" s="871">
        <f t="shared" si="43"/>
        <v>962.91857870027218</v>
      </c>
      <c r="V53" s="871">
        <f t="shared" si="43"/>
        <v>13115.105090524461</v>
      </c>
      <c r="W53" s="874">
        <f t="shared" si="43"/>
        <v>45217.305862544847</v>
      </c>
      <c r="X53" s="909">
        <f t="shared" si="44"/>
        <v>2647.1937415092639</v>
      </c>
      <c r="Y53" s="854">
        <f t="shared" si="44"/>
        <v>398.36149319211381</v>
      </c>
      <c r="Z53" s="854">
        <f t="shared" si="44"/>
        <v>149.9984448409383</v>
      </c>
      <c r="AA53" s="854">
        <f t="shared" si="44"/>
        <v>11599.475215298819</v>
      </c>
      <c r="AB53" s="910">
        <f t="shared" si="44"/>
        <v>33746.153056284958</v>
      </c>
      <c r="AC53" s="872">
        <f t="shared" si="45"/>
        <v>1906291.8009151691</v>
      </c>
      <c r="AD53" s="871">
        <f t="shared" si="46"/>
        <v>211334.86550539208</v>
      </c>
      <c r="AE53" s="871">
        <f t="shared" si="46"/>
        <v>30190.32211791354</v>
      </c>
      <c r="AF53" s="871">
        <f t="shared" si="46"/>
        <v>345.94531677117419</v>
      </c>
      <c r="AG53" s="874">
        <f t="shared" si="46"/>
        <v>11803.287745048308</v>
      </c>
      <c r="AH53" s="872">
        <f t="shared" si="47"/>
        <v>147335.55569718283</v>
      </c>
      <c r="AI53" s="871">
        <f t="shared" si="48"/>
        <v>56974.922277982514</v>
      </c>
      <c r="AJ53" s="871">
        <f t="shared" si="48"/>
        <v>34703.982652903207</v>
      </c>
      <c r="AK53" s="871">
        <f t="shared" si="48"/>
        <v>3213.3054255060506</v>
      </c>
      <c r="AL53" s="874">
        <f t="shared" si="48"/>
        <v>533.77674515515503</v>
      </c>
      <c r="BA53" s="802">
        <f t="shared" si="49"/>
        <v>31783730.755937949</v>
      </c>
      <c r="BB53" s="36">
        <f t="shared" si="50"/>
        <v>25</v>
      </c>
      <c r="BC53" s="23">
        <f t="shared" si="51"/>
        <v>1271.349230237518</v>
      </c>
      <c r="BD53" s="795">
        <f t="shared" si="41"/>
        <v>0.61604158374798179</v>
      </c>
      <c r="BE53" s="37"/>
    </row>
    <row r="54" spans="1:57" x14ac:dyDescent="0.25">
      <c r="M54">
        <f t="shared" si="52"/>
        <v>220</v>
      </c>
      <c r="N54" s="872">
        <f t="shared" si="42"/>
        <v>133.40228293349492</v>
      </c>
      <c r="O54" s="871">
        <f t="shared" si="42"/>
        <v>18.176235854281423</v>
      </c>
      <c r="P54" s="871">
        <f t="shared" si="42"/>
        <v>148.8002088750377</v>
      </c>
      <c r="Q54" s="871">
        <f t="shared" si="42"/>
        <v>2568.0729152508552</v>
      </c>
      <c r="R54" s="874">
        <f t="shared" si="42"/>
        <v>14439.85729123075</v>
      </c>
      <c r="S54" s="872">
        <f t="shared" si="43"/>
        <v>5.7740432668271939</v>
      </c>
      <c r="T54" s="871">
        <f t="shared" si="43"/>
        <v>29.819408868283361</v>
      </c>
      <c r="U54" s="871">
        <f t="shared" si="43"/>
        <v>143.34373726799137</v>
      </c>
      <c r="V54" s="871">
        <f t="shared" si="43"/>
        <v>763.84945539679609</v>
      </c>
      <c r="W54" s="874">
        <f t="shared" si="43"/>
        <v>14394.586274436013</v>
      </c>
      <c r="X54" s="909">
        <f t="shared" si="44"/>
        <v>127.30509102273271</v>
      </c>
      <c r="Y54" s="854">
        <f t="shared" si="44"/>
        <v>25.131597426804735</v>
      </c>
      <c r="Z54" s="854">
        <f t="shared" si="44"/>
        <v>12.147964504601362</v>
      </c>
      <c r="AA54" s="854">
        <f t="shared" si="44"/>
        <v>1910.0879573034604</v>
      </c>
      <c r="AB54" s="910">
        <f t="shared" si="44"/>
        <v>12926.959140276647</v>
      </c>
      <c r="AC54" s="872">
        <f t="shared" si="45"/>
        <v>1757666.7469618125</v>
      </c>
      <c r="AD54" s="871">
        <f t="shared" si="46"/>
        <v>207100.00533835811</v>
      </c>
      <c r="AE54" s="871">
        <f t="shared" si="46"/>
        <v>34678.433506675348</v>
      </c>
      <c r="AF54" s="871">
        <f t="shared" si="46"/>
        <v>336.23802962704025</v>
      </c>
      <c r="AG54" s="874">
        <f t="shared" si="46"/>
        <v>3974.0526877662714</v>
      </c>
      <c r="AH54" s="872">
        <f t="shared" si="47"/>
        <v>62684.035335202512</v>
      </c>
      <c r="AI54" s="871">
        <f t="shared" si="48"/>
        <v>26356.272563711889</v>
      </c>
      <c r="AJ54" s="871">
        <f t="shared" si="48"/>
        <v>16112.550093629228</v>
      </c>
      <c r="AK54" s="871">
        <f t="shared" si="48"/>
        <v>5555.6910783380208</v>
      </c>
      <c r="AL54" s="874">
        <f t="shared" si="48"/>
        <v>10.685453370524698</v>
      </c>
      <c r="BA54" s="802">
        <f t="shared" si="49"/>
        <v>36103770.852037363</v>
      </c>
      <c r="BB54" s="36">
        <f t="shared" si="50"/>
        <v>30</v>
      </c>
      <c r="BC54" s="23">
        <f t="shared" si="51"/>
        <v>1203.4590284012454</v>
      </c>
      <c r="BD54" s="795">
        <f t="shared" si="41"/>
        <v>0.58314488906687212</v>
      </c>
      <c r="BE54" s="37"/>
    </row>
    <row r="55" spans="1:57" x14ac:dyDescent="0.25">
      <c r="M55">
        <f t="shared" si="52"/>
        <v>230</v>
      </c>
      <c r="N55" s="872">
        <f t="shared" si="42"/>
        <v>96.500060337393109</v>
      </c>
      <c r="O55" s="871">
        <f t="shared" si="42"/>
        <v>4.8316957056143544</v>
      </c>
      <c r="P55" s="871">
        <f t="shared" si="42"/>
        <v>14.217767995163605</v>
      </c>
      <c r="Q55" s="871">
        <f t="shared" si="42"/>
        <v>57.114434103336301</v>
      </c>
      <c r="R55" s="874">
        <f t="shared" si="42"/>
        <v>2960.2548093608448</v>
      </c>
      <c r="S55" s="872">
        <f t="shared" si="43"/>
        <v>69.968833617050322</v>
      </c>
      <c r="T55" s="871">
        <f t="shared" si="43"/>
        <v>65.416034016305417</v>
      </c>
      <c r="U55" s="871">
        <f t="shared" si="43"/>
        <v>39.712663299558074</v>
      </c>
      <c r="V55" s="871">
        <f t="shared" si="43"/>
        <v>137.18974479675254</v>
      </c>
      <c r="W55" s="874">
        <f t="shared" si="43"/>
        <v>3194.7318375297255</v>
      </c>
      <c r="X55" s="909">
        <f t="shared" si="44"/>
        <v>316.42110884314553</v>
      </c>
      <c r="Y55" s="854">
        <f t="shared" si="44"/>
        <v>49.479207844762236</v>
      </c>
      <c r="Z55" s="854">
        <f t="shared" si="44"/>
        <v>16.482086634652994</v>
      </c>
      <c r="AA55" s="854">
        <f t="shared" si="44"/>
        <v>210.1271226491121</v>
      </c>
      <c r="AB55" s="910">
        <f t="shared" si="44"/>
        <v>3702.3014550530315</v>
      </c>
      <c r="AC55" s="872">
        <f t="shared" si="45"/>
        <v>1651054.2541575674</v>
      </c>
      <c r="AD55" s="871">
        <f t="shared" si="46"/>
        <v>206377.63924700435</v>
      </c>
      <c r="AE55" s="871">
        <f t="shared" si="46"/>
        <v>39410.196450041782</v>
      </c>
      <c r="AF55" s="871">
        <f t="shared" si="46"/>
        <v>623.92720730986525</v>
      </c>
      <c r="AG55" s="874">
        <f t="shared" si="46"/>
        <v>935.40270116843692</v>
      </c>
      <c r="AH55" s="872">
        <f t="shared" si="47"/>
        <v>19070.807744945494</v>
      </c>
      <c r="AI55" s="871">
        <f t="shared" si="48"/>
        <v>9129.4768017074912</v>
      </c>
      <c r="AJ55" s="871">
        <f t="shared" si="48"/>
        <v>5503.4090618227183</v>
      </c>
      <c r="AK55" s="871">
        <f t="shared" si="48"/>
        <v>3918.5599404397512</v>
      </c>
      <c r="AL55" s="874">
        <f t="shared" si="48"/>
        <v>298.98802729031775</v>
      </c>
      <c r="BA55" s="802">
        <f t="shared" si="49"/>
        <v>40211323.731325001</v>
      </c>
      <c r="BB55" s="36">
        <f t="shared" si="50"/>
        <v>35</v>
      </c>
      <c r="BC55" s="23">
        <f t="shared" si="51"/>
        <v>1148.8949637521428</v>
      </c>
      <c r="BD55" s="795">
        <f t="shared" si="41"/>
        <v>0.55670547179056584</v>
      </c>
      <c r="BE55" s="37"/>
    </row>
    <row r="56" spans="1:57" x14ac:dyDescent="0.25">
      <c r="M56">
        <f t="shared" si="52"/>
        <v>240</v>
      </c>
      <c r="N56" s="872">
        <f t="shared" si="42"/>
        <v>9.786175217844205</v>
      </c>
      <c r="O56" s="871">
        <f t="shared" si="42"/>
        <v>5.1587473143837457</v>
      </c>
      <c r="P56" s="871">
        <f t="shared" si="42"/>
        <v>7.8433841199503154E-2</v>
      </c>
      <c r="Q56" s="871">
        <f t="shared" si="42"/>
        <v>11.75841024986314</v>
      </c>
      <c r="R56" s="874">
        <f t="shared" si="42"/>
        <v>37.279732658463047</v>
      </c>
      <c r="S56" s="872">
        <f t="shared" si="43"/>
        <v>329.16209231789418</v>
      </c>
      <c r="T56" s="871">
        <f t="shared" si="43"/>
        <v>27.660913771787204</v>
      </c>
      <c r="U56" s="871">
        <f t="shared" si="43"/>
        <v>23.660166401485313</v>
      </c>
      <c r="V56" s="871">
        <f t="shared" si="43"/>
        <v>166.98991388997462</v>
      </c>
      <c r="W56" s="874">
        <f t="shared" si="43"/>
        <v>98.681357353905099</v>
      </c>
      <c r="X56" s="909">
        <f t="shared" si="44"/>
        <v>1109.140931646315</v>
      </c>
      <c r="Y56" s="854">
        <f t="shared" si="44"/>
        <v>174.10673142797103</v>
      </c>
      <c r="Z56" s="854">
        <f t="shared" si="44"/>
        <v>37.985413477017353</v>
      </c>
      <c r="AA56" s="854">
        <f t="shared" si="44"/>
        <v>226.57636280873677</v>
      </c>
      <c r="AB56" s="910">
        <f t="shared" si="44"/>
        <v>285.32048384587517</v>
      </c>
      <c r="AC56" s="872">
        <f t="shared" si="45"/>
        <v>1559215.8688450679</v>
      </c>
      <c r="AD56" s="871">
        <f t="shared" si="46"/>
        <v>203910.01305672512</v>
      </c>
      <c r="AE56" s="871">
        <f t="shared" si="46"/>
        <v>42008.230906870907</v>
      </c>
      <c r="AF56" s="871">
        <f t="shared" si="46"/>
        <v>44.053747381189126</v>
      </c>
      <c r="AG56" s="874">
        <f t="shared" si="46"/>
        <v>7.3842767289594118</v>
      </c>
      <c r="AH56" s="872">
        <f t="shared" si="47"/>
        <v>2793.1370544608098</v>
      </c>
      <c r="AI56" s="871">
        <f t="shared" si="48"/>
        <v>1892.231633584571</v>
      </c>
      <c r="AJ56" s="871">
        <f t="shared" si="48"/>
        <v>1166.1789898236109</v>
      </c>
      <c r="AK56" s="871">
        <f t="shared" si="48"/>
        <v>759.30862686635817</v>
      </c>
      <c r="AL56" s="874">
        <f t="shared" si="48"/>
        <v>826.06191843407817</v>
      </c>
      <c r="BA56" s="802">
        <f t="shared" si="49"/>
        <v>44145327.288229153</v>
      </c>
      <c r="BB56" s="36">
        <f t="shared" si="50"/>
        <v>40</v>
      </c>
      <c r="BC56" s="23">
        <f t="shared" si="51"/>
        <v>1103.6331822057286</v>
      </c>
      <c r="BD56" s="795">
        <f t="shared" si="41"/>
        <v>0.53477354394262211</v>
      </c>
      <c r="BE56" s="37"/>
    </row>
    <row r="57" spans="1:57" x14ac:dyDescent="0.25">
      <c r="G57" s="801"/>
      <c r="M57">
        <f t="shared" si="52"/>
        <v>250</v>
      </c>
      <c r="N57" s="872">
        <f t="shared" si="42"/>
        <v>20.611720105998042</v>
      </c>
      <c r="O57" s="871">
        <f t="shared" si="42"/>
        <v>0.67841264661213341</v>
      </c>
      <c r="P57" s="871">
        <f t="shared" si="42"/>
        <v>1.7762893738968528E-3</v>
      </c>
      <c r="Q57" s="871">
        <f t="shared" si="42"/>
        <v>1.827904389327877</v>
      </c>
      <c r="R57" s="874">
        <f t="shared" si="42"/>
        <v>11.662886489639675</v>
      </c>
      <c r="S57" s="872">
        <f t="shared" si="43"/>
        <v>813.60379305023127</v>
      </c>
      <c r="T57" s="871">
        <f t="shared" si="43"/>
        <v>1.7058355336106117</v>
      </c>
      <c r="U57" s="871">
        <f t="shared" si="43"/>
        <v>40.049964804866228</v>
      </c>
      <c r="V57" s="871">
        <f t="shared" si="43"/>
        <v>156.42256703455439</v>
      </c>
      <c r="W57" s="874">
        <f t="shared" si="43"/>
        <v>76.302843259605268</v>
      </c>
      <c r="X57" s="909">
        <f t="shared" si="44"/>
        <v>1557.8240563811244</v>
      </c>
      <c r="Y57" s="854">
        <f t="shared" si="44"/>
        <v>196.22180935975024</v>
      </c>
      <c r="Z57" s="854">
        <f t="shared" si="44"/>
        <v>31.403551272351304</v>
      </c>
      <c r="AA57" s="854">
        <f t="shared" si="44"/>
        <v>156.21077498172636</v>
      </c>
      <c r="AB57" s="910">
        <f t="shared" si="44"/>
        <v>189.28865380506292</v>
      </c>
      <c r="AC57" s="872">
        <f t="shared" si="45"/>
        <v>1477065.9994986842</v>
      </c>
      <c r="AD57" s="871">
        <f t="shared" si="46"/>
        <v>198229.43138595886</v>
      </c>
      <c r="AE57" s="871">
        <f t="shared" si="46"/>
        <v>42943.947820703252</v>
      </c>
      <c r="AF57" s="871">
        <f t="shared" si="46"/>
        <v>14.063633960693018</v>
      </c>
      <c r="AG57" s="874">
        <f t="shared" si="46"/>
        <v>127.29591165871922</v>
      </c>
      <c r="AH57" s="872">
        <f t="shared" si="47"/>
        <v>55.022014738529052</v>
      </c>
      <c r="AI57" s="871">
        <f t="shared" si="48"/>
        <v>50.183999594529375</v>
      </c>
      <c r="AJ57" s="871">
        <f t="shared" si="48"/>
        <v>27.774349974343831</v>
      </c>
      <c r="AK57" s="871">
        <f t="shared" si="48"/>
        <v>11.241991917732701</v>
      </c>
      <c r="AL57" s="874">
        <f t="shared" si="48"/>
        <v>44.379047443158612</v>
      </c>
      <c r="BA57" s="802">
        <f t="shared" si="49"/>
        <v>47933633.855548635</v>
      </c>
      <c r="BB57" s="36">
        <f t="shared" si="50"/>
        <v>45</v>
      </c>
      <c r="BC57" s="23">
        <f t="shared" si="51"/>
        <v>1065.1918634566364</v>
      </c>
      <c r="BD57" s="795">
        <f t="shared" si="41"/>
        <v>0.51614652131161176</v>
      </c>
      <c r="BE57" s="37"/>
    </row>
    <row r="58" spans="1:57" x14ac:dyDescent="0.25">
      <c r="G58" s="801"/>
      <c r="M58">
        <f t="shared" si="52"/>
        <v>260</v>
      </c>
      <c r="N58" s="872">
        <f t="shared" si="42"/>
        <v>68.141173769335538</v>
      </c>
      <c r="O58" s="871">
        <f t="shared" si="42"/>
        <v>0.74008175653695318</v>
      </c>
      <c r="P58" s="871">
        <f t="shared" si="42"/>
        <v>0.62397164802188054</v>
      </c>
      <c r="Q58" s="871">
        <f t="shared" si="42"/>
        <v>5.1347323701099852E-2</v>
      </c>
      <c r="R58" s="874">
        <f t="shared" si="42"/>
        <v>0.85915985012841345</v>
      </c>
      <c r="S58" s="872">
        <f t="shared" si="43"/>
        <v>1233.911428802041</v>
      </c>
      <c r="T58" s="871">
        <f t="shared" si="43"/>
        <v>1.3154872698364914</v>
      </c>
      <c r="U58" s="871">
        <f t="shared" si="43"/>
        <v>54.890569417514897</v>
      </c>
      <c r="V58" s="871">
        <f t="shared" si="43"/>
        <v>137.22603162543317</v>
      </c>
      <c r="W58" s="874">
        <f t="shared" si="43"/>
        <v>60.428452001202594</v>
      </c>
      <c r="X58" s="909">
        <f t="shared" si="44"/>
        <v>1432.0731326871748</v>
      </c>
      <c r="Y58" s="854">
        <f t="shared" si="44"/>
        <v>115.44669899823384</v>
      </c>
      <c r="Z58" s="854">
        <f t="shared" si="44"/>
        <v>5.69808614163352</v>
      </c>
      <c r="AA58" s="854">
        <f t="shared" si="44"/>
        <v>72.162793836877839</v>
      </c>
      <c r="AB58" s="910">
        <f t="shared" si="44"/>
        <v>81.357405176499711</v>
      </c>
      <c r="AC58" s="872">
        <f t="shared" si="45"/>
        <v>1396488.40283176</v>
      </c>
      <c r="AD58" s="871">
        <f t="shared" si="46"/>
        <v>189133.77013825785</v>
      </c>
      <c r="AE58" s="871">
        <f t="shared" si="46"/>
        <v>41870.900629966942</v>
      </c>
      <c r="AF58" s="871">
        <f t="shared" si="46"/>
        <v>64.216430382786399</v>
      </c>
      <c r="AG58" s="874">
        <f t="shared" si="46"/>
        <v>195.58225388605132</v>
      </c>
      <c r="AH58" s="872">
        <f t="shared" si="47"/>
        <v>1875.1089411325913</v>
      </c>
      <c r="AI58" s="871">
        <f t="shared" si="48"/>
        <v>205.5638600996912</v>
      </c>
      <c r="AJ58" s="871">
        <f t="shared" si="48"/>
        <v>141.64718788596375</v>
      </c>
      <c r="AK58" s="871">
        <f t="shared" si="48"/>
        <v>125.32900003612463</v>
      </c>
      <c r="AL58" s="874">
        <f t="shared" si="48"/>
        <v>37.205831915026394</v>
      </c>
      <c r="BA58" s="802">
        <f t="shared" si="49"/>
        <v>51597046.198363818</v>
      </c>
      <c r="BB58" s="36">
        <f t="shared" si="50"/>
        <v>50</v>
      </c>
      <c r="BC58" s="23">
        <f t="shared" si="51"/>
        <v>1031.9409239672764</v>
      </c>
      <c r="BD58" s="795">
        <f t="shared" si="41"/>
        <v>0.50003453497697836</v>
      </c>
      <c r="BE58" s="37"/>
    </row>
    <row r="59" spans="1:57" x14ac:dyDescent="0.25">
      <c r="G59" s="801"/>
      <c r="M59">
        <f t="shared" si="52"/>
        <v>270</v>
      </c>
      <c r="N59" s="872">
        <f t="shared" si="42"/>
        <v>92.309922103163359</v>
      </c>
      <c r="O59" s="871">
        <f t="shared" si="42"/>
        <v>2.7600586840480505</v>
      </c>
      <c r="P59" s="871">
        <f t="shared" si="42"/>
        <v>4.6983726831915194</v>
      </c>
      <c r="Q59" s="871">
        <f t="shared" si="42"/>
        <v>0.99432560799044023</v>
      </c>
      <c r="R59" s="874">
        <f t="shared" si="42"/>
        <v>4.3044114956190864E-2</v>
      </c>
      <c r="S59" s="872">
        <f t="shared" si="43"/>
        <v>1588.4360487049823</v>
      </c>
      <c r="T59" s="871">
        <f t="shared" si="43"/>
        <v>9.2638852453775797</v>
      </c>
      <c r="U59" s="871">
        <f t="shared" si="43"/>
        <v>65.273598669437092</v>
      </c>
      <c r="V59" s="871">
        <f t="shared" si="43"/>
        <v>100.9883737413225</v>
      </c>
      <c r="W59" s="874">
        <f t="shared" si="43"/>
        <v>69.714018272787968</v>
      </c>
      <c r="X59" s="909">
        <f t="shared" si="44"/>
        <v>1209.94189729968</v>
      </c>
      <c r="Y59" s="854">
        <f t="shared" si="44"/>
        <v>52.88110438080404</v>
      </c>
      <c r="Z59" s="854">
        <f t="shared" si="44"/>
        <v>1.0834271568946354</v>
      </c>
      <c r="AA59" s="854">
        <f t="shared" si="44"/>
        <v>32.678416701034685</v>
      </c>
      <c r="AB59" s="910">
        <f t="shared" si="44"/>
        <v>36.268680923047199</v>
      </c>
      <c r="AC59" s="872">
        <f t="shared" si="45"/>
        <v>1323889.2365668502</v>
      </c>
      <c r="AD59" s="871">
        <f t="shared" si="46"/>
        <v>179202.72983913726</v>
      </c>
      <c r="AE59" s="871">
        <f t="shared" si="46"/>
        <v>39702.162927215388</v>
      </c>
      <c r="AF59" s="871">
        <f t="shared" si="46"/>
        <v>85.103192333181852</v>
      </c>
      <c r="AG59" s="874">
        <f t="shared" si="46"/>
        <v>210.80720561260355</v>
      </c>
      <c r="AH59" s="872">
        <f t="shared" si="47"/>
        <v>3770.1871828411809</v>
      </c>
      <c r="AI59" s="871">
        <f t="shared" si="48"/>
        <v>614.44646662217849</v>
      </c>
      <c r="AJ59" s="871">
        <f t="shared" si="48"/>
        <v>396.80556327779118</v>
      </c>
      <c r="AK59" s="871">
        <f t="shared" si="48"/>
        <v>356.47090638059285</v>
      </c>
      <c r="AL59" s="874">
        <f t="shared" si="48"/>
        <v>169.45368414767952</v>
      </c>
      <c r="BA59" s="802">
        <f t="shared" si="49"/>
        <v>55151626.762306951</v>
      </c>
      <c r="BB59" s="36">
        <f t="shared" si="50"/>
        <v>55</v>
      </c>
      <c r="BC59" s="23">
        <f t="shared" si="51"/>
        <v>1002.7568502237629</v>
      </c>
      <c r="BD59" s="795">
        <f t="shared" si="41"/>
        <v>0.48589317823441502</v>
      </c>
      <c r="BE59" s="37"/>
    </row>
    <row r="60" spans="1:57" x14ac:dyDescent="0.25">
      <c r="G60" s="801"/>
      <c r="M60">
        <f t="shared" si="52"/>
        <v>280</v>
      </c>
      <c r="N60" s="872">
        <f t="shared" si="42"/>
        <v>69.364346213987019</v>
      </c>
      <c r="O60" s="871">
        <f t="shared" si="42"/>
        <v>19.092251401150715</v>
      </c>
      <c r="P60" s="871">
        <f t="shared" si="42"/>
        <v>28.401068629249572</v>
      </c>
      <c r="Q60" s="871">
        <f t="shared" si="42"/>
        <v>19.140267913419628</v>
      </c>
      <c r="R60" s="874">
        <f t="shared" si="42"/>
        <v>12.199274378806793</v>
      </c>
      <c r="S60" s="872">
        <f t="shared" si="43"/>
        <v>1807.2920579001345</v>
      </c>
      <c r="T60" s="871">
        <f t="shared" si="43"/>
        <v>10.953351834123289</v>
      </c>
      <c r="U60" s="871">
        <f t="shared" si="43"/>
        <v>52.336245997460942</v>
      </c>
      <c r="V60" s="871">
        <f t="shared" si="43"/>
        <v>117.93512415518947</v>
      </c>
      <c r="W60" s="874">
        <f t="shared" si="43"/>
        <v>48.986028813570627</v>
      </c>
      <c r="X60" s="909">
        <f t="shared" si="44"/>
        <v>1093.9498411901543</v>
      </c>
      <c r="Y60" s="854">
        <f t="shared" si="44"/>
        <v>19.934944549208595</v>
      </c>
      <c r="Z60" s="854">
        <f t="shared" si="44"/>
        <v>17.073375967115197</v>
      </c>
      <c r="AA60" s="854">
        <f t="shared" si="44"/>
        <v>5.1272073453275553</v>
      </c>
      <c r="AB60" s="910">
        <f t="shared" si="44"/>
        <v>7.118561487532034</v>
      </c>
      <c r="AC60" s="872">
        <f t="shared" si="45"/>
        <v>1259541.5320616474</v>
      </c>
      <c r="AD60" s="871">
        <f t="shared" si="46"/>
        <v>168792.17126471963</v>
      </c>
      <c r="AE60" s="871">
        <f t="shared" si="46"/>
        <v>36752.446465058121</v>
      </c>
      <c r="AF60" s="871">
        <f t="shared" si="46"/>
        <v>37.365282884601875</v>
      </c>
      <c r="AG60" s="874">
        <f t="shared" si="46"/>
        <v>128.84930235737926</v>
      </c>
      <c r="AH60" s="872">
        <f t="shared" si="47"/>
        <v>4347.2178895176885</v>
      </c>
      <c r="AI60" s="871">
        <f t="shared" si="48"/>
        <v>680.57596334058303</v>
      </c>
      <c r="AJ60" s="871">
        <f t="shared" si="48"/>
        <v>404.22203573060597</v>
      </c>
      <c r="AK60" s="871">
        <f t="shared" si="48"/>
        <v>342.79571429924221</v>
      </c>
      <c r="AL60" s="874">
        <f t="shared" si="48"/>
        <v>160.56101425587963</v>
      </c>
      <c r="BA60" s="802">
        <f t="shared" si="49"/>
        <v>58610109.269179732</v>
      </c>
      <c r="BB60" s="36">
        <f t="shared" si="50"/>
        <v>60</v>
      </c>
      <c r="BC60" s="23">
        <f t="shared" si="51"/>
        <v>976.83515448632886</v>
      </c>
      <c r="BD60" s="795">
        <f t="shared" si="41"/>
        <v>0.47333263065573061</v>
      </c>
      <c r="BE60" s="37"/>
    </row>
    <row r="61" spans="1:57" x14ac:dyDescent="0.25">
      <c r="G61" s="801"/>
      <c r="M61">
        <f t="shared" si="52"/>
        <v>290</v>
      </c>
      <c r="N61" s="872">
        <f t="shared" si="42"/>
        <v>17.192021667609897</v>
      </c>
      <c r="O61" s="871">
        <f t="shared" si="42"/>
        <v>68.307679242574437</v>
      </c>
      <c r="P61" s="871">
        <f t="shared" si="42"/>
        <v>89.396501829359309</v>
      </c>
      <c r="Q61" s="871">
        <f t="shared" si="42"/>
        <v>67.043026708282568</v>
      </c>
      <c r="R61" s="874">
        <f t="shared" si="42"/>
        <v>60.490073571370729</v>
      </c>
      <c r="S61" s="872">
        <f t="shared" si="43"/>
        <v>1820.4483652998747</v>
      </c>
      <c r="T61" s="871">
        <f t="shared" si="43"/>
        <v>6.6391125672035489</v>
      </c>
      <c r="U61" s="871">
        <f t="shared" si="43"/>
        <v>31.513194391092011</v>
      </c>
      <c r="V61" s="871">
        <f t="shared" si="43"/>
        <v>144.60778363143666</v>
      </c>
      <c r="W61" s="874">
        <f t="shared" si="43"/>
        <v>23.098573439986424</v>
      </c>
      <c r="X61" s="909">
        <f t="shared" si="44"/>
        <v>1141.0610546797943</v>
      </c>
      <c r="Y61" s="854">
        <f t="shared" si="44"/>
        <v>15.454604803749589</v>
      </c>
      <c r="Z61" s="854">
        <f t="shared" si="44"/>
        <v>28.224885342365418</v>
      </c>
      <c r="AA61" s="854">
        <f t="shared" si="44"/>
        <v>0.95606385125528559</v>
      </c>
      <c r="AB61" s="910">
        <f t="shared" si="44"/>
        <v>0.52949860347451083</v>
      </c>
      <c r="AC61" s="872">
        <f t="shared" si="45"/>
        <v>1202433.4215855889</v>
      </c>
      <c r="AD61" s="871">
        <f t="shared" si="46"/>
        <v>159259.87464224515</v>
      </c>
      <c r="AE61" s="871">
        <f t="shared" si="46"/>
        <v>33849.112919304833</v>
      </c>
      <c r="AF61" s="871">
        <f t="shared" si="46"/>
        <v>5.6237809873983702</v>
      </c>
      <c r="AG61" s="874">
        <f t="shared" si="46"/>
        <v>49.441189046560588</v>
      </c>
      <c r="AH61" s="872">
        <f t="shared" si="47"/>
        <v>3672.0983297683679</v>
      </c>
      <c r="AI61" s="871">
        <f t="shared" si="48"/>
        <v>465.66804397265844</v>
      </c>
      <c r="AJ61" s="871">
        <f t="shared" si="48"/>
        <v>239.24508291712726</v>
      </c>
      <c r="AK61" s="871">
        <f t="shared" si="48"/>
        <v>202.80419733947073</v>
      </c>
      <c r="AL61" s="874">
        <f t="shared" si="48"/>
        <v>64.934904280609288</v>
      </c>
      <c r="BA61" s="802">
        <f t="shared" si="49"/>
        <v>61982807.456013098</v>
      </c>
      <c r="BB61" s="36">
        <f t="shared" si="50"/>
        <v>65</v>
      </c>
      <c r="BC61" s="23">
        <f t="shared" si="51"/>
        <v>953.58165316943234</v>
      </c>
      <c r="BD61" s="795">
        <f t="shared" si="41"/>
        <v>0.46206497623140658</v>
      </c>
      <c r="BE61" s="37"/>
    </row>
    <row r="62" spans="1:57" x14ac:dyDescent="0.25">
      <c r="G62" s="801"/>
      <c r="M62">
        <f t="shared" si="52"/>
        <v>300</v>
      </c>
      <c r="N62" s="872">
        <f t="shared" si="42"/>
        <v>5.1901036302370569</v>
      </c>
      <c r="O62" s="871">
        <f t="shared" si="42"/>
        <v>183.84328206833081</v>
      </c>
      <c r="P62" s="871">
        <f t="shared" si="42"/>
        <v>195.59173467216215</v>
      </c>
      <c r="Q62" s="871">
        <f t="shared" si="42"/>
        <v>170.5075444156295</v>
      </c>
      <c r="R62" s="874">
        <f t="shared" si="42"/>
        <v>141.85910226656745</v>
      </c>
      <c r="S62" s="872">
        <f t="shared" si="43"/>
        <v>1646.9353374046279</v>
      </c>
      <c r="T62" s="871">
        <f t="shared" si="43"/>
        <v>0.15175600424328842</v>
      </c>
      <c r="U62" s="871">
        <f t="shared" si="43"/>
        <v>12.716991053097857</v>
      </c>
      <c r="V62" s="871">
        <f t="shared" si="43"/>
        <v>205.56724079439365</v>
      </c>
      <c r="W62" s="874">
        <f t="shared" si="43"/>
        <v>7.5437246723103968</v>
      </c>
      <c r="X62" s="909">
        <f t="shared" si="44"/>
        <v>1382.1908603079544</v>
      </c>
      <c r="Y62" s="854">
        <f t="shared" si="44"/>
        <v>27.229690679953471</v>
      </c>
      <c r="Z62" s="854">
        <f t="shared" si="44"/>
        <v>17.797880387916454</v>
      </c>
      <c r="AA62" s="854">
        <f t="shared" si="44"/>
        <v>1.1104151252843204</v>
      </c>
      <c r="AB62" s="910">
        <f t="shared" si="44"/>
        <v>1.4022148849304019</v>
      </c>
      <c r="AC62" s="872">
        <f t="shared" si="45"/>
        <v>1152416.7984984885</v>
      </c>
      <c r="AD62" s="871">
        <f t="shared" si="46"/>
        <v>150645.76227712989</v>
      </c>
      <c r="AE62" s="871">
        <f t="shared" si="46"/>
        <v>31410.155382476642</v>
      </c>
      <c r="AF62" s="871">
        <f t="shared" si="46"/>
        <v>2.9476749997790761</v>
      </c>
      <c r="AG62" s="874">
        <f t="shared" si="46"/>
        <v>12.521139423612036</v>
      </c>
      <c r="AH62" s="872">
        <f t="shared" si="47"/>
        <v>2451.2015600487271</v>
      </c>
      <c r="AI62" s="871">
        <f t="shared" si="48"/>
        <v>177.77699504020003</v>
      </c>
      <c r="AJ62" s="871">
        <f t="shared" si="48"/>
        <v>71.773567002788667</v>
      </c>
      <c r="AK62" s="871">
        <f t="shared" si="48"/>
        <v>51.158699166284975</v>
      </c>
      <c r="AL62" s="874">
        <f t="shared" si="48"/>
        <v>3.7506757283821219</v>
      </c>
      <c r="BA62" s="802">
        <f t="shared" si="49"/>
        <v>65278225.020041786</v>
      </c>
      <c r="BB62" s="36">
        <f t="shared" si="50"/>
        <v>70</v>
      </c>
      <c r="BC62" s="23">
        <f t="shared" si="51"/>
        <v>932.5460717148826</v>
      </c>
      <c r="BD62" s="795">
        <f t="shared" si="41"/>
        <v>0.45187203112544266</v>
      </c>
      <c r="BE62" s="37"/>
    </row>
    <row r="63" spans="1:57" x14ac:dyDescent="0.25">
      <c r="M63">
        <f t="shared" si="52"/>
        <v>310</v>
      </c>
      <c r="N63" s="872">
        <f t="shared" si="42"/>
        <v>43.027179630873611</v>
      </c>
      <c r="O63" s="871">
        <f t="shared" si="42"/>
        <v>312.20527000880833</v>
      </c>
      <c r="P63" s="871">
        <f t="shared" si="42"/>
        <v>313.62456007419388</v>
      </c>
      <c r="Q63" s="871">
        <f t="shared" si="42"/>
        <v>282.66212094050718</v>
      </c>
      <c r="R63" s="874">
        <f t="shared" si="42"/>
        <v>245.59148465476301</v>
      </c>
      <c r="S63" s="872">
        <f t="shared" si="43"/>
        <v>1600.9994017752024</v>
      </c>
      <c r="T63" s="871">
        <f t="shared" si="43"/>
        <v>1.1434759474405489</v>
      </c>
      <c r="U63" s="871">
        <f t="shared" si="43"/>
        <v>3.8533541567283738</v>
      </c>
      <c r="V63" s="871">
        <f t="shared" si="43"/>
        <v>253.24292730021824</v>
      </c>
      <c r="W63" s="874">
        <f t="shared" si="43"/>
        <v>0.57284016291261108</v>
      </c>
      <c r="X63" s="909">
        <f t="shared" si="44"/>
        <v>2075.4956858152009</v>
      </c>
      <c r="Y63" s="854">
        <f t="shared" si="44"/>
        <v>90.955164450279895</v>
      </c>
      <c r="Z63" s="854">
        <f t="shared" si="44"/>
        <v>0.61240274770457948</v>
      </c>
      <c r="AA63" s="854">
        <f t="shared" si="44"/>
        <v>13.205581146869951</v>
      </c>
      <c r="AB63" s="910">
        <f t="shared" si="44"/>
        <v>10.900559302342723</v>
      </c>
      <c r="AC63" s="872">
        <f t="shared" si="45"/>
        <v>1116016.0773253536</v>
      </c>
      <c r="AD63" s="871">
        <f t="shared" si="46"/>
        <v>144668.50276390646</v>
      </c>
      <c r="AE63" s="871">
        <f t="shared" si="46"/>
        <v>29822.441681981392</v>
      </c>
      <c r="AF63" s="871">
        <f t="shared" si="46"/>
        <v>13.665145306624176</v>
      </c>
      <c r="AG63" s="874">
        <f t="shared" si="46"/>
        <v>1.8166673443762575</v>
      </c>
      <c r="AH63" s="872">
        <f t="shared" si="47"/>
        <v>1599.274172063602</v>
      </c>
      <c r="AI63" s="871">
        <f t="shared" si="48"/>
        <v>34.501659130380709</v>
      </c>
      <c r="AJ63" s="871">
        <f t="shared" si="48"/>
        <v>3.8069694345894236</v>
      </c>
      <c r="AK63" s="871">
        <f t="shared" si="48"/>
        <v>0.77599755283948491</v>
      </c>
      <c r="AL63" s="874">
        <f t="shared" si="48"/>
        <v>16.850535548934218</v>
      </c>
      <c r="BA63" s="802">
        <f t="shared" si="49"/>
        <v>68503479.335611641</v>
      </c>
      <c r="BB63" s="36">
        <f t="shared" si="50"/>
        <v>75</v>
      </c>
      <c r="BC63" s="23">
        <f t="shared" si="51"/>
        <v>913.37972447482196</v>
      </c>
      <c r="BD63" s="795">
        <f t="shared" si="41"/>
        <v>0.44258483715260732</v>
      </c>
      <c r="BE63" s="37"/>
    </row>
    <row r="64" spans="1:57" x14ac:dyDescent="0.25">
      <c r="M64">
        <f t="shared" si="52"/>
        <v>320</v>
      </c>
      <c r="N64" s="872">
        <f t="shared" si="42"/>
        <v>97.999815731294063</v>
      </c>
      <c r="O64" s="871">
        <f t="shared" si="42"/>
        <v>432.95620974991016</v>
      </c>
      <c r="P64" s="871">
        <f t="shared" si="42"/>
        <v>423.15194478584425</v>
      </c>
      <c r="Q64" s="871">
        <f t="shared" si="42"/>
        <v>366.43562863035874</v>
      </c>
      <c r="R64" s="874">
        <f t="shared" si="42"/>
        <v>320.72678796392603</v>
      </c>
      <c r="S64" s="872">
        <f t="shared" si="43"/>
        <v>1512.1830951304273</v>
      </c>
      <c r="T64" s="871">
        <f t="shared" si="43"/>
        <v>6.5912668812192079</v>
      </c>
      <c r="U64" s="871">
        <f t="shared" si="43"/>
        <v>0.15323659532622333</v>
      </c>
      <c r="V64" s="871">
        <f t="shared" si="43"/>
        <v>283.96520157110325</v>
      </c>
      <c r="W64" s="874">
        <f t="shared" si="43"/>
        <v>0.16292547606027866</v>
      </c>
      <c r="X64" s="909">
        <f t="shared" si="44"/>
        <v>2905.5556329745368</v>
      </c>
      <c r="Y64" s="854">
        <f t="shared" si="44"/>
        <v>200.95422479335431</v>
      </c>
      <c r="Z64" s="854">
        <f t="shared" si="44"/>
        <v>8.7625470486113404</v>
      </c>
      <c r="AA64" s="854">
        <f t="shared" si="44"/>
        <v>51.104207414245195</v>
      </c>
      <c r="AB64" s="910">
        <f t="shared" si="44"/>
        <v>42.089130526725448</v>
      </c>
      <c r="AC64" s="872">
        <f t="shared" si="45"/>
        <v>1086586.6226756023</v>
      </c>
      <c r="AD64" s="871">
        <f t="shared" si="46"/>
        <v>140409.17148766314</v>
      </c>
      <c r="AE64" s="871">
        <f t="shared" si="46"/>
        <v>28859.77227450279</v>
      </c>
      <c r="AF64" s="871">
        <f t="shared" si="46"/>
        <v>12.919795187180638</v>
      </c>
      <c r="AG64" s="874">
        <f t="shared" si="46"/>
        <v>1.6747691722649054</v>
      </c>
      <c r="AH64" s="872">
        <f t="shared" si="47"/>
        <v>1106.1901257725594</v>
      </c>
      <c r="AI64" s="871">
        <f t="shared" si="48"/>
        <v>0.34918802401719351</v>
      </c>
      <c r="AJ64" s="871">
        <f t="shared" si="48"/>
        <v>7.2954597416859022</v>
      </c>
      <c r="AK64" s="871">
        <f t="shared" si="48"/>
        <v>9.3684852276347197</v>
      </c>
      <c r="AL64" s="874">
        <f t="shared" si="48"/>
        <v>60.616055832006936</v>
      </c>
      <c r="BA64" s="802">
        <f t="shared" si="49"/>
        <v>71664604.417375073</v>
      </c>
      <c r="BB64" s="36">
        <f t="shared" si="50"/>
        <v>80</v>
      </c>
      <c r="BC64" s="23">
        <f t="shared" si="51"/>
        <v>895.80755521718845</v>
      </c>
      <c r="BD64" s="795">
        <f t="shared" si="41"/>
        <v>0.43407011380052118</v>
      </c>
      <c r="BE64" s="37"/>
    </row>
    <row r="65" spans="8:57" x14ac:dyDescent="0.25">
      <c r="M65">
        <f t="shared" si="52"/>
        <v>330</v>
      </c>
      <c r="N65" s="872">
        <f t="shared" si="42"/>
        <v>78.213505571371584</v>
      </c>
      <c r="O65" s="871">
        <f t="shared" si="42"/>
        <v>415.81092924890874</v>
      </c>
      <c r="P65" s="871">
        <f t="shared" si="42"/>
        <v>434.93298683987626</v>
      </c>
      <c r="Q65" s="871">
        <f t="shared" si="42"/>
        <v>389.59328086099197</v>
      </c>
      <c r="R65" s="874">
        <f t="shared" si="42"/>
        <v>338.66165400830488</v>
      </c>
      <c r="S65" s="872">
        <f t="shared" si="43"/>
        <v>1564.6517053112811</v>
      </c>
      <c r="T65" s="871">
        <f t="shared" si="43"/>
        <v>4.9914345855913522</v>
      </c>
      <c r="U65" s="871">
        <f t="shared" si="43"/>
        <v>1.1190311473798947E-3</v>
      </c>
      <c r="V65" s="871">
        <f t="shared" si="43"/>
        <v>301.62267695936066</v>
      </c>
      <c r="W65" s="874">
        <f t="shared" si="43"/>
        <v>1.030021174500565</v>
      </c>
      <c r="X65" s="909">
        <f t="shared" si="44"/>
        <v>3616.6445231496618</v>
      </c>
      <c r="Y65" s="854">
        <f t="shared" si="44"/>
        <v>327.132580647613</v>
      </c>
      <c r="Z65" s="854">
        <f t="shared" si="44"/>
        <v>32.293217608734878</v>
      </c>
      <c r="AA65" s="854">
        <f t="shared" si="44"/>
        <v>84.264773065362093</v>
      </c>
      <c r="AB65" s="910">
        <f t="shared" si="44"/>
        <v>71.079824658568839</v>
      </c>
      <c r="AC65" s="872">
        <f t="shared" si="45"/>
        <v>1066334.9271192455</v>
      </c>
      <c r="AD65" s="871">
        <f t="shared" si="46"/>
        <v>138683.3535406712</v>
      </c>
      <c r="AE65" s="871">
        <f t="shared" si="46"/>
        <v>28695.292296539512</v>
      </c>
      <c r="AF65" s="871">
        <f t="shared" si="46"/>
        <v>4.2294507126822047</v>
      </c>
      <c r="AG65" s="874">
        <f t="shared" si="46"/>
        <v>7.3387777434551476</v>
      </c>
      <c r="AH65" s="872">
        <f t="shared" si="47"/>
        <v>1202.1230743525236</v>
      </c>
      <c r="AI65" s="871">
        <f t="shared" si="48"/>
        <v>1.7635070639231585</v>
      </c>
      <c r="AJ65" s="871">
        <f t="shared" si="48"/>
        <v>7.3844102370969873</v>
      </c>
      <c r="AK65" s="871">
        <f t="shared" si="48"/>
        <v>11.6639030869298</v>
      </c>
      <c r="AL65" s="874">
        <f t="shared" si="48"/>
        <v>63.90973736429914</v>
      </c>
      <c r="BA65" s="802">
        <f t="shared" si="49"/>
        <v>74766772.930037528</v>
      </c>
      <c r="BB65" s="36">
        <f t="shared" si="50"/>
        <v>85</v>
      </c>
      <c r="BC65" s="23">
        <f t="shared" si="51"/>
        <v>879.60909329455922</v>
      </c>
      <c r="BD65" s="795">
        <f t="shared" si="41"/>
        <v>0.42622103040174997</v>
      </c>
      <c r="BE65" s="37"/>
    </row>
    <row r="66" spans="8:57" x14ac:dyDescent="0.25">
      <c r="M66">
        <f t="shared" si="52"/>
        <v>340</v>
      </c>
      <c r="N66" s="872">
        <f t="shared" ref="N66:R67" si="53">(N23-I23)^2</f>
        <v>7.4636028976099622</v>
      </c>
      <c r="O66" s="871">
        <f t="shared" si="53"/>
        <v>276.63225469991335</v>
      </c>
      <c r="P66" s="871">
        <f t="shared" si="53"/>
        <v>324.12006067449812</v>
      </c>
      <c r="Q66" s="871">
        <f t="shared" si="53"/>
        <v>301.32038147870833</v>
      </c>
      <c r="R66" s="874">
        <f t="shared" si="53"/>
        <v>256.05519702079664</v>
      </c>
      <c r="S66" s="872">
        <f t="shared" ref="S66:W67" si="54">(S23-I23)^2</f>
        <v>1708.9985290950478</v>
      </c>
      <c r="T66" s="871">
        <f t="shared" si="54"/>
        <v>1.3204027920333776</v>
      </c>
      <c r="U66" s="871">
        <f t="shared" si="54"/>
        <v>0.26946380325642105</v>
      </c>
      <c r="V66" s="871">
        <f t="shared" si="54"/>
        <v>284.45685797342901</v>
      </c>
      <c r="W66" s="874">
        <f t="shared" si="54"/>
        <v>0.28501094040390557</v>
      </c>
      <c r="X66" s="909">
        <f t="shared" ref="X66:AB67" si="55">(I23-X23)^2</f>
        <v>3326.6901944605493</v>
      </c>
      <c r="Y66" s="854">
        <f t="shared" si="55"/>
        <v>265.65811038591789</v>
      </c>
      <c r="Z66" s="854">
        <f t="shared" si="55"/>
        <v>15.643027463764126</v>
      </c>
      <c r="AA66" s="854">
        <f t="shared" si="55"/>
        <v>54.617872867017034</v>
      </c>
      <c r="AB66" s="910">
        <f t="shared" si="55"/>
        <v>48.492105623819128</v>
      </c>
      <c r="AC66" s="872">
        <f t="shared" si="45"/>
        <v>1050555.2757674505</v>
      </c>
      <c r="AD66" s="871">
        <f t="shared" ref="AD66:AG67" si="56">(AD23-J23)^2</f>
        <v>137827.82616412546</v>
      </c>
      <c r="AE66" s="871">
        <f t="shared" si="56"/>
        <v>28937.019064829219</v>
      </c>
      <c r="AF66" s="871">
        <f t="shared" si="56"/>
        <v>0.33868960159013489</v>
      </c>
      <c r="AG66" s="874">
        <f t="shared" si="56"/>
        <v>27.914822054289424</v>
      </c>
      <c r="AH66" s="872">
        <f t="shared" si="47"/>
        <v>2141.2071063273984</v>
      </c>
      <c r="AI66" s="871">
        <f t="shared" ref="AI66:AL67" si="57">(AI23-J23)^2</f>
        <v>77.339295071532902</v>
      </c>
      <c r="AJ66" s="871">
        <f t="shared" si="57"/>
        <v>10.433307817268544</v>
      </c>
      <c r="AK66" s="871">
        <f t="shared" si="57"/>
        <v>3.0636244656305109</v>
      </c>
      <c r="AL66" s="874">
        <f t="shared" si="57"/>
        <v>8.5705505068627499</v>
      </c>
      <c r="BA66" s="802">
        <f t="shared" si="49"/>
        <v>77814462.357857123</v>
      </c>
      <c r="BB66" s="36">
        <f t="shared" si="50"/>
        <v>90</v>
      </c>
      <c r="BC66" s="23">
        <f t="shared" si="51"/>
        <v>864.60513730952357</v>
      </c>
      <c r="BD66" s="795">
        <f t="shared" si="41"/>
        <v>0.41895075360630207</v>
      </c>
      <c r="BE66" s="37"/>
    </row>
    <row r="67" spans="8:57" ht="15.75" thickBot="1" x14ac:dyDescent="0.3">
      <c r="M67">
        <f t="shared" si="52"/>
        <v>350</v>
      </c>
      <c r="N67" s="872">
        <f t="shared" si="53"/>
        <v>164.39438987719004</v>
      </c>
      <c r="O67" s="871">
        <f t="shared" si="53"/>
        <v>48.272253938447662</v>
      </c>
      <c r="P67" s="871">
        <f t="shared" si="53"/>
        <v>103.45246381113627</v>
      </c>
      <c r="Q67" s="871">
        <f t="shared" si="53"/>
        <v>115.84432000156025</v>
      </c>
      <c r="R67" s="874">
        <f t="shared" si="53"/>
        <v>109.94720401548668</v>
      </c>
      <c r="S67" s="872">
        <f t="shared" si="54"/>
        <v>2213.6924416199413</v>
      </c>
      <c r="T67" s="871">
        <f t="shared" si="54"/>
        <v>5.045185365872678</v>
      </c>
      <c r="U67" s="871">
        <f t="shared" si="54"/>
        <v>9.2139888760996573</v>
      </c>
      <c r="V67" s="871">
        <f t="shared" si="54"/>
        <v>221.11188632195274</v>
      </c>
      <c r="W67" s="874">
        <f t="shared" si="54"/>
        <v>0.2949710274237321</v>
      </c>
      <c r="X67" s="909">
        <f t="shared" si="55"/>
        <v>1759.1528477816714</v>
      </c>
      <c r="Y67" s="854">
        <f t="shared" si="55"/>
        <v>30.312353375275844</v>
      </c>
      <c r="Z67" s="854">
        <f t="shared" si="55"/>
        <v>28.260335623379955</v>
      </c>
      <c r="AA67" s="854">
        <f t="shared" si="55"/>
        <v>1.9708868256591916</v>
      </c>
      <c r="AB67" s="910">
        <f t="shared" si="55"/>
        <v>3.2430916942473198</v>
      </c>
      <c r="AC67" s="872">
        <f t="shared" si="45"/>
        <v>1041153.4426571801</v>
      </c>
      <c r="AD67" s="871">
        <f t="shared" si="56"/>
        <v>137871.90828000978</v>
      </c>
      <c r="AE67" s="871">
        <f t="shared" si="56"/>
        <v>29447.343759519052</v>
      </c>
      <c r="AF67" s="871">
        <f t="shared" si="56"/>
        <v>11.333095449562926</v>
      </c>
      <c r="AG67" s="874">
        <f t="shared" si="56"/>
        <v>51.915578989755858</v>
      </c>
      <c r="AH67" s="872">
        <f t="shared" si="47"/>
        <v>5375.4257847828458</v>
      </c>
      <c r="AI67" s="871">
        <f t="shared" si="57"/>
        <v>683.94977543775121</v>
      </c>
      <c r="AJ67" s="871">
        <f t="shared" si="57"/>
        <v>305.21719740032643</v>
      </c>
      <c r="AK67" s="871">
        <f t="shared" si="57"/>
        <v>199.17280577439723</v>
      </c>
      <c r="AL67" s="874">
        <f t="shared" si="57"/>
        <v>64.777308397550911</v>
      </c>
      <c r="BA67" s="802">
        <f t="shared" si="49"/>
        <v>80811581.69509533</v>
      </c>
      <c r="BB67" s="36">
        <f t="shared" si="50"/>
        <v>95</v>
      </c>
      <c r="BC67" s="23">
        <f t="shared" si="51"/>
        <v>850.6482283694246</v>
      </c>
      <c r="BD67" s="795">
        <f t="shared" si="41"/>
        <v>0.41218783112741825</v>
      </c>
      <c r="BE67" s="37"/>
    </row>
    <row r="68" spans="8:57" ht="15.75" thickBot="1" x14ac:dyDescent="0.3">
      <c r="J68" s="358"/>
      <c r="L68" t="s">
        <v>1263</v>
      </c>
      <c r="M68" s="416">
        <f>SUM(N68:AL68)</f>
        <v>35577183.016035892</v>
      </c>
      <c r="N68" s="911">
        <f t="shared" ref="N68:AC68" si="58">SUM(N50:N67)</f>
        <v>1325.6192255062003</v>
      </c>
      <c r="O68" s="912">
        <f t="shared" si="58"/>
        <v>6816.7318848826126</v>
      </c>
      <c r="P68" s="912">
        <f t="shared" si="58"/>
        <v>144581.97351356884</v>
      </c>
      <c r="Q68" s="912">
        <f t="shared" si="58"/>
        <v>372671.24165022641</v>
      </c>
      <c r="R68" s="913">
        <f t="shared" si="58"/>
        <v>599442.58102167235</v>
      </c>
      <c r="S68" s="911">
        <f t="shared" si="58"/>
        <v>19699.999965258528</v>
      </c>
      <c r="T68" s="912">
        <f t="shared" si="58"/>
        <v>501.5689601831117</v>
      </c>
      <c r="U68" s="912">
        <f t="shared" si="58"/>
        <v>115405.43613649969</v>
      </c>
      <c r="V68" s="912">
        <f t="shared" si="58"/>
        <v>273902.99871201452</v>
      </c>
      <c r="W68" s="913">
        <f t="shared" si="58"/>
        <v>552038.2538192356</v>
      </c>
      <c r="X68" s="911">
        <f t="shared" si="58"/>
        <v>402766.63674241316</v>
      </c>
      <c r="Y68" s="912">
        <f t="shared" si="58"/>
        <v>133737.913847499</v>
      </c>
      <c r="Z68" s="912">
        <f t="shared" si="58"/>
        <v>502.52196058303383</v>
      </c>
      <c r="AA68" s="912">
        <f t="shared" si="58"/>
        <v>91501.587657567579</v>
      </c>
      <c r="AB68" s="913">
        <f t="shared" si="58"/>
        <v>247217.92063439477</v>
      </c>
      <c r="AC68" s="911">
        <f t="shared" si="58"/>
        <v>24794805.68661724</v>
      </c>
      <c r="AD68" s="912">
        <f t="shared" ref="AD68:AL68" si="59">SUM(AD50:AD67)</f>
        <v>3188987.0787269725</v>
      </c>
      <c r="AE68" s="912">
        <f t="shared" si="59"/>
        <v>623412.38415409776</v>
      </c>
      <c r="AF68" s="912">
        <f t="shared" si="59"/>
        <v>2329.2743466699267</v>
      </c>
      <c r="AG68" s="913">
        <f t="shared" si="59"/>
        <v>60962.029689289957</v>
      </c>
      <c r="AH68" s="47">
        <f t="shared" si="59"/>
        <v>2580501.1968390425</v>
      </c>
      <c r="AI68" s="20">
        <f t="shared" si="59"/>
        <v>1018520.511702196</v>
      </c>
      <c r="AJ68" s="20">
        <f t="shared" si="59"/>
        <v>295153.8307705968</v>
      </c>
      <c r="AK68" s="20">
        <f t="shared" si="59"/>
        <v>47412.772165893446</v>
      </c>
      <c r="AL68" s="21">
        <f t="shared" si="59"/>
        <v>2985.2652923891392</v>
      </c>
      <c r="BA68" s="804">
        <f t="shared" si="49"/>
        <v>83761569.616830438</v>
      </c>
      <c r="BB68" s="39">
        <f t="shared" si="50"/>
        <v>100</v>
      </c>
      <c r="BC68" s="805">
        <f t="shared" si="51"/>
        <v>837.61569616830445</v>
      </c>
      <c r="BD68" s="806">
        <f t="shared" si="41"/>
        <v>0.405872822169632</v>
      </c>
      <c r="BE68" s="40"/>
    </row>
    <row r="69" spans="8:57" x14ac:dyDescent="0.25">
      <c r="H69" t="s">
        <v>1264</v>
      </c>
      <c r="I69" s="1291" t="s">
        <v>1265</v>
      </c>
      <c r="J69" s="1291"/>
      <c r="K69" s="1291"/>
      <c r="L69" s="1291"/>
      <c r="M69" s="1291"/>
      <c r="N69" s="153">
        <f>SUM(N68:R68)</f>
        <v>1124838.1472958564</v>
      </c>
      <c r="P69" s="358"/>
      <c r="S69" s="549">
        <f>SUM(S68:W68)</f>
        <v>961548.25759319146</v>
      </c>
      <c r="X69" s="153">
        <f>SUM(X68:AB68)</f>
        <v>875726.58084245748</v>
      </c>
      <c r="AC69" s="26">
        <f>SUM(AC50:AC67)</f>
        <v>24794805.68661724</v>
      </c>
      <c r="AH69" s="914">
        <f>SUM(AH68:AL68)</f>
        <v>3944573.5767701184</v>
      </c>
    </row>
    <row r="70" spans="8:57" x14ac:dyDescent="0.25">
      <c r="H70" s="787" t="s">
        <v>48</v>
      </c>
      <c r="I70" s="863" t="s">
        <v>1266</v>
      </c>
      <c r="J70" s="863" t="s">
        <v>524</v>
      </c>
      <c r="K70" s="863" t="s">
        <v>523</v>
      </c>
      <c r="L70" s="863" t="s">
        <v>527</v>
      </c>
      <c r="M70" s="863" t="s">
        <v>1267</v>
      </c>
      <c r="P70" s="358"/>
      <c r="Q70" s="125"/>
      <c r="S70" s="358"/>
    </row>
    <row r="71" spans="8:57" x14ac:dyDescent="0.25">
      <c r="H71">
        <v>180</v>
      </c>
      <c r="I71" s="358">
        <v>3669</v>
      </c>
      <c r="J71" s="358">
        <v>2446</v>
      </c>
      <c r="K71" s="26">
        <v>2331.06</v>
      </c>
      <c r="L71">
        <v>2279</v>
      </c>
      <c r="M71" s="358">
        <v>2244</v>
      </c>
      <c r="S71" s="358"/>
    </row>
    <row r="72" spans="8:57" x14ac:dyDescent="0.25">
      <c r="H72">
        <f>H71+10</f>
        <v>190</v>
      </c>
      <c r="I72" s="358">
        <v>3363</v>
      </c>
      <c r="J72" s="358">
        <v>2238</v>
      </c>
      <c r="K72" s="26">
        <v>2040.3199999999997</v>
      </c>
      <c r="L72">
        <v>1992</v>
      </c>
      <c r="M72" s="358">
        <v>1961</v>
      </c>
      <c r="S72" s="358"/>
    </row>
    <row r="73" spans="8:57" x14ac:dyDescent="0.25">
      <c r="H73">
        <f t="shared" ref="H73:H88" si="60">H72+10</f>
        <v>200</v>
      </c>
      <c r="I73">
        <v>3141</v>
      </c>
      <c r="J73" s="358">
        <v>2090</v>
      </c>
      <c r="K73" s="26">
        <v>1832.9199999999998</v>
      </c>
      <c r="L73">
        <v>1789</v>
      </c>
      <c r="M73" s="358">
        <v>1761</v>
      </c>
      <c r="S73" s="358"/>
    </row>
    <row r="74" spans="8:57" x14ac:dyDescent="0.25">
      <c r="H74">
        <f t="shared" si="60"/>
        <v>210</v>
      </c>
      <c r="I74">
        <v>2936</v>
      </c>
      <c r="J74" s="358">
        <v>1947</v>
      </c>
      <c r="K74" s="26">
        <v>1639.92</v>
      </c>
      <c r="L74">
        <v>1595</v>
      </c>
      <c r="M74" s="358">
        <v>1570</v>
      </c>
      <c r="S74" s="358"/>
    </row>
    <row r="75" spans="8:57" x14ac:dyDescent="0.25">
      <c r="H75">
        <f t="shared" si="60"/>
        <v>220</v>
      </c>
      <c r="I75">
        <v>2742</v>
      </c>
      <c r="J75" s="358">
        <v>1807</v>
      </c>
      <c r="K75" s="26">
        <v>1518.2799999999997</v>
      </c>
      <c r="L75">
        <v>1409</v>
      </c>
      <c r="M75" s="358">
        <v>1386</v>
      </c>
      <c r="S75" s="358"/>
    </row>
    <row r="76" spans="8:57" x14ac:dyDescent="0.25">
      <c r="H76">
        <f t="shared" si="60"/>
        <v>230</v>
      </c>
      <c r="I76">
        <v>2594</v>
      </c>
      <c r="J76" s="358">
        <v>1702</v>
      </c>
      <c r="K76" s="26">
        <v>1427.34</v>
      </c>
      <c r="L76">
        <v>1289</v>
      </c>
      <c r="M76" s="358">
        <v>1247</v>
      </c>
      <c r="S76" s="358"/>
    </row>
    <row r="77" spans="8:57" x14ac:dyDescent="0.25">
      <c r="H77">
        <f t="shared" si="60"/>
        <v>240</v>
      </c>
      <c r="I77">
        <v>2476</v>
      </c>
      <c r="J77" s="358">
        <v>1620</v>
      </c>
      <c r="K77" s="26">
        <v>1355.1799999999998</v>
      </c>
      <c r="L77">
        <v>1223</v>
      </c>
      <c r="M77" s="358">
        <v>1138</v>
      </c>
      <c r="S77" s="358"/>
    </row>
    <row r="78" spans="8:57" x14ac:dyDescent="0.25">
      <c r="H78">
        <f t="shared" si="60"/>
        <v>250</v>
      </c>
      <c r="I78">
        <v>2381</v>
      </c>
      <c r="J78" s="358">
        <v>1554</v>
      </c>
      <c r="K78" s="26">
        <v>1298.42</v>
      </c>
      <c r="L78">
        <v>1170</v>
      </c>
      <c r="M78" s="358">
        <v>1088</v>
      </c>
      <c r="S78" s="358"/>
    </row>
    <row r="79" spans="8:57" x14ac:dyDescent="0.25">
      <c r="H79">
        <f t="shared" si="60"/>
        <v>260</v>
      </c>
      <c r="I79">
        <v>2301</v>
      </c>
      <c r="J79" s="358">
        <v>1499</v>
      </c>
      <c r="K79" s="26">
        <v>1251.72</v>
      </c>
      <c r="L79">
        <v>1127</v>
      </c>
      <c r="M79" s="358">
        <v>1047</v>
      </c>
      <c r="S79" s="358"/>
    </row>
    <row r="80" spans="8:57" x14ac:dyDescent="0.25">
      <c r="H80">
        <f t="shared" si="60"/>
        <v>270</v>
      </c>
      <c r="I80">
        <v>2235</v>
      </c>
      <c r="J80" s="358">
        <v>1454</v>
      </c>
      <c r="K80" s="26">
        <v>1213.3799999999999</v>
      </c>
      <c r="L80">
        <v>1093</v>
      </c>
      <c r="M80" s="358">
        <v>1015</v>
      </c>
      <c r="S80" s="358"/>
    </row>
    <row r="81" spans="8:19" x14ac:dyDescent="0.25">
      <c r="H81">
        <f t="shared" si="60"/>
        <v>280</v>
      </c>
      <c r="I81">
        <v>2180</v>
      </c>
      <c r="J81" s="358">
        <v>1416</v>
      </c>
      <c r="K81" s="26">
        <v>1180.6799999999998</v>
      </c>
      <c r="L81">
        <v>1063</v>
      </c>
      <c r="M81" s="358">
        <v>987</v>
      </c>
      <c r="S81" s="358"/>
    </row>
    <row r="82" spans="8:19" x14ac:dyDescent="0.25">
      <c r="H82">
        <f t="shared" si="60"/>
        <v>290</v>
      </c>
      <c r="I82">
        <v>2133</v>
      </c>
      <c r="J82" s="358">
        <v>1384</v>
      </c>
      <c r="K82" s="26">
        <v>1153.02</v>
      </c>
      <c r="L82">
        <v>1038</v>
      </c>
      <c r="M82" s="358">
        <v>963</v>
      </c>
      <c r="S82" s="358"/>
    </row>
    <row r="83" spans="8:19" x14ac:dyDescent="0.25">
      <c r="H83">
        <f t="shared" si="60"/>
        <v>300</v>
      </c>
      <c r="I83">
        <v>2092</v>
      </c>
      <c r="J83" s="358">
        <v>1356</v>
      </c>
      <c r="K83" s="26">
        <v>1129.5199999999998</v>
      </c>
      <c r="L83">
        <v>1016</v>
      </c>
      <c r="M83" s="358">
        <v>943</v>
      </c>
      <c r="S83" s="358"/>
    </row>
    <row r="84" spans="8:19" x14ac:dyDescent="0.25">
      <c r="H84">
        <f t="shared" si="60"/>
        <v>310</v>
      </c>
      <c r="I84">
        <v>2059</v>
      </c>
      <c r="J84" s="358">
        <v>1333</v>
      </c>
      <c r="K84" s="26">
        <v>1110</v>
      </c>
      <c r="L84">
        <v>998</v>
      </c>
      <c r="M84" s="358">
        <v>926</v>
      </c>
      <c r="S84" s="358"/>
    </row>
    <row r="85" spans="8:19" x14ac:dyDescent="0.25">
      <c r="H85">
        <f t="shared" si="60"/>
        <v>320</v>
      </c>
      <c r="I85">
        <v>2030</v>
      </c>
      <c r="J85" s="358">
        <v>1313</v>
      </c>
      <c r="K85" s="26">
        <v>1093.04</v>
      </c>
      <c r="L85">
        <v>983</v>
      </c>
      <c r="M85" s="358">
        <v>912</v>
      </c>
      <c r="S85" s="358"/>
    </row>
    <row r="86" spans="8:19" x14ac:dyDescent="0.25">
      <c r="H86">
        <f t="shared" si="60"/>
        <v>330</v>
      </c>
      <c r="I86">
        <v>2006</v>
      </c>
      <c r="J86" s="358">
        <v>1297</v>
      </c>
      <c r="K86" s="26">
        <v>1079</v>
      </c>
      <c r="L86">
        <v>970</v>
      </c>
      <c r="M86" s="358">
        <v>900</v>
      </c>
      <c r="S86" s="358"/>
    </row>
    <row r="87" spans="8:19" x14ac:dyDescent="0.25">
      <c r="H87">
        <f t="shared" si="60"/>
        <v>340</v>
      </c>
      <c r="I87">
        <v>1985</v>
      </c>
      <c r="J87" s="358">
        <v>1283</v>
      </c>
      <c r="K87" s="26">
        <v>1067</v>
      </c>
      <c r="L87">
        <v>959</v>
      </c>
      <c r="M87" s="358">
        <v>890</v>
      </c>
      <c r="S87" s="358"/>
    </row>
    <row r="88" spans="8:19" x14ac:dyDescent="0.25">
      <c r="H88">
        <f t="shared" si="60"/>
        <v>350</v>
      </c>
      <c r="I88">
        <v>1969</v>
      </c>
      <c r="J88" s="358">
        <v>1272</v>
      </c>
      <c r="K88" s="26">
        <v>1057.54</v>
      </c>
      <c r="L88">
        <v>950</v>
      </c>
      <c r="M88" s="358">
        <v>881</v>
      </c>
      <c r="S88" s="358"/>
    </row>
    <row r="89" spans="8:19" x14ac:dyDescent="0.25">
      <c r="J89" s="358"/>
      <c r="M89" s="358"/>
    </row>
    <row r="90" spans="8:19" x14ac:dyDescent="0.25">
      <c r="J90" s="358"/>
      <c r="M90" s="358"/>
    </row>
    <row r="91" spans="8:19" x14ac:dyDescent="0.25">
      <c r="J91" s="358"/>
      <c r="M91" s="358"/>
    </row>
    <row r="92" spans="8:19" x14ac:dyDescent="0.25">
      <c r="J92" s="358"/>
      <c r="M92" s="358"/>
    </row>
    <row r="95" spans="8:19" ht="15" customHeight="1" x14ac:dyDescent="0.25"/>
    <row r="97" spans="8:36" ht="15" customHeight="1" x14ac:dyDescent="0.25"/>
    <row r="99" spans="8:36" x14ac:dyDescent="0.25">
      <c r="H99" t="s">
        <v>1268</v>
      </c>
      <c r="I99" s="55">
        <f>F23</f>
        <v>200</v>
      </c>
      <c r="M99" t="s">
        <v>48</v>
      </c>
      <c r="N99" s="55">
        <f>F23</f>
        <v>200</v>
      </c>
      <c r="P99" s="799"/>
      <c r="Q99" s="799"/>
      <c r="S99" t="s">
        <v>48</v>
      </c>
      <c r="T99" s="55">
        <f>F23</f>
        <v>200</v>
      </c>
      <c r="V99" s="799"/>
      <c r="W99" s="799"/>
      <c r="X99" s="799"/>
      <c r="Y99" t="s">
        <v>48</v>
      </c>
      <c r="Z99" s="55">
        <f>F23</f>
        <v>200</v>
      </c>
      <c r="AB99" s="799"/>
      <c r="AC99" s="799"/>
      <c r="AE99" t="s">
        <v>48</v>
      </c>
      <c r="AF99" s="55">
        <f>F23</f>
        <v>200</v>
      </c>
      <c r="AH99" s="799"/>
      <c r="AI99" s="799"/>
    </row>
    <row r="100" spans="8:36" x14ac:dyDescent="0.25">
      <c r="H100" t="s">
        <v>1269</v>
      </c>
      <c r="M100" t="s">
        <v>1270</v>
      </c>
      <c r="S100" t="s">
        <v>1271</v>
      </c>
      <c r="Y100" t="s">
        <v>1272</v>
      </c>
      <c r="AE100" t="s">
        <v>1273</v>
      </c>
    </row>
    <row r="101" spans="8:36" ht="15" customHeight="1" x14ac:dyDescent="0.25">
      <c r="H101" t="s">
        <v>1058</v>
      </c>
      <c r="I101" t="s">
        <v>529</v>
      </c>
      <c r="J101" t="s">
        <v>1078</v>
      </c>
      <c r="K101" t="s">
        <v>1274</v>
      </c>
      <c r="M101" t="s">
        <v>1058</v>
      </c>
      <c r="N101" t="s">
        <v>529</v>
      </c>
      <c r="O101" t="s">
        <v>1078</v>
      </c>
      <c r="P101" t="s">
        <v>1275</v>
      </c>
      <c r="Q101" t="s">
        <v>1276</v>
      </c>
      <c r="R101" t="s">
        <v>357</v>
      </c>
      <c r="S101" t="s">
        <v>1058</v>
      </c>
      <c r="T101" t="s">
        <v>529</v>
      </c>
      <c r="U101" t="s">
        <v>1078</v>
      </c>
      <c r="V101" t="s">
        <v>1277</v>
      </c>
      <c r="W101" t="s">
        <v>1278</v>
      </c>
      <c r="X101" t="s">
        <v>357</v>
      </c>
      <c r="Y101" t="s">
        <v>1058</v>
      </c>
      <c r="Z101" t="s">
        <v>529</v>
      </c>
      <c r="AA101" t="s">
        <v>1078</v>
      </c>
      <c r="AB101" t="s">
        <v>1279</v>
      </c>
      <c r="AC101" t="s">
        <v>1280</v>
      </c>
      <c r="AD101" t="s">
        <v>357</v>
      </c>
      <c r="AE101" t="s">
        <v>1058</v>
      </c>
      <c r="AF101" t="s">
        <v>529</v>
      </c>
      <c r="AG101" t="s">
        <v>1078</v>
      </c>
      <c r="AH101" t="s">
        <v>1281</v>
      </c>
      <c r="AI101" t="s">
        <v>1282</v>
      </c>
      <c r="AJ101" t="s">
        <v>357</v>
      </c>
    </row>
    <row r="102" spans="8:36" ht="15" customHeight="1" x14ac:dyDescent="0.25">
      <c r="H102" s="52">
        <v>1</v>
      </c>
      <c r="I102" s="52">
        <f>5</f>
        <v>5</v>
      </c>
      <c r="J102" s="915">
        <f xml:space="preserve"> 0.9944*(H102^-0.26)</f>
        <v>0.99439999999999995</v>
      </c>
      <c r="K102" s="916">
        <f>F8</f>
        <v>2923.0360000000037</v>
      </c>
      <c r="M102" s="52">
        <v>1</v>
      </c>
      <c r="N102" s="52">
        <f>5</f>
        <v>5</v>
      </c>
      <c r="O102" s="792">
        <f t="shared" ref="O102:O165" si="61" xml:space="preserve"> $D$2*(M102^$D$3)</f>
        <v>0.99439999999999995</v>
      </c>
      <c r="P102" s="471">
        <f t="shared" ref="P102:P165" si="62">O102/$O$122</f>
        <v>1.5196102039986286</v>
      </c>
      <c r="Q102" s="917">
        <f t="shared" ref="Q102:Q121" si="63">P102*$Q$122</f>
        <v>2941.7915115340043</v>
      </c>
      <c r="R102" s="153">
        <f>(P102-P122)/P122</f>
        <v>0.51961020399862856</v>
      </c>
      <c r="S102">
        <v>1</v>
      </c>
      <c r="T102">
        <f>5</f>
        <v>5</v>
      </c>
      <c r="U102" s="49">
        <f t="shared" ref="U102:U165" si="64" xml:space="preserve"> $D$2*(S102^$D$3)</f>
        <v>0.99439999999999995</v>
      </c>
      <c r="V102" s="48">
        <f t="shared" ref="V102:V165" si="65">U102/$U$147</f>
        <v>1.8197008586099837</v>
      </c>
      <c r="W102" s="26">
        <f t="shared" ref="W102:W146" si="66">V102*$W$147</f>
        <v>3091.7227104024137</v>
      </c>
      <c r="X102" s="153">
        <f>(W102-W147)/W147</f>
        <v>0.81970085860998365</v>
      </c>
      <c r="Y102" s="52">
        <v>1</v>
      </c>
      <c r="Z102" s="52">
        <f>5</f>
        <v>5</v>
      </c>
      <c r="AA102" s="792">
        <f t="shared" ref="AA102:AA165" si="67" xml:space="preserve"> $D$2*(Y102^$D$3)</f>
        <v>0.99439999999999995</v>
      </c>
      <c r="AB102" s="471">
        <f t="shared" ref="AB102:AB165" si="68">AA102/$AA$172</f>
        <v>2.0220119939093038</v>
      </c>
      <c r="AC102" s="26">
        <f>AB102*$AC$172</f>
        <v>3317.3209652555706</v>
      </c>
      <c r="AD102">
        <f>(AB102-AB172)/AB172</f>
        <v>1.0220119939093038</v>
      </c>
      <c r="AE102" s="52">
        <v>1</v>
      </c>
      <c r="AF102" s="52">
        <f>5</f>
        <v>5</v>
      </c>
      <c r="AG102" s="792">
        <f t="shared" ref="AG102:AG165" si="69" xml:space="preserve"> $D$2*(AE102^$D$3)</f>
        <v>0.99439999999999995</v>
      </c>
      <c r="AH102" s="471">
        <f>AG102/$AG$197</f>
        <v>2.1790530269622344</v>
      </c>
      <c r="AI102" s="26">
        <f>AH102*$AI$197</f>
        <v>3525.4079599283814</v>
      </c>
      <c r="AJ102">
        <f>(AH102-AH197)/AH197</f>
        <v>1.1790530269622344</v>
      </c>
    </row>
    <row r="103" spans="8:36" x14ac:dyDescent="0.25">
      <c r="H103">
        <f>H102+0.2</f>
        <v>1.2</v>
      </c>
      <c r="I103">
        <f t="shared" ref="I103:I166" si="70">1+I102</f>
        <v>6</v>
      </c>
      <c r="J103" s="48">
        <f xml:space="preserve"> 0.9944*(H103^-0.26)</f>
        <v>0.94836166762157836</v>
      </c>
      <c r="K103" s="26">
        <f t="shared" ref="K103:K166" si="71">J103*$K$102</f>
        <v>2772.0952954779113</v>
      </c>
      <c r="M103">
        <f>M102+0.2</f>
        <v>1.2</v>
      </c>
      <c r="N103">
        <f t="shared" ref="N103:N166" si="72">1+N102</f>
        <v>6</v>
      </c>
      <c r="O103" s="663">
        <f t="shared" si="61"/>
        <v>0.94836166762157836</v>
      </c>
      <c r="P103" s="471">
        <f t="shared" si="62"/>
        <v>1.4492559002402519</v>
      </c>
      <c r="Q103" s="917">
        <f t="shared" si="63"/>
        <v>2805.5936279901371</v>
      </c>
      <c r="S103">
        <f>S102+0.2</f>
        <v>1.2</v>
      </c>
      <c r="T103">
        <f t="shared" ref="T103:T166" si="73">1+T102</f>
        <v>6</v>
      </c>
      <c r="U103" s="663">
        <f t="shared" si="64"/>
        <v>0.94836166762157836</v>
      </c>
      <c r="V103" s="918">
        <f t="shared" si="65"/>
        <v>1.735453078081036</v>
      </c>
      <c r="W103" s="917">
        <f t="shared" si="66"/>
        <v>2948.5833723458763</v>
      </c>
      <c r="X103" s="801"/>
      <c r="Y103">
        <f>Y102+0.2</f>
        <v>1.2</v>
      </c>
      <c r="Z103">
        <f t="shared" ref="Z103:Z166" si="74">1+Z102</f>
        <v>6</v>
      </c>
      <c r="AA103" s="663">
        <f t="shared" si="67"/>
        <v>0.94836166762157836</v>
      </c>
      <c r="AB103" s="471">
        <f t="shared" si="68"/>
        <v>1.9283976935787008</v>
      </c>
      <c r="AC103" s="26">
        <f t="shared" ref="AC103:AC166" si="75">AB103*$AC$172</f>
        <v>3163.7369696759824</v>
      </c>
      <c r="AE103">
        <f>AE102+0.2</f>
        <v>1.2</v>
      </c>
      <c r="AF103">
        <f t="shared" ref="AF103:AF166" si="76">1+AF102</f>
        <v>6</v>
      </c>
      <c r="AG103" s="663">
        <f t="shared" si="69"/>
        <v>0.94836166762157836</v>
      </c>
      <c r="AH103" s="471">
        <f t="shared" ref="AH103:AH166" si="77">AG103/$AG$197</f>
        <v>2.0781681038674105</v>
      </c>
      <c r="AI103" s="26">
        <f t="shared" ref="AI103:AI166" si="78">AH103*$AI$197</f>
        <v>3362.1900361263743</v>
      </c>
    </row>
    <row r="104" spans="8:36" ht="15" customHeight="1" x14ac:dyDescent="0.25">
      <c r="H104">
        <f t="shared" ref="H104:H167" si="79">H103+0.2</f>
        <v>1.4</v>
      </c>
      <c r="I104">
        <f t="shared" si="70"/>
        <v>7</v>
      </c>
      <c r="J104" s="48">
        <f t="shared" ref="J104:J167" si="80" xml:space="preserve"> 0.9944*(H104^-0.26)</f>
        <v>0.91110373365460839</v>
      </c>
      <c r="K104" s="26">
        <f t="shared" si="71"/>
        <v>2663.1890132068352</v>
      </c>
      <c r="M104">
        <f t="shared" ref="M104:M167" si="81">M103+0.2</f>
        <v>1.4</v>
      </c>
      <c r="N104">
        <f t="shared" si="72"/>
        <v>7</v>
      </c>
      <c r="O104" s="663">
        <f t="shared" si="61"/>
        <v>0.91110373365460839</v>
      </c>
      <c r="P104" s="471">
        <f t="shared" si="62"/>
        <v>1.3923195198740865</v>
      </c>
      <c r="Q104" s="917">
        <f t="shared" si="63"/>
        <v>2695.3713091231548</v>
      </c>
      <c r="S104">
        <f t="shared" ref="S104:S167" si="82">S103+0.2</f>
        <v>1.4</v>
      </c>
      <c r="T104">
        <f t="shared" si="73"/>
        <v>7</v>
      </c>
      <c r="U104" s="663">
        <f t="shared" si="64"/>
        <v>0.91110373365460839</v>
      </c>
      <c r="V104" s="918">
        <f t="shared" si="65"/>
        <v>1.6672729750744699</v>
      </c>
      <c r="W104" s="917">
        <f t="shared" si="66"/>
        <v>2832.743468294836</v>
      </c>
      <c r="X104" s="801"/>
      <c r="Y104">
        <f t="shared" ref="Y104:Y167" si="83">Y103+0.2</f>
        <v>1.4</v>
      </c>
      <c r="Z104">
        <f t="shared" si="74"/>
        <v>7</v>
      </c>
      <c r="AA104" s="663">
        <f t="shared" si="67"/>
        <v>0.91110373365460839</v>
      </c>
      <c r="AB104" s="471">
        <f t="shared" si="68"/>
        <v>1.8526374468475122</v>
      </c>
      <c r="AC104" s="26">
        <f t="shared" si="75"/>
        <v>3039.444405847808</v>
      </c>
      <c r="AE104">
        <f t="shared" ref="AE104:AE167" si="84">AE103+0.2</f>
        <v>1.4</v>
      </c>
      <c r="AF104">
        <f t="shared" si="76"/>
        <v>7</v>
      </c>
      <c r="AG104" s="663">
        <f t="shared" si="69"/>
        <v>0.91110373365460839</v>
      </c>
      <c r="AH104" s="471">
        <f t="shared" si="77"/>
        <v>1.9965238824383225</v>
      </c>
      <c r="AI104" s="26">
        <f t="shared" si="78"/>
        <v>3230.1009200989783</v>
      </c>
    </row>
    <row r="105" spans="8:36" x14ac:dyDescent="0.25">
      <c r="H105">
        <f t="shared" si="79"/>
        <v>1.5999999999999999</v>
      </c>
      <c r="I105">
        <f t="shared" si="70"/>
        <v>8</v>
      </c>
      <c r="J105" s="48">
        <f t="shared" si="80"/>
        <v>0.88001468654846737</v>
      </c>
      <c r="K105" s="26">
        <f t="shared" si="71"/>
        <v>2572.314609309889</v>
      </c>
      <c r="M105">
        <f t="shared" si="81"/>
        <v>1.5999999999999999</v>
      </c>
      <c r="N105">
        <f t="shared" si="72"/>
        <v>8</v>
      </c>
      <c r="O105" s="663">
        <f t="shared" si="61"/>
        <v>0.88001468654846737</v>
      </c>
      <c r="P105" s="471">
        <f t="shared" si="62"/>
        <v>1.3448102346618118</v>
      </c>
      <c r="Q105" s="917">
        <f t="shared" si="63"/>
        <v>2603.3987680144196</v>
      </c>
      <c r="S105">
        <f t="shared" si="82"/>
        <v>1.5999999999999999</v>
      </c>
      <c r="T105">
        <f t="shared" si="73"/>
        <v>8</v>
      </c>
      <c r="U105" s="663">
        <f t="shared" si="64"/>
        <v>0.88001468654846737</v>
      </c>
      <c r="V105" s="918">
        <f t="shared" si="65"/>
        <v>1.6103816177611039</v>
      </c>
      <c r="W105" s="917">
        <f t="shared" si="66"/>
        <v>2736.0834592614219</v>
      </c>
      <c r="X105" s="801"/>
      <c r="Y105">
        <f t="shared" si="83"/>
        <v>1.5999999999999999</v>
      </c>
      <c r="Z105">
        <f t="shared" si="74"/>
        <v>8</v>
      </c>
      <c r="AA105" s="663">
        <f t="shared" si="67"/>
        <v>0.88001468654846737</v>
      </c>
      <c r="AB105" s="471">
        <f t="shared" si="68"/>
        <v>1.7894210086658664</v>
      </c>
      <c r="AC105" s="26">
        <f t="shared" si="75"/>
        <v>2935.7312645012476</v>
      </c>
      <c r="AE105">
        <f t="shared" si="84"/>
        <v>1.5999999999999999</v>
      </c>
      <c r="AF105">
        <f t="shared" si="76"/>
        <v>8</v>
      </c>
      <c r="AG105" s="663">
        <f t="shared" si="69"/>
        <v>0.88001468654846737</v>
      </c>
      <c r="AH105" s="471">
        <f t="shared" si="77"/>
        <v>1.9283976935787006</v>
      </c>
      <c r="AI105" s="26">
        <f t="shared" si="78"/>
        <v>3119.8821206876978</v>
      </c>
    </row>
    <row r="106" spans="8:36" x14ac:dyDescent="0.25">
      <c r="H106">
        <f t="shared" si="79"/>
        <v>1.7999999999999998</v>
      </c>
      <c r="I106">
        <f t="shared" si="70"/>
        <v>9</v>
      </c>
      <c r="J106" s="48">
        <f t="shared" si="80"/>
        <v>0.85347393885003231</v>
      </c>
      <c r="K106" s="26">
        <f t="shared" si="71"/>
        <v>2494.7350483204464</v>
      </c>
      <c r="M106">
        <f t="shared" si="81"/>
        <v>1.7999999999999998</v>
      </c>
      <c r="N106">
        <f t="shared" si="72"/>
        <v>9</v>
      </c>
      <c r="O106" s="663">
        <f t="shared" si="61"/>
        <v>0.85347393885003231</v>
      </c>
      <c r="P106" s="471">
        <f t="shared" si="62"/>
        <v>1.3042515148063261</v>
      </c>
      <c r="Q106" s="917">
        <f t="shared" si="63"/>
        <v>2524.8817262917505</v>
      </c>
      <c r="S106">
        <f t="shared" si="82"/>
        <v>1.7999999999999998</v>
      </c>
      <c r="T106">
        <f t="shared" si="73"/>
        <v>9</v>
      </c>
      <c r="U106" s="663">
        <f t="shared" si="64"/>
        <v>0.85347393885003231</v>
      </c>
      <c r="V106" s="918">
        <f t="shared" si="65"/>
        <v>1.5618134144475548</v>
      </c>
      <c r="W106" s="917">
        <f t="shared" si="66"/>
        <v>2653.5647219220091</v>
      </c>
      <c r="X106" s="801"/>
      <c r="Y106">
        <f t="shared" si="83"/>
        <v>1.7999999999999998</v>
      </c>
      <c r="Z106">
        <f t="shared" si="74"/>
        <v>9</v>
      </c>
      <c r="AA106" s="663">
        <f t="shared" si="67"/>
        <v>0.85347393885003231</v>
      </c>
      <c r="AB106" s="471">
        <f t="shared" si="68"/>
        <v>1.7354530780810349</v>
      </c>
      <c r="AC106" s="26">
        <f t="shared" si="75"/>
        <v>2847.1912617120506</v>
      </c>
      <c r="AE106">
        <f t="shared" si="84"/>
        <v>1.7999999999999998</v>
      </c>
      <c r="AF106">
        <f t="shared" si="76"/>
        <v>9</v>
      </c>
      <c r="AG106" s="663">
        <f t="shared" si="69"/>
        <v>0.85347393885003231</v>
      </c>
      <c r="AH106" s="471">
        <f t="shared" si="77"/>
        <v>1.8702383043891231</v>
      </c>
      <c r="AI106" s="26">
        <f t="shared" si="78"/>
        <v>3025.7882317109138</v>
      </c>
    </row>
    <row r="107" spans="8:36" ht="15" customHeight="1" x14ac:dyDescent="0.25">
      <c r="H107">
        <f t="shared" si="79"/>
        <v>1.9999999999999998</v>
      </c>
      <c r="I107">
        <f t="shared" si="70"/>
        <v>10</v>
      </c>
      <c r="J107" s="48">
        <f t="shared" si="80"/>
        <v>0.83041142707957061</v>
      </c>
      <c r="K107" s="26">
        <f t="shared" si="71"/>
        <v>2427.322496164963</v>
      </c>
      <c r="M107">
        <f t="shared" si="81"/>
        <v>1.9999999999999998</v>
      </c>
      <c r="N107">
        <f t="shared" si="72"/>
        <v>10</v>
      </c>
      <c r="O107" s="663">
        <f t="shared" si="61"/>
        <v>0.83041142707957061</v>
      </c>
      <c r="P107" s="471">
        <f t="shared" si="62"/>
        <v>1.2690081235993349</v>
      </c>
      <c r="Q107" s="917">
        <f t="shared" si="63"/>
        <v>2456.6545527589697</v>
      </c>
      <c r="S107">
        <f t="shared" si="82"/>
        <v>1.9999999999999998</v>
      </c>
      <c r="T107">
        <f t="shared" si="73"/>
        <v>10</v>
      </c>
      <c r="U107" s="663">
        <f t="shared" si="64"/>
        <v>0.83041142707957061</v>
      </c>
      <c r="V107" s="918">
        <f t="shared" si="65"/>
        <v>1.5196102039986288</v>
      </c>
      <c r="W107" s="917">
        <f t="shared" si="66"/>
        <v>2581.8602856793909</v>
      </c>
      <c r="X107" s="801"/>
      <c r="Y107">
        <f t="shared" si="83"/>
        <v>1.9999999999999998</v>
      </c>
      <c r="Z107">
        <f t="shared" si="74"/>
        <v>10</v>
      </c>
      <c r="AA107" s="663">
        <f t="shared" si="67"/>
        <v>0.83041142707957061</v>
      </c>
      <c r="AB107" s="471">
        <f t="shared" si="68"/>
        <v>1.6885577890529295</v>
      </c>
      <c r="AC107" s="26">
        <f t="shared" si="75"/>
        <v>2770.2546629513849</v>
      </c>
      <c r="AE107">
        <f t="shared" si="84"/>
        <v>1.9999999999999998</v>
      </c>
      <c r="AF107">
        <f t="shared" si="76"/>
        <v>10</v>
      </c>
      <c r="AG107" s="663">
        <f t="shared" si="69"/>
        <v>0.83041142707957061</v>
      </c>
      <c r="AH107" s="471">
        <f t="shared" si="77"/>
        <v>1.819700858609983</v>
      </c>
      <c r="AI107" s="26">
        <f t="shared" si="78"/>
        <v>2944.0255983928046</v>
      </c>
    </row>
    <row r="108" spans="8:36" x14ac:dyDescent="0.25">
      <c r="H108">
        <f t="shared" si="79"/>
        <v>2.1999999999999997</v>
      </c>
      <c r="I108">
        <f t="shared" si="70"/>
        <v>11</v>
      </c>
      <c r="J108" s="48">
        <f t="shared" si="80"/>
        <v>0.81008617143992578</v>
      </c>
      <c r="K108" s="26">
        <f t="shared" si="71"/>
        <v>2367.9110422210779</v>
      </c>
      <c r="M108">
        <f t="shared" si="81"/>
        <v>2.1999999999999997</v>
      </c>
      <c r="N108">
        <f t="shared" si="72"/>
        <v>11</v>
      </c>
      <c r="O108" s="663">
        <f t="shared" si="61"/>
        <v>0.81008617143992578</v>
      </c>
      <c r="P108" s="471">
        <f t="shared" si="62"/>
        <v>1.2379477194673105</v>
      </c>
      <c r="Q108" s="917">
        <f t="shared" si="63"/>
        <v>2396.5251636696034</v>
      </c>
      <c r="S108">
        <f t="shared" si="82"/>
        <v>2.1999999999999997</v>
      </c>
      <c r="T108">
        <f t="shared" si="73"/>
        <v>11</v>
      </c>
      <c r="U108" s="663">
        <f t="shared" si="64"/>
        <v>0.81008617143992578</v>
      </c>
      <c r="V108" s="918">
        <f t="shared" si="65"/>
        <v>1.4824160314936721</v>
      </c>
      <c r="W108" s="917">
        <f t="shared" si="66"/>
        <v>2518.6663451566392</v>
      </c>
      <c r="X108" s="801"/>
      <c r="Y108">
        <f t="shared" si="83"/>
        <v>2.1999999999999997</v>
      </c>
      <c r="Z108">
        <f t="shared" si="74"/>
        <v>11</v>
      </c>
      <c r="AA108" s="663">
        <f t="shared" si="67"/>
        <v>0.81008617143992578</v>
      </c>
      <c r="AB108" s="471">
        <f t="shared" si="68"/>
        <v>1.6472284339818972</v>
      </c>
      <c r="AC108" s="26">
        <f t="shared" si="75"/>
        <v>2702.4495577044295</v>
      </c>
      <c r="AE108">
        <f t="shared" si="84"/>
        <v>2.1999999999999997</v>
      </c>
      <c r="AF108">
        <f t="shared" si="76"/>
        <v>11</v>
      </c>
      <c r="AG108" s="663">
        <f t="shared" si="69"/>
        <v>0.81008617143992578</v>
      </c>
      <c r="AH108" s="471">
        <f t="shared" si="77"/>
        <v>1.7751616290993744</v>
      </c>
      <c r="AI108" s="26">
        <f t="shared" si="78"/>
        <v>2871.9672536426206</v>
      </c>
    </row>
    <row r="109" spans="8:36" ht="15" customHeight="1" x14ac:dyDescent="0.25">
      <c r="H109">
        <f t="shared" si="79"/>
        <v>2.4</v>
      </c>
      <c r="I109">
        <f t="shared" si="70"/>
        <v>12</v>
      </c>
      <c r="J109" s="48">
        <f t="shared" si="80"/>
        <v>0.7919653718797226</v>
      </c>
      <c r="K109" s="26">
        <f t="shared" si="71"/>
        <v>2314.9432927578196</v>
      </c>
      <c r="M109">
        <f t="shared" si="81"/>
        <v>2.4</v>
      </c>
      <c r="N109">
        <f t="shared" si="72"/>
        <v>12</v>
      </c>
      <c r="O109" s="663">
        <f t="shared" si="61"/>
        <v>0.7919653718797226</v>
      </c>
      <c r="P109" s="471">
        <f t="shared" si="62"/>
        <v>1.2102560944509202</v>
      </c>
      <c r="Q109" s="917">
        <f t="shared" si="63"/>
        <v>2342.9173455597738</v>
      </c>
      <c r="S109">
        <f t="shared" si="82"/>
        <v>2.4</v>
      </c>
      <c r="T109">
        <f t="shared" si="73"/>
        <v>12</v>
      </c>
      <c r="U109" s="663">
        <f t="shared" si="64"/>
        <v>0.7919653718797226</v>
      </c>
      <c r="V109" s="918">
        <f t="shared" si="65"/>
        <v>1.4492559002402516</v>
      </c>
      <c r="W109" s="917">
        <f t="shared" si="66"/>
        <v>2462.3263536734025</v>
      </c>
      <c r="X109" s="801"/>
      <c r="Y109">
        <f t="shared" si="83"/>
        <v>2.4</v>
      </c>
      <c r="Z109">
        <f t="shared" si="74"/>
        <v>12</v>
      </c>
      <c r="AA109" s="663">
        <f t="shared" si="67"/>
        <v>0.7919653718797226</v>
      </c>
      <c r="AB109" s="471">
        <f t="shared" si="68"/>
        <v>1.6103816177611034</v>
      </c>
      <c r="AC109" s="26">
        <f t="shared" si="75"/>
        <v>2641.9985236253306</v>
      </c>
      <c r="AE109">
        <f t="shared" si="84"/>
        <v>2.4</v>
      </c>
      <c r="AF109">
        <f t="shared" si="76"/>
        <v>12</v>
      </c>
      <c r="AG109" s="663">
        <f t="shared" si="69"/>
        <v>0.7919653718797226</v>
      </c>
      <c r="AH109" s="471">
        <f t="shared" si="77"/>
        <v>1.7354530780810351</v>
      </c>
      <c r="AI109" s="26">
        <f t="shared" si="78"/>
        <v>2807.7242819915678</v>
      </c>
    </row>
    <row r="110" spans="8:36" x14ac:dyDescent="0.25">
      <c r="H110">
        <f t="shared" si="79"/>
        <v>2.6</v>
      </c>
      <c r="I110">
        <f t="shared" si="70"/>
        <v>13</v>
      </c>
      <c r="J110" s="48">
        <f t="shared" si="80"/>
        <v>0.77565401553417701</v>
      </c>
      <c r="K110" s="26">
        <f t="shared" si="71"/>
        <v>2267.2646109509615</v>
      </c>
      <c r="M110">
        <f t="shared" si="81"/>
        <v>2.6</v>
      </c>
      <c r="N110">
        <f t="shared" si="72"/>
        <v>13</v>
      </c>
      <c r="O110" s="663">
        <f t="shared" si="61"/>
        <v>0.77565401553417701</v>
      </c>
      <c r="P110" s="471">
        <f t="shared" si="62"/>
        <v>1.1853296025525404</v>
      </c>
      <c r="Q110" s="917">
        <f t="shared" si="63"/>
        <v>2294.6625088351834</v>
      </c>
      <c r="S110">
        <f t="shared" si="82"/>
        <v>2.6</v>
      </c>
      <c r="T110">
        <f t="shared" si="73"/>
        <v>13</v>
      </c>
      <c r="U110" s="663">
        <f t="shared" si="64"/>
        <v>0.77565401553417701</v>
      </c>
      <c r="V110" s="918">
        <f t="shared" si="65"/>
        <v>1.4194069570110857</v>
      </c>
      <c r="W110" s="917">
        <f t="shared" si="66"/>
        <v>2411.612163356639</v>
      </c>
      <c r="X110" s="801"/>
      <c r="Y110">
        <f t="shared" si="83"/>
        <v>2.6</v>
      </c>
      <c r="Z110">
        <f t="shared" si="74"/>
        <v>13</v>
      </c>
      <c r="AA110" s="663">
        <f t="shared" si="67"/>
        <v>0.77565401553417701</v>
      </c>
      <c r="AB110" s="471">
        <f t="shared" si="68"/>
        <v>1.5772141216150637</v>
      </c>
      <c r="AC110" s="26">
        <f t="shared" si="75"/>
        <v>2587.5837967781531</v>
      </c>
      <c r="AE110">
        <f t="shared" si="84"/>
        <v>2.6</v>
      </c>
      <c r="AF110">
        <f t="shared" si="76"/>
        <v>13</v>
      </c>
      <c r="AG110" s="663">
        <f t="shared" si="69"/>
        <v>0.77565401553417701</v>
      </c>
      <c r="AH110" s="471">
        <f t="shared" si="77"/>
        <v>1.6997096042087294</v>
      </c>
      <c r="AI110" s="26">
        <f t="shared" si="78"/>
        <v>2749.8962595681819</v>
      </c>
    </row>
    <row r="111" spans="8:36" x14ac:dyDescent="0.25">
      <c r="H111">
        <f t="shared" si="79"/>
        <v>2.8000000000000003</v>
      </c>
      <c r="I111">
        <f t="shared" si="70"/>
        <v>14</v>
      </c>
      <c r="J111" s="48">
        <f t="shared" si="80"/>
        <v>0.76085172132104617</v>
      </c>
      <c r="K111" s="26">
        <f t="shared" si="71"/>
        <v>2223.9969720833883</v>
      </c>
      <c r="M111">
        <f t="shared" si="81"/>
        <v>2.8000000000000003</v>
      </c>
      <c r="N111">
        <f t="shared" si="72"/>
        <v>14</v>
      </c>
      <c r="O111" s="663">
        <f t="shared" si="61"/>
        <v>0.76085172132104617</v>
      </c>
      <c r="P111" s="471">
        <f t="shared" si="62"/>
        <v>1.1627092110311572</v>
      </c>
      <c r="Q111" s="917">
        <f t="shared" si="63"/>
        <v>2250.872018622576</v>
      </c>
      <c r="S111">
        <f t="shared" si="82"/>
        <v>2.8000000000000003</v>
      </c>
      <c r="T111">
        <f t="shared" si="73"/>
        <v>14</v>
      </c>
      <c r="U111" s="663">
        <f t="shared" si="64"/>
        <v>0.76085172132104617</v>
      </c>
      <c r="V111" s="918">
        <f t="shared" si="65"/>
        <v>1.3923195198740868</v>
      </c>
      <c r="W111" s="917">
        <f t="shared" si="66"/>
        <v>2365.589849212638</v>
      </c>
      <c r="X111" s="801"/>
      <c r="Y111">
        <f t="shared" si="83"/>
        <v>2.8000000000000003</v>
      </c>
      <c r="Z111">
        <f t="shared" si="74"/>
        <v>14</v>
      </c>
      <c r="AA111" s="663">
        <f t="shared" si="67"/>
        <v>0.76085172132104617</v>
      </c>
      <c r="AB111" s="471">
        <f t="shared" si="68"/>
        <v>1.5471151509429752</v>
      </c>
      <c r="AC111" s="26">
        <f t="shared" si="75"/>
        <v>2538.2033050976424</v>
      </c>
      <c r="AE111">
        <f t="shared" si="84"/>
        <v>2.8000000000000003</v>
      </c>
      <c r="AF111">
        <f t="shared" si="76"/>
        <v>14</v>
      </c>
      <c r="AG111" s="663">
        <f t="shared" si="69"/>
        <v>0.76085172132104617</v>
      </c>
      <c r="AH111" s="471">
        <f t="shared" si="77"/>
        <v>1.6672729750744693</v>
      </c>
      <c r="AI111" s="26">
        <f t="shared" si="78"/>
        <v>2697.4182569091181</v>
      </c>
    </row>
    <row r="112" spans="8:36" x14ac:dyDescent="0.25">
      <c r="H112">
        <f t="shared" si="79"/>
        <v>3.0000000000000004</v>
      </c>
      <c r="I112">
        <f t="shared" si="70"/>
        <v>15</v>
      </c>
      <c r="J112" s="48">
        <f t="shared" si="80"/>
        <v>0.74732513526525357</v>
      </c>
      <c r="K112" s="26">
        <f t="shared" si="71"/>
        <v>2184.4582740852084</v>
      </c>
      <c r="M112">
        <f t="shared" si="81"/>
        <v>3.0000000000000004</v>
      </c>
      <c r="N112">
        <f t="shared" si="72"/>
        <v>15</v>
      </c>
      <c r="O112" s="663">
        <f t="shared" si="61"/>
        <v>0.74732513526525357</v>
      </c>
      <c r="P112" s="471">
        <f t="shared" si="62"/>
        <v>1.1420383158223397</v>
      </c>
      <c r="Q112" s="917">
        <f t="shared" si="63"/>
        <v>2210.8555302487171</v>
      </c>
      <c r="S112">
        <f t="shared" si="82"/>
        <v>3.0000000000000004</v>
      </c>
      <c r="T112">
        <f t="shared" si="73"/>
        <v>15</v>
      </c>
      <c r="U112" s="663">
        <f t="shared" si="64"/>
        <v>0.74732513526525357</v>
      </c>
      <c r="V112" s="918">
        <f t="shared" si="65"/>
        <v>1.3675665630561185</v>
      </c>
      <c r="W112" s="917">
        <f t="shared" si="66"/>
        <v>2323.5338824961186</v>
      </c>
      <c r="X112" s="801"/>
      <c r="Y112">
        <f t="shared" si="83"/>
        <v>3.0000000000000004</v>
      </c>
      <c r="Z112">
        <f t="shared" si="74"/>
        <v>15</v>
      </c>
      <c r="AA112" s="663">
        <f t="shared" si="67"/>
        <v>0.74732513526525357</v>
      </c>
      <c r="AB112" s="471">
        <f t="shared" si="68"/>
        <v>1.5196102039986279</v>
      </c>
      <c r="AC112" s="26">
        <f t="shared" si="75"/>
        <v>2493.0785791209582</v>
      </c>
      <c r="AE112">
        <f t="shared" si="84"/>
        <v>3.0000000000000004</v>
      </c>
      <c r="AF112">
        <f t="shared" si="76"/>
        <v>15</v>
      </c>
      <c r="AG112" s="663">
        <f t="shared" si="69"/>
        <v>0.74732513526525357</v>
      </c>
      <c r="AH112" s="471">
        <f t="shared" si="77"/>
        <v>1.6376318364086002</v>
      </c>
      <c r="AI112" s="26">
        <f t="shared" si="78"/>
        <v>2649.4629731684222</v>
      </c>
    </row>
    <row r="113" spans="8:35" x14ac:dyDescent="0.25">
      <c r="H113">
        <f t="shared" si="79"/>
        <v>3.2000000000000006</v>
      </c>
      <c r="I113">
        <f t="shared" si="70"/>
        <v>16</v>
      </c>
      <c r="J113" s="48">
        <f t="shared" si="80"/>
        <v>0.73488963365616822</v>
      </c>
      <c r="K113" s="26">
        <f t="shared" si="71"/>
        <v>2148.1088552037941</v>
      </c>
      <c r="M113">
        <f t="shared" si="81"/>
        <v>3.2000000000000006</v>
      </c>
      <c r="N113">
        <f t="shared" si="72"/>
        <v>16</v>
      </c>
      <c r="O113" s="663">
        <f t="shared" si="61"/>
        <v>0.73488963365616822</v>
      </c>
      <c r="P113" s="471">
        <f t="shared" si="62"/>
        <v>1.1230347808897096</v>
      </c>
      <c r="Q113" s="917">
        <f t="shared" si="63"/>
        <v>2174.0668606235417</v>
      </c>
      <c r="S113">
        <f t="shared" si="82"/>
        <v>3.2000000000000006</v>
      </c>
      <c r="T113">
        <f t="shared" si="73"/>
        <v>16</v>
      </c>
      <c r="U113" s="663">
        <f t="shared" si="64"/>
        <v>0.73488963365616822</v>
      </c>
      <c r="V113" s="918">
        <f t="shared" si="65"/>
        <v>1.3448102346618118</v>
      </c>
      <c r="W113" s="917">
        <f t="shared" si="66"/>
        <v>2284.8702433769963</v>
      </c>
      <c r="X113" s="801"/>
      <c r="Y113">
        <f t="shared" si="83"/>
        <v>3.2000000000000006</v>
      </c>
      <c r="Z113">
        <f t="shared" si="74"/>
        <v>16</v>
      </c>
      <c r="AA113" s="663">
        <f t="shared" si="67"/>
        <v>0.73488963365616822</v>
      </c>
      <c r="AB113" s="471">
        <f t="shared" si="68"/>
        <v>1.4943238671081924</v>
      </c>
      <c r="AC113" s="26">
        <f t="shared" si="75"/>
        <v>2451.5937136731627</v>
      </c>
      <c r="AE113">
        <f t="shared" si="84"/>
        <v>3.2000000000000006</v>
      </c>
      <c r="AF113">
        <f t="shared" si="76"/>
        <v>16</v>
      </c>
      <c r="AG113" s="663">
        <f t="shared" si="69"/>
        <v>0.73488963365616822</v>
      </c>
      <c r="AH113" s="471">
        <f t="shared" si="77"/>
        <v>1.6103816177611032</v>
      </c>
      <c r="AI113" s="26">
        <f t="shared" si="78"/>
        <v>2605.3758690268583</v>
      </c>
    </row>
    <row r="114" spans="8:35" x14ac:dyDescent="0.25">
      <c r="H114">
        <f t="shared" si="79"/>
        <v>3.4000000000000008</v>
      </c>
      <c r="I114">
        <f t="shared" si="70"/>
        <v>17</v>
      </c>
      <c r="J114" s="48">
        <f t="shared" si="80"/>
        <v>0.7233968231645912</v>
      </c>
      <c r="K114" s="26">
        <f t="shared" si="71"/>
        <v>2114.5149563957366</v>
      </c>
      <c r="M114">
        <f t="shared" si="81"/>
        <v>3.4000000000000008</v>
      </c>
      <c r="N114">
        <f t="shared" si="72"/>
        <v>17</v>
      </c>
      <c r="O114" s="663">
        <f t="shared" si="61"/>
        <v>0.7233968231645912</v>
      </c>
      <c r="P114" s="471">
        <f t="shared" si="62"/>
        <v>1.1054718363044089</v>
      </c>
      <c r="Q114" s="917">
        <f t="shared" si="63"/>
        <v>2140.0670091072602</v>
      </c>
      <c r="S114">
        <f t="shared" si="82"/>
        <v>3.4000000000000008</v>
      </c>
      <c r="T114">
        <f t="shared" si="73"/>
        <v>17</v>
      </c>
      <c r="U114" s="663">
        <f t="shared" si="64"/>
        <v>0.7233968231645912</v>
      </c>
      <c r="V114" s="918">
        <f t="shared" si="65"/>
        <v>1.323778982530512</v>
      </c>
      <c r="W114" s="917">
        <f t="shared" si="66"/>
        <v>2249.1375571308581</v>
      </c>
      <c r="X114" s="801"/>
      <c r="Y114">
        <f t="shared" si="83"/>
        <v>3.4000000000000008</v>
      </c>
      <c r="Z114">
        <f t="shared" si="74"/>
        <v>17</v>
      </c>
      <c r="AA114" s="663">
        <f t="shared" si="67"/>
        <v>0.7233968231645912</v>
      </c>
      <c r="AB114" s="471">
        <f t="shared" si="68"/>
        <v>1.4709543974202446</v>
      </c>
      <c r="AC114" s="26">
        <f t="shared" si="75"/>
        <v>2413.2536682252367</v>
      </c>
      <c r="AE114">
        <f t="shared" si="84"/>
        <v>3.4000000000000008</v>
      </c>
      <c r="AF114">
        <f t="shared" si="76"/>
        <v>17</v>
      </c>
      <c r="AG114" s="663">
        <f t="shared" si="69"/>
        <v>0.7233968231645912</v>
      </c>
      <c r="AH114" s="471">
        <f t="shared" si="77"/>
        <v>1.5851971412024002</v>
      </c>
      <c r="AI114" s="26">
        <f t="shared" si="78"/>
        <v>2564.6308513388512</v>
      </c>
    </row>
    <row r="115" spans="8:35" x14ac:dyDescent="0.25">
      <c r="H115">
        <f t="shared" si="79"/>
        <v>3.600000000000001</v>
      </c>
      <c r="I115">
        <f t="shared" si="70"/>
        <v>18</v>
      </c>
      <c r="J115" s="48">
        <f t="shared" si="80"/>
        <v>0.71272577588060881</v>
      </c>
      <c r="K115" s="26">
        <f t="shared" si="71"/>
        <v>2083.3231010269537</v>
      </c>
      <c r="M115">
        <f t="shared" si="81"/>
        <v>3.600000000000001</v>
      </c>
      <c r="N115">
        <f t="shared" si="72"/>
        <v>18</v>
      </c>
      <c r="O115" s="663">
        <f t="shared" si="61"/>
        <v>0.71272577588060881</v>
      </c>
      <c r="P115" s="471">
        <f t="shared" si="62"/>
        <v>1.0891646839109139</v>
      </c>
      <c r="Q115" s="917">
        <f t="shared" si="63"/>
        <v>2108.4982276116875</v>
      </c>
      <c r="S115">
        <f t="shared" si="82"/>
        <v>3.600000000000001</v>
      </c>
      <c r="T115">
        <f t="shared" si="73"/>
        <v>18</v>
      </c>
      <c r="U115" s="663">
        <f t="shared" si="64"/>
        <v>0.71272577588060881</v>
      </c>
      <c r="V115" s="918">
        <f t="shared" si="65"/>
        <v>1.3042515148063261</v>
      </c>
      <c r="W115" s="917">
        <f t="shared" si="66"/>
        <v>2215.9598426983698</v>
      </c>
      <c r="X115" s="801"/>
      <c r="Y115">
        <f t="shared" si="83"/>
        <v>3.600000000000001</v>
      </c>
      <c r="Z115">
        <f t="shared" si="74"/>
        <v>18</v>
      </c>
      <c r="AA115" s="663">
        <f t="shared" si="67"/>
        <v>0.71272577588060881</v>
      </c>
      <c r="AB115" s="471">
        <f t="shared" si="68"/>
        <v>1.449255900240251</v>
      </c>
      <c r="AC115" s="26">
        <f t="shared" si="75"/>
        <v>2377.6550269577506</v>
      </c>
      <c r="AE115">
        <f t="shared" si="84"/>
        <v>3.600000000000001</v>
      </c>
      <c r="AF115">
        <f t="shared" si="76"/>
        <v>18</v>
      </c>
      <c r="AG115" s="663">
        <f t="shared" si="69"/>
        <v>0.71272577588060881</v>
      </c>
      <c r="AH115" s="471">
        <f t="shared" si="77"/>
        <v>1.5618134144475542</v>
      </c>
      <c r="AI115" s="26">
        <f t="shared" si="78"/>
        <v>2526.7991990503119</v>
      </c>
    </row>
    <row r="116" spans="8:35" x14ac:dyDescent="0.25">
      <c r="H116">
        <f t="shared" si="79"/>
        <v>3.8000000000000012</v>
      </c>
      <c r="I116">
        <f t="shared" si="70"/>
        <v>19</v>
      </c>
      <c r="J116" s="48">
        <f t="shared" si="80"/>
        <v>0.70277674229633946</v>
      </c>
      <c r="K116" s="26">
        <f t="shared" si="71"/>
        <v>2054.2417176949257</v>
      </c>
      <c r="M116">
        <f t="shared" si="81"/>
        <v>3.8000000000000012</v>
      </c>
      <c r="N116">
        <f t="shared" si="72"/>
        <v>19</v>
      </c>
      <c r="O116" s="663">
        <f t="shared" si="61"/>
        <v>0.70277674229633946</v>
      </c>
      <c r="P116" s="471">
        <f t="shared" si="62"/>
        <v>1.0739608897088013</v>
      </c>
      <c r="Q116" s="917">
        <f t="shared" si="63"/>
        <v>2079.0654213504545</v>
      </c>
      <c r="S116">
        <f t="shared" si="82"/>
        <v>3.8000000000000012</v>
      </c>
      <c r="T116">
        <f t="shared" si="73"/>
        <v>19</v>
      </c>
      <c r="U116" s="663">
        <f t="shared" si="64"/>
        <v>0.70277674229633946</v>
      </c>
      <c r="V116" s="918">
        <f t="shared" si="65"/>
        <v>1.2860452950198875</v>
      </c>
      <c r="W116" s="917">
        <f t="shared" si="66"/>
        <v>2185.026965507057</v>
      </c>
      <c r="X116" s="801"/>
      <c r="Y116">
        <f t="shared" si="83"/>
        <v>3.8000000000000012</v>
      </c>
      <c r="Z116">
        <f t="shared" si="74"/>
        <v>19</v>
      </c>
      <c r="AA116" s="663">
        <f t="shared" si="67"/>
        <v>0.70277674229633946</v>
      </c>
      <c r="AB116" s="471">
        <f t="shared" si="68"/>
        <v>1.4290255450157949</v>
      </c>
      <c r="AC116" s="26">
        <f t="shared" si="75"/>
        <v>2344.4650252550873</v>
      </c>
      <c r="AE116">
        <f t="shared" si="84"/>
        <v>3.8000000000000012</v>
      </c>
      <c r="AF116">
        <f t="shared" si="76"/>
        <v>19</v>
      </c>
      <c r="AG116" s="663">
        <f t="shared" si="69"/>
        <v>0.70277674229633946</v>
      </c>
      <c r="AH116" s="471">
        <f t="shared" si="77"/>
        <v>1.5400118539616821</v>
      </c>
      <c r="AI116" s="26">
        <f t="shared" si="78"/>
        <v>2491.5272740788937</v>
      </c>
    </row>
    <row r="117" spans="8:35" x14ac:dyDescent="0.25">
      <c r="H117">
        <f t="shared" si="79"/>
        <v>4.0000000000000009</v>
      </c>
      <c r="I117">
        <f t="shared" si="70"/>
        <v>20</v>
      </c>
      <c r="J117" s="48">
        <f t="shared" si="80"/>
        <v>0.69346655090942155</v>
      </c>
      <c r="K117" s="26">
        <f t="shared" si="71"/>
        <v>2027.0276931040746</v>
      </c>
      <c r="M117">
        <f t="shared" si="81"/>
        <v>4.0000000000000009</v>
      </c>
      <c r="N117">
        <f t="shared" si="72"/>
        <v>20</v>
      </c>
      <c r="O117" s="663">
        <f t="shared" si="61"/>
        <v>0.69346655090942155</v>
      </c>
      <c r="P117" s="471">
        <f t="shared" si="62"/>
        <v>1.0597333536742675</v>
      </c>
      <c r="Q117" s="917">
        <f t="shared" si="63"/>
        <v>2051.522539217719</v>
      </c>
      <c r="S117">
        <f t="shared" si="82"/>
        <v>4.0000000000000009</v>
      </c>
      <c r="T117">
        <f t="shared" si="73"/>
        <v>20</v>
      </c>
      <c r="U117" s="663">
        <f t="shared" si="64"/>
        <v>0.69346655090942155</v>
      </c>
      <c r="V117" s="918">
        <f t="shared" si="65"/>
        <v>1.2690081235993347</v>
      </c>
      <c r="W117" s="917">
        <f t="shared" si="66"/>
        <v>2156.0803342227377</v>
      </c>
      <c r="X117" s="801"/>
      <c r="Y117">
        <f t="shared" si="83"/>
        <v>4.0000000000000009</v>
      </c>
      <c r="Z117">
        <f t="shared" si="74"/>
        <v>20</v>
      </c>
      <c r="AA117" s="663">
        <f t="shared" si="67"/>
        <v>0.69346655090942155</v>
      </c>
      <c r="AB117" s="471">
        <f t="shared" si="68"/>
        <v>1.410094210894778</v>
      </c>
      <c r="AC117" s="26">
        <f t="shared" si="75"/>
        <v>2313.4062027708105</v>
      </c>
      <c r="AE117">
        <f t="shared" si="84"/>
        <v>4.0000000000000009</v>
      </c>
      <c r="AF117">
        <f t="shared" si="76"/>
        <v>20</v>
      </c>
      <c r="AG117" s="663">
        <f t="shared" si="69"/>
        <v>0.69346655090942155</v>
      </c>
      <c r="AH117" s="471">
        <f t="shared" si="77"/>
        <v>1.5196102039986279</v>
      </c>
      <c r="AI117" s="26">
        <f t="shared" si="78"/>
        <v>2458.520211705707</v>
      </c>
    </row>
    <row r="118" spans="8:35" x14ac:dyDescent="0.25">
      <c r="H118">
        <f t="shared" si="79"/>
        <v>4.2000000000000011</v>
      </c>
      <c r="I118">
        <f t="shared" si="70"/>
        <v>21</v>
      </c>
      <c r="J118" s="48">
        <f t="shared" si="80"/>
        <v>0.68472518201338262</v>
      </c>
      <c r="K118" s="26">
        <f t="shared" si="71"/>
        <v>2001.4763571316723</v>
      </c>
      <c r="M118">
        <f t="shared" si="81"/>
        <v>4.2000000000000011</v>
      </c>
      <c r="N118">
        <f t="shared" si="72"/>
        <v>21</v>
      </c>
      <c r="O118" s="663">
        <f t="shared" si="61"/>
        <v>0.68472518201338262</v>
      </c>
      <c r="P118" s="471">
        <f t="shared" si="62"/>
        <v>1.0463750739363984</v>
      </c>
      <c r="Q118" s="917">
        <f t="shared" si="63"/>
        <v>2025.6624378324066</v>
      </c>
      <c r="S118">
        <f t="shared" si="82"/>
        <v>4.2000000000000011</v>
      </c>
      <c r="T118">
        <f t="shared" si="73"/>
        <v>21</v>
      </c>
      <c r="U118" s="663">
        <f t="shared" si="64"/>
        <v>0.68472518201338262</v>
      </c>
      <c r="V118" s="918">
        <f t="shared" si="65"/>
        <v>1.2530118680828939</v>
      </c>
      <c r="W118" s="917">
        <f t="shared" si="66"/>
        <v>2128.90224820515</v>
      </c>
      <c r="X118" s="801"/>
      <c r="Y118">
        <f t="shared" si="83"/>
        <v>4.2000000000000011</v>
      </c>
      <c r="Z118">
        <f t="shared" si="74"/>
        <v>21</v>
      </c>
      <c r="AA118" s="663">
        <f t="shared" si="67"/>
        <v>0.68472518201338262</v>
      </c>
      <c r="AB118" s="471">
        <f t="shared" si="68"/>
        <v>1.3923195198740856</v>
      </c>
      <c r="AC118" s="26">
        <f t="shared" si="75"/>
        <v>2284.2449735834984</v>
      </c>
      <c r="AE118">
        <f t="shared" si="84"/>
        <v>4.2000000000000011</v>
      </c>
      <c r="AF118">
        <f t="shared" si="76"/>
        <v>21</v>
      </c>
      <c r="AG118" s="663">
        <f t="shared" si="69"/>
        <v>0.68472518201338262</v>
      </c>
      <c r="AH118" s="471">
        <f t="shared" si="77"/>
        <v>1.500455028664047</v>
      </c>
      <c r="AI118" s="26">
        <f t="shared" si="78"/>
        <v>2427.529773766481</v>
      </c>
    </row>
    <row r="119" spans="8:35" x14ac:dyDescent="0.25">
      <c r="H119">
        <f t="shared" si="79"/>
        <v>4.4000000000000012</v>
      </c>
      <c r="I119">
        <f t="shared" si="70"/>
        <v>22</v>
      </c>
      <c r="J119" s="48">
        <f t="shared" si="80"/>
        <v>0.67649317546546095</v>
      </c>
      <c r="K119" s="26">
        <f t="shared" si="71"/>
        <v>1977.4139056398617</v>
      </c>
      <c r="M119">
        <f t="shared" si="81"/>
        <v>4.4000000000000012</v>
      </c>
      <c r="N119">
        <f t="shared" si="72"/>
        <v>22</v>
      </c>
      <c r="O119" s="663">
        <f t="shared" si="61"/>
        <v>0.67649317546546095</v>
      </c>
      <c r="P119" s="471">
        <f t="shared" si="62"/>
        <v>1.033795185411051</v>
      </c>
      <c r="Q119" s="917">
        <f t="shared" si="63"/>
        <v>2001.3092127865814</v>
      </c>
      <c r="S119">
        <f t="shared" si="82"/>
        <v>4.4000000000000012</v>
      </c>
      <c r="T119">
        <f t="shared" si="73"/>
        <v>22</v>
      </c>
      <c r="U119" s="663">
        <f t="shared" si="64"/>
        <v>0.67649317546546095</v>
      </c>
      <c r="V119" s="918">
        <f t="shared" si="65"/>
        <v>1.2379477194673105</v>
      </c>
      <c r="W119" s="917">
        <f t="shared" si="66"/>
        <v>2103.3078379111125</v>
      </c>
      <c r="X119" s="801"/>
      <c r="Y119">
        <f t="shared" si="83"/>
        <v>4.4000000000000012</v>
      </c>
      <c r="Z119">
        <f t="shared" si="74"/>
        <v>22</v>
      </c>
      <c r="AA119" s="663">
        <f t="shared" si="67"/>
        <v>0.67649317546546095</v>
      </c>
      <c r="AB119" s="471">
        <f t="shared" si="68"/>
        <v>1.3755805657571936</v>
      </c>
      <c r="AC119" s="26">
        <f t="shared" si="75"/>
        <v>2256.7829785035087</v>
      </c>
      <c r="AE119">
        <f t="shared" si="84"/>
        <v>4.4000000000000012</v>
      </c>
      <c r="AF119">
        <f t="shared" si="76"/>
        <v>22</v>
      </c>
      <c r="AG119" s="663">
        <f t="shared" si="69"/>
        <v>0.67649317546546095</v>
      </c>
      <c r="AH119" s="471">
        <f t="shared" si="77"/>
        <v>1.4824160314936712</v>
      </c>
      <c r="AI119" s="26">
        <f t="shared" si="78"/>
        <v>2398.3451585108237</v>
      </c>
    </row>
    <row r="120" spans="8:35" x14ac:dyDescent="0.25">
      <c r="H120">
        <f t="shared" si="79"/>
        <v>4.6000000000000014</v>
      </c>
      <c r="I120">
        <f t="shared" si="70"/>
        <v>23</v>
      </c>
      <c r="J120" s="48">
        <f t="shared" si="80"/>
        <v>0.66871964149722296</v>
      </c>
      <c r="K120" s="26">
        <f t="shared" si="71"/>
        <v>1954.6915860034792</v>
      </c>
      <c r="M120">
        <f t="shared" si="81"/>
        <v>4.6000000000000014</v>
      </c>
      <c r="N120">
        <f t="shared" si="72"/>
        <v>23</v>
      </c>
      <c r="O120" s="663">
        <f t="shared" si="61"/>
        <v>0.66871964149722296</v>
      </c>
      <c r="P120" s="471">
        <f t="shared" si="62"/>
        <v>1.0219159199854031</v>
      </c>
      <c r="Q120" s="917">
        <f t="shared" si="63"/>
        <v>1978.3123139104919</v>
      </c>
      <c r="S120">
        <f t="shared" si="82"/>
        <v>4.6000000000000014</v>
      </c>
      <c r="T120">
        <f t="shared" si="73"/>
        <v>23</v>
      </c>
      <c r="U120" s="663">
        <f t="shared" si="64"/>
        <v>0.66871964149722296</v>
      </c>
      <c r="V120" s="918">
        <f t="shared" si="65"/>
        <v>1.2237225520935813</v>
      </c>
      <c r="W120" s="917">
        <f t="shared" si="66"/>
        <v>2079.1388802384604</v>
      </c>
      <c r="X120" s="801"/>
      <c r="Y120">
        <f t="shared" si="83"/>
        <v>4.6000000000000014</v>
      </c>
      <c r="Z120">
        <f t="shared" si="74"/>
        <v>23</v>
      </c>
      <c r="AA120" s="663">
        <f t="shared" si="67"/>
        <v>0.66871964149722296</v>
      </c>
      <c r="AB120" s="471">
        <f t="shared" si="68"/>
        <v>1.3597738693384098</v>
      </c>
      <c r="AC120" s="26">
        <f t="shared" si="75"/>
        <v>2230.8504491320668</v>
      </c>
      <c r="AE120">
        <f t="shared" si="84"/>
        <v>4.6000000000000014</v>
      </c>
      <c r="AF120">
        <f t="shared" si="76"/>
        <v>23</v>
      </c>
      <c r="AG120" s="663">
        <f t="shared" si="69"/>
        <v>0.66871964149722296</v>
      </c>
      <c r="AH120" s="471">
        <f t="shared" si="77"/>
        <v>1.4653816964939903</v>
      </c>
      <c r="AI120" s="26">
        <f t="shared" si="78"/>
        <v>2370.7859484058358</v>
      </c>
    </row>
    <row r="121" spans="8:35" x14ac:dyDescent="0.25">
      <c r="H121">
        <f t="shared" si="79"/>
        <v>4.8000000000000016</v>
      </c>
      <c r="I121">
        <f t="shared" si="70"/>
        <v>24</v>
      </c>
      <c r="J121" s="48">
        <f t="shared" si="80"/>
        <v>0.66136071466235236</v>
      </c>
      <c r="K121" s="26">
        <f t="shared" si="71"/>
        <v>1933.1811779437862</v>
      </c>
      <c r="M121">
        <f t="shared" si="81"/>
        <v>4.8000000000000016</v>
      </c>
      <c r="N121">
        <f t="shared" si="72"/>
        <v>24</v>
      </c>
      <c r="O121" s="663">
        <f t="shared" si="61"/>
        <v>0.66136071466235236</v>
      </c>
      <c r="P121" s="471">
        <f t="shared" si="62"/>
        <v>1.0106702438905231</v>
      </c>
      <c r="Q121" s="917">
        <f t="shared" si="63"/>
        <v>1956.5419714961492</v>
      </c>
      <c r="S121">
        <f t="shared" si="82"/>
        <v>4.8000000000000016</v>
      </c>
      <c r="T121">
        <f t="shared" si="73"/>
        <v>24</v>
      </c>
      <c r="U121" s="663">
        <f t="shared" si="64"/>
        <v>0.66136071466235236</v>
      </c>
      <c r="V121" s="918">
        <f t="shared" si="65"/>
        <v>1.2102560944509202</v>
      </c>
      <c r="W121" s="917">
        <f t="shared" si="66"/>
        <v>2056.2589916427651</v>
      </c>
      <c r="X121" s="801"/>
      <c r="Y121">
        <f t="shared" si="83"/>
        <v>4.8000000000000016</v>
      </c>
      <c r="Z121">
        <f t="shared" si="74"/>
        <v>24</v>
      </c>
      <c r="AA121" s="663">
        <f t="shared" si="67"/>
        <v>0.66136071466235236</v>
      </c>
      <c r="AB121" s="471">
        <f t="shared" si="68"/>
        <v>1.3448102346618114</v>
      </c>
      <c r="AC121" s="26">
        <f t="shared" si="75"/>
        <v>2206.3010502271009</v>
      </c>
      <c r="AE121">
        <f t="shared" si="84"/>
        <v>4.8000000000000016</v>
      </c>
      <c r="AF121">
        <f t="shared" si="76"/>
        <v>24</v>
      </c>
      <c r="AG121" s="663">
        <f t="shared" si="69"/>
        <v>0.66136071466235236</v>
      </c>
      <c r="AH121" s="471">
        <f t="shared" si="77"/>
        <v>1.449255900240251</v>
      </c>
      <c r="AI121" s="26">
        <f t="shared" si="78"/>
        <v>2344.6966289768502</v>
      </c>
    </row>
    <row r="122" spans="8:35" x14ac:dyDescent="0.25">
      <c r="H122">
        <f t="shared" si="79"/>
        <v>5.0000000000000018</v>
      </c>
      <c r="I122">
        <f t="shared" si="70"/>
        <v>25</v>
      </c>
      <c r="J122" s="48">
        <f t="shared" si="80"/>
        <v>0.654378338197114</v>
      </c>
      <c r="K122" s="26">
        <f t="shared" si="71"/>
        <v>1912.7714401703417</v>
      </c>
      <c r="M122" s="52">
        <f t="shared" si="81"/>
        <v>5.0000000000000018</v>
      </c>
      <c r="N122" s="52">
        <f t="shared" si="72"/>
        <v>25</v>
      </c>
      <c r="O122" s="792">
        <f t="shared" si="61"/>
        <v>0.654378338197114</v>
      </c>
      <c r="P122" s="919">
        <f t="shared" si="62"/>
        <v>1</v>
      </c>
      <c r="Q122" s="920">
        <f>F15</f>
        <v>1935.8855999999978</v>
      </c>
      <c r="S122">
        <f t="shared" si="82"/>
        <v>5.0000000000000018</v>
      </c>
      <c r="T122">
        <f t="shared" si="73"/>
        <v>25</v>
      </c>
      <c r="U122" s="663">
        <f t="shared" si="64"/>
        <v>0.654378338197114</v>
      </c>
      <c r="V122" s="918">
        <f t="shared" si="65"/>
        <v>1.1974787046189286</v>
      </c>
      <c r="W122" s="26">
        <f t="shared" si="66"/>
        <v>2034.5498485512958</v>
      </c>
      <c r="X122" s="801"/>
      <c r="Y122" s="52">
        <f t="shared" si="83"/>
        <v>5.0000000000000018</v>
      </c>
      <c r="Z122" s="52">
        <f t="shared" si="74"/>
        <v>25</v>
      </c>
      <c r="AA122" s="792">
        <f t="shared" si="67"/>
        <v>0.654378338197114</v>
      </c>
      <c r="AB122" s="471">
        <f t="shared" si="68"/>
        <v>1.3306122771409927</v>
      </c>
      <c r="AC122" s="26">
        <f t="shared" si="75"/>
        <v>2183.0078243266157</v>
      </c>
      <c r="AE122" s="52">
        <f t="shared" si="84"/>
        <v>5.0000000000000018</v>
      </c>
      <c r="AF122" s="52">
        <f t="shared" si="76"/>
        <v>25</v>
      </c>
      <c r="AG122" s="792">
        <f t="shared" si="69"/>
        <v>0.654378338197114</v>
      </c>
      <c r="AH122" s="471">
        <f t="shared" si="77"/>
        <v>1.4339552480158266</v>
      </c>
      <c r="AI122" s="26">
        <f t="shared" si="78"/>
        <v>2319.9422790474778</v>
      </c>
    </row>
    <row r="123" spans="8:35" x14ac:dyDescent="0.25">
      <c r="H123">
        <f t="shared" si="79"/>
        <v>5.200000000000002</v>
      </c>
      <c r="I123">
        <f t="shared" si="70"/>
        <v>26</v>
      </c>
      <c r="J123" s="48">
        <f t="shared" si="80"/>
        <v>0.64773929802869579</v>
      </c>
      <c r="K123" s="26">
        <f t="shared" si="71"/>
        <v>1893.3652867526091</v>
      </c>
      <c r="M123">
        <f t="shared" si="81"/>
        <v>5.200000000000002</v>
      </c>
      <c r="N123">
        <f t="shared" si="72"/>
        <v>26</v>
      </c>
      <c r="O123" s="663">
        <f t="shared" si="61"/>
        <v>0.64773929802869579</v>
      </c>
      <c r="P123" s="471">
        <f t="shared" si="62"/>
        <v>0.98985443163245668</v>
      </c>
      <c r="Q123" s="917">
        <f t="shared" ref="Q123:Q186" si="85">P123*$Q$122</f>
        <v>1916.2449402934551</v>
      </c>
      <c r="S123">
        <f t="shared" si="82"/>
        <v>5.200000000000002</v>
      </c>
      <c r="T123">
        <f t="shared" si="73"/>
        <v>26</v>
      </c>
      <c r="U123" s="663">
        <f t="shared" si="64"/>
        <v>0.64773929802869579</v>
      </c>
      <c r="V123" s="918">
        <f t="shared" si="65"/>
        <v>1.1853296025525402</v>
      </c>
      <c r="W123" s="917">
        <f t="shared" si="66"/>
        <v>2013.908183965644</v>
      </c>
      <c r="X123" s="801"/>
      <c r="Y123">
        <f t="shared" si="83"/>
        <v>5.200000000000002</v>
      </c>
      <c r="Z123">
        <f t="shared" si="74"/>
        <v>26</v>
      </c>
      <c r="AA123" s="663">
        <f t="shared" si="67"/>
        <v>0.64773929802869579</v>
      </c>
      <c r="AB123" s="471">
        <f t="shared" si="68"/>
        <v>1.3171124593125665</v>
      </c>
      <c r="AC123" s="26">
        <f t="shared" si="75"/>
        <v>2160.859969198028</v>
      </c>
      <c r="AE123">
        <f t="shared" si="84"/>
        <v>5.200000000000002</v>
      </c>
      <c r="AF123">
        <f t="shared" si="76"/>
        <v>26</v>
      </c>
      <c r="AG123" s="663">
        <f t="shared" si="69"/>
        <v>0.64773929802869579</v>
      </c>
      <c r="AH123" s="471">
        <f t="shared" si="77"/>
        <v>1.4194069570110845</v>
      </c>
      <c r="AI123" s="26">
        <f t="shared" si="78"/>
        <v>2296.4051460466476</v>
      </c>
    </row>
    <row r="124" spans="8:35" x14ac:dyDescent="0.25">
      <c r="H124">
        <f t="shared" si="79"/>
        <v>5.4000000000000021</v>
      </c>
      <c r="I124">
        <f t="shared" si="70"/>
        <v>27</v>
      </c>
      <c r="J124" s="48">
        <f t="shared" si="80"/>
        <v>0.64141444770360945</v>
      </c>
      <c r="K124" s="26">
        <f t="shared" si="71"/>
        <v>1874.87752155777</v>
      </c>
      <c r="M124">
        <f t="shared" si="81"/>
        <v>5.4000000000000021</v>
      </c>
      <c r="N124">
        <f t="shared" si="72"/>
        <v>27</v>
      </c>
      <c r="O124" s="663">
        <f t="shared" si="61"/>
        <v>0.64141444770360945</v>
      </c>
      <c r="P124" s="471">
        <f t="shared" si="62"/>
        <v>0.98018899811197679</v>
      </c>
      <c r="Q124" s="917">
        <f t="shared" si="85"/>
        <v>1897.533766723401</v>
      </c>
      <c r="S124">
        <f t="shared" si="82"/>
        <v>5.4000000000000021</v>
      </c>
      <c r="T124">
        <f t="shared" si="73"/>
        <v>27</v>
      </c>
      <c r="U124" s="663">
        <f t="shared" si="64"/>
        <v>0.64141444770360945</v>
      </c>
      <c r="V124" s="918">
        <f t="shared" si="65"/>
        <v>1.1737554517408555</v>
      </c>
      <c r="W124" s="917">
        <f t="shared" si="66"/>
        <v>1994.2433776603689</v>
      </c>
      <c r="X124" s="801"/>
      <c r="Y124">
        <f t="shared" si="83"/>
        <v>5.4000000000000021</v>
      </c>
      <c r="Z124">
        <f t="shared" si="74"/>
        <v>27</v>
      </c>
      <c r="AA124" s="663">
        <f t="shared" si="67"/>
        <v>0.64141444770360945</v>
      </c>
      <c r="AB124" s="471">
        <f t="shared" si="68"/>
        <v>1.3042515148063256</v>
      </c>
      <c r="AC124" s="26">
        <f t="shared" si="75"/>
        <v>2139.7602521973113</v>
      </c>
      <c r="AE124">
        <f t="shared" si="84"/>
        <v>5.4000000000000021</v>
      </c>
      <c r="AF124">
        <f t="shared" si="76"/>
        <v>27</v>
      </c>
      <c r="AG124" s="663">
        <f t="shared" si="69"/>
        <v>0.64141444770360945</v>
      </c>
      <c r="AH124" s="471">
        <f t="shared" si="77"/>
        <v>1.4055471578900443</v>
      </c>
      <c r="AI124" s="26">
        <f t="shared" si="78"/>
        <v>2273.9818981771632</v>
      </c>
    </row>
    <row r="125" spans="8:35" x14ac:dyDescent="0.25">
      <c r="H125">
        <f t="shared" si="79"/>
        <v>5.6000000000000023</v>
      </c>
      <c r="I125">
        <f t="shared" si="70"/>
        <v>28</v>
      </c>
      <c r="J125" s="48">
        <f t="shared" si="80"/>
        <v>0.63537808095148585</v>
      </c>
      <c r="K125" s="26">
        <f t="shared" si="71"/>
        <v>1857.2330042321098</v>
      </c>
      <c r="M125">
        <f t="shared" si="81"/>
        <v>5.6000000000000023</v>
      </c>
      <c r="N125">
        <f t="shared" si="72"/>
        <v>28</v>
      </c>
      <c r="O125" s="663">
        <f t="shared" si="61"/>
        <v>0.63537808095148585</v>
      </c>
      <c r="P125" s="471">
        <f t="shared" si="62"/>
        <v>0.97096441594020977</v>
      </c>
      <c r="Q125" s="917">
        <f t="shared" si="85"/>
        <v>1879.6760309310605</v>
      </c>
      <c r="S125">
        <f t="shared" si="82"/>
        <v>5.6000000000000023</v>
      </c>
      <c r="T125">
        <f t="shared" si="73"/>
        <v>28</v>
      </c>
      <c r="U125" s="663">
        <f t="shared" si="64"/>
        <v>0.63537808095148585</v>
      </c>
      <c r="V125" s="918">
        <f t="shared" si="65"/>
        <v>1.162709211031157</v>
      </c>
      <c r="W125" s="917">
        <f t="shared" si="66"/>
        <v>1975.4755053998513</v>
      </c>
      <c r="X125" s="801"/>
      <c r="Y125">
        <f t="shared" si="83"/>
        <v>5.6000000000000023</v>
      </c>
      <c r="Z125">
        <f t="shared" si="74"/>
        <v>28</v>
      </c>
      <c r="AA125" s="663">
        <f t="shared" si="67"/>
        <v>0.63537808095148585</v>
      </c>
      <c r="AB125" s="471">
        <f t="shared" si="68"/>
        <v>1.2919771725170766</v>
      </c>
      <c r="AC125" s="26">
        <f t="shared" si="75"/>
        <v>2119.6229171402001</v>
      </c>
      <c r="AE125">
        <f t="shared" si="84"/>
        <v>5.6000000000000023</v>
      </c>
      <c r="AF125">
        <f t="shared" si="76"/>
        <v>28</v>
      </c>
      <c r="AG125" s="663">
        <f t="shared" si="69"/>
        <v>0.63537808095148585</v>
      </c>
      <c r="AH125" s="471">
        <f t="shared" si="77"/>
        <v>1.3923195198740859</v>
      </c>
      <c r="AI125" s="26">
        <f t="shared" si="78"/>
        <v>2252.5813999903339</v>
      </c>
    </row>
    <row r="126" spans="8:35" x14ac:dyDescent="0.25">
      <c r="H126">
        <f t="shared" si="79"/>
        <v>5.8000000000000025</v>
      </c>
      <c r="I126">
        <f t="shared" si="70"/>
        <v>29</v>
      </c>
      <c r="J126" s="48">
        <f t="shared" si="80"/>
        <v>0.62960741958361133</v>
      </c>
      <c r="K126" s="26">
        <f t="shared" si="71"/>
        <v>1840.3651533100033</v>
      </c>
      <c r="M126">
        <f t="shared" si="81"/>
        <v>5.8000000000000025</v>
      </c>
      <c r="N126">
        <f t="shared" si="72"/>
        <v>29</v>
      </c>
      <c r="O126" s="663">
        <f t="shared" si="61"/>
        <v>0.62960741958361133</v>
      </c>
      <c r="P126" s="471">
        <f t="shared" si="62"/>
        <v>0.96214587621933001</v>
      </c>
      <c r="Q126" s="917">
        <f t="shared" si="85"/>
        <v>1862.6043468723813</v>
      </c>
      <c r="S126">
        <f t="shared" si="82"/>
        <v>5.8000000000000025</v>
      </c>
      <c r="T126">
        <f t="shared" si="73"/>
        <v>29</v>
      </c>
      <c r="U126" s="663">
        <f t="shared" si="64"/>
        <v>0.62960741958361133</v>
      </c>
      <c r="V126" s="918">
        <f t="shared" si="65"/>
        <v>1.1521491975095675</v>
      </c>
      <c r="W126" s="917">
        <f t="shared" si="66"/>
        <v>1957.5337467462919</v>
      </c>
      <c r="X126" s="801"/>
      <c r="Y126">
        <f t="shared" si="83"/>
        <v>5.8000000000000025</v>
      </c>
      <c r="Z126">
        <f t="shared" si="74"/>
        <v>29</v>
      </c>
      <c r="AA126" s="663">
        <f t="shared" si="67"/>
        <v>0.62960741958361133</v>
      </c>
      <c r="AB126" s="471">
        <f t="shared" si="68"/>
        <v>1.2802431152980185</v>
      </c>
      <c r="AC126" s="26">
        <f t="shared" si="75"/>
        <v>2100.3719759303849</v>
      </c>
      <c r="AE126">
        <f t="shared" si="84"/>
        <v>5.8000000000000025</v>
      </c>
      <c r="AF126">
        <f t="shared" si="76"/>
        <v>29</v>
      </c>
      <c r="AG126" s="663">
        <f t="shared" si="69"/>
        <v>0.62960741958361133</v>
      </c>
      <c r="AH126" s="471">
        <f t="shared" si="77"/>
        <v>1.3796741285614942</v>
      </c>
      <c r="AI126" s="26">
        <f t="shared" si="78"/>
        <v>2232.1228968524051</v>
      </c>
    </row>
    <row r="127" spans="8:35" x14ac:dyDescent="0.25">
      <c r="H127">
        <f t="shared" si="79"/>
        <v>6.0000000000000027</v>
      </c>
      <c r="I127">
        <f t="shared" si="70"/>
        <v>30</v>
      </c>
      <c r="J127" s="48">
        <f t="shared" si="80"/>
        <v>0.62408219234518525</v>
      </c>
      <c r="K127" s="26">
        <f t="shared" si="71"/>
        <v>1824.2147151839033</v>
      </c>
      <c r="M127">
        <f t="shared" si="81"/>
        <v>6.0000000000000027</v>
      </c>
      <c r="N127">
        <f t="shared" si="72"/>
        <v>30</v>
      </c>
      <c r="O127" s="663">
        <f t="shared" si="61"/>
        <v>0.62408219234518525</v>
      </c>
      <c r="P127" s="471">
        <f t="shared" si="62"/>
        <v>0.95370240106755666</v>
      </c>
      <c r="Q127" s="917">
        <f t="shared" si="85"/>
        <v>1846.2587449121054</v>
      </c>
      <c r="S127">
        <f t="shared" si="82"/>
        <v>6.0000000000000027</v>
      </c>
      <c r="T127">
        <f t="shared" si="73"/>
        <v>30</v>
      </c>
      <c r="U127" s="663">
        <f t="shared" si="64"/>
        <v>0.62408219234518525</v>
      </c>
      <c r="V127" s="918">
        <f t="shared" si="65"/>
        <v>1.1420383158223397</v>
      </c>
      <c r="W127" s="917">
        <f t="shared" si="66"/>
        <v>1940.3550756550048</v>
      </c>
      <c r="X127" s="801"/>
      <c r="Y127">
        <f t="shared" si="83"/>
        <v>6.0000000000000027</v>
      </c>
      <c r="Z127">
        <f t="shared" si="74"/>
        <v>30</v>
      </c>
      <c r="AA127" s="663">
        <f t="shared" si="67"/>
        <v>0.62408219234518525</v>
      </c>
      <c r="AB127" s="471">
        <f t="shared" si="68"/>
        <v>1.269008123599334</v>
      </c>
      <c r="AC127" s="26">
        <f t="shared" si="75"/>
        <v>2081.9398036095563</v>
      </c>
      <c r="AE127">
        <f t="shared" si="84"/>
        <v>6.0000000000000027</v>
      </c>
      <c r="AF127">
        <f t="shared" si="76"/>
        <v>30</v>
      </c>
      <c r="AG127" s="663">
        <f t="shared" si="69"/>
        <v>0.62408219234518525</v>
      </c>
      <c r="AH127" s="471">
        <f t="shared" si="77"/>
        <v>1.3675665630561176</v>
      </c>
      <c r="AI127" s="26">
        <f t="shared" si="78"/>
        <v>2212.5345218657194</v>
      </c>
    </row>
    <row r="128" spans="8:35" x14ac:dyDescent="0.25">
      <c r="H128">
        <f t="shared" si="79"/>
        <v>6.2000000000000028</v>
      </c>
      <c r="I128">
        <f t="shared" si="70"/>
        <v>31</v>
      </c>
      <c r="J128" s="48">
        <f t="shared" si="80"/>
        <v>0.61878428612272351</v>
      </c>
      <c r="K128" s="26">
        <f t="shared" si="71"/>
        <v>1808.7287445710235</v>
      </c>
      <c r="M128">
        <f t="shared" si="81"/>
        <v>6.2000000000000028</v>
      </c>
      <c r="N128">
        <f t="shared" si="72"/>
        <v>31</v>
      </c>
      <c r="O128" s="663">
        <f t="shared" si="61"/>
        <v>0.61878428612272351</v>
      </c>
      <c r="P128" s="471">
        <f t="shared" si="62"/>
        <v>0.94560631060548839</v>
      </c>
      <c r="Q128" s="917">
        <f t="shared" si="85"/>
        <v>1830.5856399702902</v>
      </c>
      <c r="S128">
        <f t="shared" si="82"/>
        <v>6.2000000000000028</v>
      </c>
      <c r="T128">
        <f t="shared" si="73"/>
        <v>31</v>
      </c>
      <c r="U128" s="663">
        <f t="shared" si="64"/>
        <v>0.61878428612272351</v>
      </c>
      <c r="V128" s="918">
        <f t="shared" si="65"/>
        <v>1.1323434199033446</v>
      </c>
      <c r="W128" s="917">
        <f t="shared" si="66"/>
        <v>1923.8831760315463</v>
      </c>
      <c r="X128" s="801"/>
      <c r="Y128">
        <f t="shared" si="83"/>
        <v>6.2000000000000028</v>
      </c>
      <c r="Z128">
        <f t="shared" si="74"/>
        <v>31</v>
      </c>
      <c r="AA128" s="663">
        <f t="shared" si="67"/>
        <v>0.61878428612272351</v>
      </c>
      <c r="AB128" s="471">
        <f t="shared" si="68"/>
        <v>1.2582353662336618</v>
      </c>
      <c r="AC128" s="26">
        <f t="shared" si="75"/>
        <v>2064.265974784405</v>
      </c>
      <c r="AE128">
        <f t="shared" si="84"/>
        <v>6.2000000000000028</v>
      </c>
      <c r="AF128">
        <f t="shared" si="76"/>
        <v>31</v>
      </c>
      <c r="AG128" s="663">
        <f t="shared" si="69"/>
        <v>0.61878428612272351</v>
      </c>
      <c r="AH128" s="471">
        <f t="shared" si="77"/>
        <v>1.3559571316496239</v>
      </c>
      <c r="AI128" s="26">
        <f t="shared" si="78"/>
        <v>2193.7520593077743</v>
      </c>
    </row>
    <row r="129" spans="1:35" x14ac:dyDescent="0.25">
      <c r="H129">
        <f t="shared" si="79"/>
        <v>6.400000000000003</v>
      </c>
      <c r="I129">
        <f t="shared" si="70"/>
        <v>32</v>
      </c>
      <c r="J129" s="48">
        <f t="shared" si="80"/>
        <v>0.61369745517940599</v>
      </c>
      <c r="K129" s="26">
        <f t="shared" si="71"/>
        <v>1793.8597545977925</v>
      </c>
      <c r="M129">
        <f t="shared" si="81"/>
        <v>6.400000000000003</v>
      </c>
      <c r="N129">
        <f t="shared" si="72"/>
        <v>32</v>
      </c>
      <c r="O129" s="663">
        <f t="shared" si="61"/>
        <v>0.61369745517940599</v>
      </c>
      <c r="P129" s="471">
        <f t="shared" si="62"/>
        <v>0.93783277861888215</v>
      </c>
      <c r="Q129" s="917">
        <f t="shared" si="85"/>
        <v>1815.5369713362797</v>
      </c>
      <c r="S129">
        <f t="shared" si="82"/>
        <v>6.400000000000003</v>
      </c>
      <c r="T129">
        <f t="shared" si="73"/>
        <v>32</v>
      </c>
      <c r="U129" s="663">
        <f t="shared" si="64"/>
        <v>0.61369745517940599</v>
      </c>
      <c r="V129" s="918">
        <f t="shared" si="65"/>
        <v>1.1230347808897094</v>
      </c>
      <c r="W129" s="917">
        <f t="shared" si="66"/>
        <v>1908.0675377054877</v>
      </c>
      <c r="X129" s="801"/>
      <c r="Y129">
        <f t="shared" si="83"/>
        <v>6.400000000000003</v>
      </c>
      <c r="Z129">
        <f t="shared" si="74"/>
        <v>32</v>
      </c>
      <c r="AA129" s="663">
        <f t="shared" si="67"/>
        <v>0.61369745517940599</v>
      </c>
      <c r="AB129" s="471">
        <f t="shared" si="68"/>
        <v>1.2478918091355353</v>
      </c>
      <c r="AC129" s="26">
        <f t="shared" si="75"/>
        <v>2047.2962936349904</v>
      </c>
      <c r="AE129">
        <f t="shared" si="84"/>
        <v>6.400000000000003</v>
      </c>
      <c r="AF129">
        <f t="shared" si="76"/>
        <v>32</v>
      </c>
      <c r="AG129" s="663">
        <f t="shared" si="69"/>
        <v>0.61369745517940599</v>
      </c>
      <c r="AH129" s="471">
        <f t="shared" si="77"/>
        <v>1.3448102346618109</v>
      </c>
      <c r="AI129" s="26">
        <f t="shared" si="78"/>
        <v>2175.7179137945182</v>
      </c>
    </row>
    <row r="130" spans="1:35" x14ac:dyDescent="0.25">
      <c r="H130">
        <f t="shared" si="79"/>
        <v>6.6000000000000032</v>
      </c>
      <c r="I130">
        <f t="shared" si="70"/>
        <v>33</v>
      </c>
      <c r="J130" s="48">
        <f t="shared" si="80"/>
        <v>0.60880707728062544</v>
      </c>
      <c r="K130" s="26">
        <f t="shared" si="71"/>
        <v>1779.5650039460525</v>
      </c>
      <c r="M130">
        <f t="shared" si="81"/>
        <v>6.6000000000000032</v>
      </c>
      <c r="N130">
        <f t="shared" si="72"/>
        <v>33</v>
      </c>
      <c r="O130" s="663">
        <f t="shared" si="61"/>
        <v>0.60880707728062544</v>
      </c>
      <c r="P130" s="471">
        <f t="shared" si="62"/>
        <v>0.93035945987753432</v>
      </c>
      <c r="Q130" s="917">
        <f t="shared" si="85"/>
        <v>1801.0694812006943</v>
      </c>
      <c r="S130">
        <f t="shared" si="82"/>
        <v>6.6000000000000032</v>
      </c>
      <c r="T130">
        <f t="shared" si="73"/>
        <v>33</v>
      </c>
      <c r="U130" s="663">
        <f t="shared" si="64"/>
        <v>0.60880707728062544</v>
      </c>
      <c r="V130" s="918">
        <f t="shared" si="65"/>
        <v>1.1140856408441158</v>
      </c>
      <c r="W130" s="917">
        <f t="shared" si="66"/>
        <v>1892.8626981921027</v>
      </c>
      <c r="X130" s="801"/>
      <c r="Y130">
        <f t="shared" si="83"/>
        <v>6.6000000000000032</v>
      </c>
      <c r="Z130">
        <f t="shared" si="74"/>
        <v>33</v>
      </c>
      <c r="AA130" s="663">
        <f t="shared" si="67"/>
        <v>0.60880707728062544</v>
      </c>
      <c r="AB130" s="471">
        <f t="shared" si="68"/>
        <v>1.2379477194673101</v>
      </c>
      <c r="AC130" s="26">
        <f t="shared" si="75"/>
        <v>2030.9819803489415</v>
      </c>
      <c r="AE130">
        <f t="shared" si="84"/>
        <v>6.6000000000000032</v>
      </c>
      <c r="AF130">
        <f t="shared" si="76"/>
        <v>33</v>
      </c>
      <c r="AG130" s="663">
        <f t="shared" si="69"/>
        <v>0.60880707728062544</v>
      </c>
      <c r="AH130" s="471">
        <f t="shared" si="77"/>
        <v>1.3340938300325602</v>
      </c>
      <c r="AI130" s="26">
        <f t="shared" si="78"/>
        <v>2158.3802456816675</v>
      </c>
    </row>
    <row r="131" spans="1:35" x14ac:dyDescent="0.25">
      <c r="H131">
        <f t="shared" si="79"/>
        <v>6.8000000000000034</v>
      </c>
      <c r="I131">
        <f t="shared" si="70"/>
        <v>34</v>
      </c>
      <c r="J131" s="48">
        <f t="shared" si="80"/>
        <v>0.60409994797761035</v>
      </c>
      <c r="K131" s="26">
        <f t="shared" si="71"/>
        <v>1765.8058955366844</v>
      </c>
      <c r="M131">
        <f t="shared" si="81"/>
        <v>6.8000000000000034</v>
      </c>
      <c r="N131">
        <f t="shared" si="72"/>
        <v>34</v>
      </c>
      <c r="O131" s="663">
        <f t="shared" si="61"/>
        <v>0.60409994797761035</v>
      </c>
      <c r="P131" s="471">
        <f t="shared" si="62"/>
        <v>0.9231661757661076</v>
      </c>
      <c r="Q131" s="917">
        <f t="shared" si="85"/>
        <v>1787.1441060726747</v>
      </c>
      <c r="S131">
        <f t="shared" si="82"/>
        <v>6.8000000000000034</v>
      </c>
      <c r="T131">
        <f t="shared" si="73"/>
        <v>34</v>
      </c>
      <c r="U131" s="663">
        <f t="shared" si="64"/>
        <v>0.60409994797761035</v>
      </c>
      <c r="V131" s="918">
        <f t="shared" si="65"/>
        <v>1.1054718363044087</v>
      </c>
      <c r="W131" s="917">
        <f t="shared" si="66"/>
        <v>1878.2276030926132</v>
      </c>
      <c r="X131" s="801"/>
      <c r="Y131">
        <f t="shared" si="83"/>
        <v>6.8000000000000034</v>
      </c>
      <c r="Z131">
        <f t="shared" si="74"/>
        <v>34</v>
      </c>
      <c r="AA131" s="663">
        <f t="shared" si="67"/>
        <v>0.60409994797761035</v>
      </c>
      <c r="AB131" s="471">
        <f t="shared" si="68"/>
        <v>1.2283762473156825</v>
      </c>
      <c r="AC131" s="26">
        <f t="shared" si="75"/>
        <v>2015.2789848510927</v>
      </c>
      <c r="AE131">
        <f t="shared" si="84"/>
        <v>6.8000000000000034</v>
      </c>
      <c r="AF131">
        <f t="shared" si="76"/>
        <v>34</v>
      </c>
      <c r="AG131" s="663">
        <f t="shared" si="69"/>
        <v>0.60409994797761035</v>
      </c>
      <c r="AH131" s="471">
        <f t="shared" si="77"/>
        <v>1.3237789825305111</v>
      </c>
      <c r="AI131" s="26">
        <f t="shared" si="78"/>
        <v>2141.6922417463684</v>
      </c>
    </row>
    <row r="132" spans="1:35" x14ac:dyDescent="0.25">
      <c r="H132">
        <f t="shared" si="79"/>
        <v>7.0000000000000036</v>
      </c>
      <c r="I132">
        <f t="shared" si="70"/>
        <v>35</v>
      </c>
      <c r="J132" s="48">
        <f t="shared" si="80"/>
        <v>0.59956410614852029</v>
      </c>
      <c r="K132" s="26">
        <f t="shared" si="71"/>
        <v>1752.5474665799484</v>
      </c>
      <c r="M132">
        <f t="shared" si="81"/>
        <v>7.0000000000000036</v>
      </c>
      <c r="N132">
        <f t="shared" si="72"/>
        <v>35</v>
      </c>
      <c r="O132" s="663">
        <f t="shared" si="61"/>
        <v>0.59956410614852029</v>
      </c>
      <c r="P132" s="471">
        <f t="shared" si="62"/>
        <v>0.91623464768162544</v>
      </c>
      <c r="Q132" s="917">
        <f t="shared" si="85"/>
        <v>1773.7254606679301</v>
      </c>
      <c r="S132">
        <f t="shared" si="82"/>
        <v>7.0000000000000036</v>
      </c>
      <c r="T132">
        <f t="shared" si="73"/>
        <v>35</v>
      </c>
      <c r="U132" s="663">
        <f t="shared" si="64"/>
        <v>0.59956410614852029</v>
      </c>
      <c r="V132" s="918">
        <f t="shared" si="65"/>
        <v>1.0971714790327733</v>
      </c>
      <c r="W132" s="917">
        <f t="shared" si="66"/>
        <v>1864.125063678101</v>
      </c>
      <c r="X132" s="801"/>
      <c r="Y132">
        <f t="shared" si="83"/>
        <v>7.0000000000000036</v>
      </c>
      <c r="Z132">
        <f t="shared" si="74"/>
        <v>35</v>
      </c>
      <c r="AA132" s="663">
        <f t="shared" si="67"/>
        <v>0.59956410614852029</v>
      </c>
      <c r="AB132" s="471">
        <f t="shared" si="68"/>
        <v>1.219153070947123</v>
      </c>
      <c r="AC132" s="26">
        <f t="shared" si="75"/>
        <v>2000.1474048081286</v>
      </c>
      <c r="AE132">
        <f t="shared" si="84"/>
        <v>7.0000000000000036</v>
      </c>
      <c r="AF132">
        <f t="shared" si="76"/>
        <v>35</v>
      </c>
      <c r="AG132" s="663">
        <f t="shared" si="69"/>
        <v>0.59956410614852029</v>
      </c>
      <c r="AH132" s="471">
        <f t="shared" si="77"/>
        <v>1.3138394814569987</v>
      </c>
      <c r="AI132" s="26">
        <f t="shared" si="78"/>
        <v>2125.6114966847731</v>
      </c>
    </row>
    <row r="133" spans="1:35" x14ac:dyDescent="0.25">
      <c r="H133">
        <f t="shared" si="79"/>
        <v>7.2000000000000037</v>
      </c>
      <c r="I133">
        <f t="shared" si="70"/>
        <v>36</v>
      </c>
      <c r="J133" s="48">
        <f t="shared" si="80"/>
        <v>0.59518868530310787</v>
      </c>
      <c r="K133" s="26">
        <f t="shared" si="71"/>
        <v>1739.7579539336575</v>
      </c>
      <c r="M133">
        <f t="shared" si="81"/>
        <v>7.2000000000000037</v>
      </c>
      <c r="N133">
        <f t="shared" si="72"/>
        <v>36</v>
      </c>
      <c r="O133" s="663">
        <f t="shared" si="61"/>
        <v>0.59518868530310787</v>
      </c>
      <c r="P133" s="471">
        <f t="shared" si="62"/>
        <v>0.90954826980202264</v>
      </c>
      <c r="Q133" s="917">
        <f t="shared" si="85"/>
        <v>1760.7813980146484</v>
      </c>
      <c r="S133">
        <f t="shared" si="82"/>
        <v>7.2000000000000037</v>
      </c>
      <c r="T133">
        <f t="shared" si="73"/>
        <v>36</v>
      </c>
      <c r="U133" s="663">
        <f t="shared" si="64"/>
        <v>0.59518868530310787</v>
      </c>
      <c r="V133" s="918">
        <f t="shared" si="65"/>
        <v>1.0891646839109139</v>
      </c>
      <c r="W133" s="917">
        <f t="shared" si="66"/>
        <v>1850.5212945757985</v>
      </c>
      <c r="X133" s="801"/>
      <c r="Y133">
        <f t="shared" si="83"/>
        <v>7.2000000000000037</v>
      </c>
      <c r="Z133">
        <f t="shared" si="74"/>
        <v>36</v>
      </c>
      <c r="AA133" s="663">
        <f t="shared" si="67"/>
        <v>0.59518868530310787</v>
      </c>
      <c r="AB133" s="471">
        <f t="shared" si="68"/>
        <v>1.2102560944509195</v>
      </c>
      <c r="AC133" s="26">
        <f t="shared" si="75"/>
        <v>1985.5509895805512</v>
      </c>
      <c r="AE133">
        <f t="shared" si="84"/>
        <v>7.2000000000000037</v>
      </c>
      <c r="AF133">
        <f t="shared" si="76"/>
        <v>36</v>
      </c>
      <c r="AG133" s="663">
        <f t="shared" si="69"/>
        <v>0.59518868530310787</v>
      </c>
      <c r="AH133" s="471">
        <f t="shared" si="77"/>
        <v>1.3042515148063254</v>
      </c>
      <c r="AI133" s="26">
        <f t="shared" si="78"/>
        <v>2110.0994859481948</v>
      </c>
    </row>
    <row r="134" spans="1:35" x14ac:dyDescent="0.25">
      <c r="H134">
        <f t="shared" si="79"/>
        <v>7.4000000000000039</v>
      </c>
      <c r="I134">
        <f t="shared" si="70"/>
        <v>37</v>
      </c>
      <c r="J134" s="48">
        <f t="shared" si="80"/>
        <v>0.59096378624639168</v>
      </c>
      <c r="K134" s="26">
        <f t="shared" si="71"/>
        <v>1727.40842189451</v>
      </c>
      <c r="M134">
        <f t="shared" si="81"/>
        <v>7.4000000000000039</v>
      </c>
      <c r="N134">
        <f t="shared" si="72"/>
        <v>37</v>
      </c>
      <c r="O134" s="663">
        <f t="shared" si="61"/>
        <v>0.59096378624639168</v>
      </c>
      <c r="P134" s="471">
        <f t="shared" si="62"/>
        <v>0.90309191449485238</v>
      </c>
      <c r="Q134" s="917">
        <f t="shared" si="85"/>
        <v>1748.2826327470141</v>
      </c>
      <c r="S134">
        <f t="shared" si="82"/>
        <v>7.4000000000000039</v>
      </c>
      <c r="T134">
        <f t="shared" si="73"/>
        <v>37</v>
      </c>
      <c r="U134" s="663">
        <f t="shared" si="64"/>
        <v>0.59096378624639168</v>
      </c>
      <c r="V134" s="918">
        <f t="shared" si="65"/>
        <v>1.0814333359211241</v>
      </c>
      <c r="W134" s="917">
        <f t="shared" si="66"/>
        <v>1837.3855178634019</v>
      </c>
      <c r="X134" s="801"/>
      <c r="Y134">
        <f t="shared" si="83"/>
        <v>7.4000000000000039</v>
      </c>
      <c r="Z134">
        <f t="shared" si="74"/>
        <v>37</v>
      </c>
      <c r="AA134" s="663">
        <f t="shared" si="67"/>
        <v>0.59096378624639168</v>
      </c>
      <c r="AB134" s="471">
        <f t="shared" si="68"/>
        <v>1.2016651888136143</v>
      </c>
      <c r="AC134" s="26">
        <f t="shared" si="75"/>
        <v>1971.4567154283657</v>
      </c>
      <c r="AE134">
        <f t="shared" si="84"/>
        <v>7.4000000000000039</v>
      </c>
      <c r="AF134">
        <f t="shared" si="76"/>
        <v>37</v>
      </c>
      <c r="AG134" s="663">
        <f t="shared" si="69"/>
        <v>0.59096378624639168</v>
      </c>
      <c r="AH134" s="471">
        <f t="shared" si="77"/>
        <v>1.2949933902305537</v>
      </c>
      <c r="AI134" s="26">
        <f t="shared" si="78"/>
        <v>2095.121114302538</v>
      </c>
    </row>
    <row r="135" spans="1:35" x14ac:dyDescent="0.25">
      <c r="H135">
        <f t="shared" si="79"/>
        <v>7.6000000000000041</v>
      </c>
      <c r="I135">
        <f t="shared" si="70"/>
        <v>38</v>
      </c>
      <c r="J135" s="48">
        <f t="shared" si="80"/>
        <v>0.58688036754689743</v>
      </c>
      <c r="K135" s="26">
        <f t="shared" si="71"/>
        <v>1715.472442032815</v>
      </c>
      <c r="M135">
        <f t="shared" si="81"/>
        <v>7.6000000000000041</v>
      </c>
      <c r="N135">
        <f t="shared" si="72"/>
        <v>38</v>
      </c>
      <c r="O135" s="663">
        <f t="shared" si="61"/>
        <v>0.58688036754689743</v>
      </c>
      <c r="P135" s="471">
        <f t="shared" si="62"/>
        <v>0.89685176493436336</v>
      </c>
      <c r="Q135" s="917">
        <f t="shared" si="85"/>
        <v>1736.202417071017</v>
      </c>
      <c r="S135">
        <f t="shared" si="82"/>
        <v>7.6000000000000041</v>
      </c>
      <c r="T135">
        <f t="shared" si="73"/>
        <v>38</v>
      </c>
      <c r="U135" s="663">
        <f t="shared" si="64"/>
        <v>0.58688036754689743</v>
      </c>
      <c r="V135" s="918">
        <f t="shared" si="65"/>
        <v>1.0739608897088013</v>
      </c>
      <c r="W135" s="917">
        <f t="shared" si="66"/>
        <v>1824.6896225201715</v>
      </c>
      <c r="X135" s="801"/>
      <c r="Y135">
        <f t="shared" si="83"/>
        <v>7.6000000000000041</v>
      </c>
      <c r="Z135">
        <f t="shared" si="74"/>
        <v>38</v>
      </c>
      <c r="AA135" s="663">
        <f t="shared" si="67"/>
        <v>0.58688036754689743</v>
      </c>
      <c r="AB135" s="471">
        <f t="shared" si="68"/>
        <v>1.1933619691972317</v>
      </c>
      <c r="AC135" s="26">
        <f t="shared" si="75"/>
        <v>1957.83442011285</v>
      </c>
      <c r="AE135">
        <f t="shared" si="84"/>
        <v>7.6000000000000041</v>
      </c>
      <c r="AF135">
        <f t="shared" si="76"/>
        <v>38</v>
      </c>
      <c r="AG135" s="663">
        <f t="shared" si="69"/>
        <v>0.58688036754689743</v>
      </c>
      <c r="AH135" s="471">
        <f t="shared" si="77"/>
        <v>1.2860452950198868</v>
      </c>
      <c r="AI135" s="26">
        <f t="shared" si="78"/>
        <v>2080.6443275095799</v>
      </c>
    </row>
    <row r="136" spans="1:35" x14ac:dyDescent="0.25">
      <c r="H136">
        <f t="shared" si="79"/>
        <v>7.8000000000000043</v>
      </c>
      <c r="I136">
        <f t="shared" si="70"/>
        <v>39</v>
      </c>
      <c r="J136" s="48">
        <f t="shared" si="80"/>
        <v>0.58293015092328626</v>
      </c>
      <c r="K136" s="26">
        <f t="shared" si="71"/>
        <v>1703.9258166342011</v>
      </c>
      <c r="M136">
        <f t="shared" si="81"/>
        <v>7.8000000000000043</v>
      </c>
      <c r="N136">
        <f t="shared" si="72"/>
        <v>39</v>
      </c>
      <c r="O136" s="663">
        <f t="shared" si="61"/>
        <v>0.58293015092328626</v>
      </c>
      <c r="P136" s="471">
        <f t="shared" si="62"/>
        <v>0.89081517051637815</v>
      </c>
      <c r="Q136" s="917">
        <f t="shared" si="85"/>
        <v>1724.516260864199</v>
      </c>
      <c r="S136">
        <f t="shared" si="82"/>
        <v>7.8000000000000043</v>
      </c>
      <c r="T136">
        <f t="shared" si="73"/>
        <v>39</v>
      </c>
      <c r="U136" s="663">
        <f t="shared" si="64"/>
        <v>0.58293015092328626</v>
      </c>
      <c r="V136" s="918">
        <f t="shared" si="65"/>
        <v>1.0667321964448426</v>
      </c>
      <c r="W136" s="917">
        <f t="shared" si="66"/>
        <v>1812.4078702612942</v>
      </c>
      <c r="X136" s="801"/>
      <c r="Y136">
        <f t="shared" si="83"/>
        <v>7.8000000000000043</v>
      </c>
      <c r="Z136">
        <f t="shared" si="74"/>
        <v>39</v>
      </c>
      <c r="AA136" s="663">
        <f t="shared" si="67"/>
        <v>0.58293015092328626</v>
      </c>
      <c r="AB136" s="471">
        <f t="shared" si="68"/>
        <v>1.1853296025525397</v>
      </c>
      <c r="AC136" s="26">
        <f t="shared" si="75"/>
        <v>1944.6564872661017</v>
      </c>
      <c r="AE136">
        <f t="shared" si="84"/>
        <v>7.8000000000000043</v>
      </c>
      <c r="AF136">
        <f t="shared" si="76"/>
        <v>39</v>
      </c>
      <c r="AG136" s="663">
        <f t="shared" si="69"/>
        <v>0.58293015092328626</v>
      </c>
      <c r="AH136" s="471">
        <f t="shared" si="77"/>
        <v>1.277389088774074</v>
      </c>
      <c r="AI136" s="26">
        <f t="shared" si="78"/>
        <v>2066.6397768978341</v>
      </c>
    </row>
    <row r="137" spans="1:35" x14ac:dyDescent="0.25">
      <c r="H137">
        <f t="shared" si="79"/>
        <v>8.0000000000000036</v>
      </c>
      <c r="I137">
        <f t="shared" si="70"/>
        <v>40</v>
      </c>
      <c r="J137" s="48">
        <f t="shared" si="80"/>
        <v>0.57910553919211616</v>
      </c>
      <c r="K137" s="26">
        <f t="shared" si="71"/>
        <v>1692.7463388579686</v>
      </c>
      <c r="M137">
        <f t="shared" si="81"/>
        <v>8.0000000000000036</v>
      </c>
      <c r="N137">
        <f t="shared" si="72"/>
        <v>40</v>
      </c>
      <c r="O137" s="663">
        <f t="shared" si="61"/>
        <v>0.57910553919211616</v>
      </c>
      <c r="P137" s="471">
        <f t="shared" si="62"/>
        <v>0.88497052146869215</v>
      </c>
      <c r="Q137" s="917">
        <f t="shared" si="85"/>
        <v>1713.2016889357301</v>
      </c>
      <c r="S137">
        <f t="shared" si="82"/>
        <v>8.0000000000000036</v>
      </c>
      <c r="T137">
        <f t="shared" si="73"/>
        <v>40</v>
      </c>
      <c r="U137" s="663">
        <f t="shared" si="64"/>
        <v>0.57910553919211616</v>
      </c>
      <c r="V137" s="918">
        <f t="shared" si="65"/>
        <v>1.0597333536742672</v>
      </c>
      <c r="W137" s="917">
        <f t="shared" si="66"/>
        <v>1800.5166404264889</v>
      </c>
      <c r="X137" s="801"/>
      <c r="Y137">
        <f t="shared" si="83"/>
        <v>8.0000000000000036</v>
      </c>
      <c r="Z137">
        <f t="shared" si="74"/>
        <v>40</v>
      </c>
      <c r="AA137" s="663">
        <f t="shared" si="67"/>
        <v>0.57910553919211616</v>
      </c>
      <c r="AB137" s="471">
        <f t="shared" si="68"/>
        <v>1.1775526407741084</v>
      </c>
      <c r="AC137" s="26">
        <f t="shared" si="75"/>
        <v>1931.8975726645604</v>
      </c>
      <c r="AE137">
        <f t="shared" si="84"/>
        <v>8.0000000000000036</v>
      </c>
      <c r="AF137">
        <f t="shared" si="76"/>
        <v>40</v>
      </c>
      <c r="AG137" s="663">
        <f t="shared" si="69"/>
        <v>0.57910553919211616</v>
      </c>
      <c r="AH137" s="471">
        <f t="shared" si="77"/>
        <v>1.2690081235993338</v>
      </c>
      <c r="AI137" s="26">
        <f t="shared" si="78"/>
        <v>2053.0805284659123</v>
      </c>
    </row>
    <row r="138" spans="1:35" x14ac:dyDescent="0.25">
      <c r="H138">
        <f t="shared" si="79"/>
        <v>8.2000000000000028</v>
      </c>
      <c r="I138">
        <f t="shared" si="70"/>
        <v>41</v>
      </c>
      <c r="J138" s="48">
        <f t="shared" si="80"/>
        <v>0.57539954484082734</v>
      </c>
      <c r="K138" s="26">
        <f t="shared" si="71"/>
        <v>1681.9135839533546</v>
      </c>
      <c r="M138">
        <f t="shared" si="81"/>
        <v>8.2000000000000028</v>
      </c>
      <c r="N138">
        <f t="shared" si="72"/>
        <v>41</v>
      </c>
      <c r="O138" s="663">
        <f t="shared" si="61"/>
        <v>0.57539954484082734</v>
      </c>
      <c r="P138" s="471">
        <f t="shared" si="62"/>
        <v>0.87930713969859986</v>
      </c>
      <c r="Q138" s="917">
        <f t="shared" si="85"/>
        <v>1702.2380297197058</v>
      </c>
      <c r="S138">
        <f t="shared" si="82"/>
        <v>8.2000000000000028</v>
      </c>
      <c r="T138">
        <f t="shared" si="73"/>
        <v>41</v>
      </c>
      <c r="U138" s="663">
        <f t="shared" si="64"/>
        <v>0.57539954484082734</v>
      </c>
      <c r="V138" s="918">
        <f t="shared" si="65"/>
        <v>1.0529515746084548</v>
      </c>
      <c r="W138" s="917">
        <f t="shared" si="66"/>
        <v>1788.9942079038597</v>
      </c>
      <c r="X138" s="801"/>
      <c r="Y138">
        <f t="shared" si="83"/>
        <v>8.2000000000000028</v>
      </c>
      <c r="Z138">
        <f t="shared" si="74"/>
        <v>41</v>
      </c>
      <c r="AA138" s="663">
        <f t="shared" si="67"/>
        <v>0.57539954484082734</v>
      </c>
      <c r="AB138" s="471">
        <f t="shared" si="68"/>
        <v>1.170016875460687</v>
      </c>
      <c r="AC138" s="26">
        <f t="shared" si="75"/>
        <v>1919.5343659482999</v>
      </c>
      <c r="AE138">
        <f t="shared" si="84"/>
        <v>8.2000000000000028</v>
      </c>
      <c r="AF138">
        <f t="shared" si="76"/>
        <v>41</v>
      </c>
      <c r="AG138" s="663">
        <f t="shared" si="69"/>
        <v>0.57539954484082734</v>
      </c>
      <c r="AH138" s="471">
        <f t="shared" si="77"/>
        <v>1.2608870875885929</v>
      </c>
      <c r="AI138" s="26">
        <f t="shared" si="78"/>
        <v>2039.9418096550887</v>
      </c>
    </row>
    <row r="139" spans="1:35" x14ac:dyDescent="0.25">
      <c r="A139" s="711"/>
      <c r="H139">
        <f t="shared" si="79"/>
        <v>8.4000000000000021</v>
      </c>
      <c r="I139">
        <f t="shared" si="70"/>
        <v>42</v>
      </c>
      <c r="J139" s="48">
        <f t="shared" si="80"/>
        <v>0.57180572762776727</v>
      </c>
      <c r="K139" s="26">
        <f t="shared" si="71"/>
        <v>1671.4087268621604</v>
      </c>
      <c r="M139">
        <f t="shared" si="81"/>
        <v>8.4000000000000021</v>
      </c>
      <c r="N139">
        <f t="shared" si="72"/>
        <v>42</v>
      </c>
      <c r="O139" s="663">
        <f t="shared" si="61"/>
        <v>0.57180572762776727</v>
      </c>
      <c r="P139" s="471">
        <f t="shared" si="62"/>
        <v>0.87381518343525311</v>
      </c>
      <c r="Q139" s="917">
        <f t="shared" si="85"/>
        <v>1691.606230673663</v>
      </c>
      <c r="S139">
        <f t="shared" si="82"/>
        <v>8.4000000000000021</v>
      </c>
      <c r="T139">
        <f t="shared" si="73"/>
        <v>42</v>
      </c>
      <c r="U139" s="663">
        <f t="shared" si="64"/>
        <v>0.57180572762776727</v>
      </c>
      <c r="V139" s="918">
        <f t="shared" si="65"/>
        <v>1.0463750739363984</v>
      </c>
      <c r="W139" s="917">
        <f t="shared" si="66"/>
        <v>1777.8205491200169</v>
      </c>
      <c r="X139" s="801"/>
      <c r="Y139">
        <f t="shared" si="83"/>
        <v>8.4000000000000021</v>
      </c>
      <c r="Z139">
        <f t="shared" si="74"/>
        <v>42</v>
      </c>
      <c r="AA139" s="663">
        <f t="shared" si="67"/>
        <v>0.57180572762776727</v>
      </c>
      <c r="AB139" s="471">
        <f t="shared" si="68"/>
        <v>1.1627092110311565</v>
      </c>
      <c r="AC139" s="26">
        <f t="shared" si="75"/>
        <v>1907.5453824545546</v>
      </c>
      <c r="AE139">
        <f t="shared" si="84"/>
        <v>8.4000000000000021</v>
      </c>
      <c r="AF139">
        <f t="shared" si="76"/>
        <v>42</v>
      </c>
      <c r="AG139" s="663">
        <f t="shared" si="69"/>
        <v>0.57180572762776727</v>
      </c>
      <c r="AH139" s="471">
        <f t="shared" si="77"/>
        <v>1.2530118680828934</v>
      </c>
      <c r="AI139" s="26">
        <f t="shared" si="78"/>
        <v>2027.2007881250711</v>
      </c>
    </row>
    <row r="140" spans="1:35" x14ac:dyDescent="0.25">
      <c r="A140" s="489"/>
      <c r="H140">
        <f t="shared" si="79"/>
        <v>8.6000000000000014</v>
      </c>
      <c r="I140">
        <f t="shared" si="70"/>
        <v>43</v>
      </c>
      <c r="J140" s="48">
        <f t="shared" si="80"/>
        <v>0.56831813988332436</v>
      </c>
      <c r="K140" s="26">
        <f t="shared" si="71"/>
        <v>1661.214382331995</v>
      </c>
      <c r="M140">
        <f t="shared" si="81"/>
        <v>8.6000000000000014</v>
      </c>
      <c r="N140">
        <f t="shared" si="72"/>
        <v>43</v>
      </c>
      <c r="O140" s="663">
        <f t="shared" si="61"/>
        <v>0.56831813988332436</v>
      </c>
      <c r="P140" s="471">
        <f t="shared" si="62"/>
        <v>0.86848556364060714</v>
      </c>
      <c r="Q140" s="917">
        <f t="shared" si="85"/>
        <v>1681.288696459733</v>
      </c>
      <c r="S140">
        <f t="shared" si="82"/>
        <v>8.6000000000000014</v>
      </c>
      <c r="T140">
        <f t="shared" si="73"/>
        <v>43</v>
      </c>
      <c r="U140" s="663">
        <f t="shared" si="64"/>
        <v>0.56831813988332436</v>
      </c>
      <c r="V140" s="918">
        <f t="shared" si="65"/>
        <v>1.0399929677285944</v>
      </c>
      <c r="W140" s="917">
        <f t="shared" si="66"/>
        <v>1766.9771719739842</v>
      </c>
      <c r="X140" s="801"/>
      <c r="Y140">
        <f t="shared" si="83"/>
        <v>8.6000000000000014</v>
      </c>
      <c r="Z140">
        <f t="shared" si="74"/>
        <v>43</v>
      </c>
      <c r="AA140" s="663">
        <f t="shared" si="67"/>
        <v>0.56831813988332436</v>
      </c>
      <c r="AB140" s="471">
        <f t="shared" si="68"/>
        <v>1.1556175534999069</v>
      </c>
      <c r="AC140" s="26">
        <f t="shared" si="75"/>
        <v>1895.9107807421562</v>
      </c>
      <c r="AE140">
        <f t="shared" si="84"/>
        <v>8.6000000000000014</v>
      </c>
      <c r="AF140">
        <f t="shared" si="76"/>
        <v>43</v>
      </c>
      <c r="AG140" s="663">
        <f t="shared" si="69"/>
        <v>0.56831813988332436</v>
      </c>
      <c r="AH140" s="471">
        <f t="shared" si="77"/>
        <v>1.2453694318084318</v>
      </c>
      <c r="AI140" s="26">
        <f t="shared" si="78"/>
        <v>2014.8363778322237</v>
      </c>
    </row>
    <row r="141" spans="1:35" x14ac:dyDescent="0.25">
      <c r="A141" s="489"/>
      <c r="H141">
        <f t="shared" si="79"/>
        <v>8.8000000000000007</v>
      </c>
      <c r="I141">
        <f t="shared" si="70"/>
        <v>44</v>
      </c>
      <c r="J141" s="48">
        <f t="shared" si="80"/>
        <v>0.56493127840694257</v>
      </c>
      <c r="K141" s="26">
        <f t="shared" si="71"/>
        <v>1651.3144643095179</v>
      </c>
      <c r="M141">
        <f t="shared" si="81"/>
        <v>8.8000000000000007</v>
      </c>
      <c r="N141">
        <f t="shared" si="72"/>
        <v>44</v>
      </c>
      <c r="O141" s="663">
        <f t="shared" si="61"/>
        <v>0.56493127840694257</v>
      </c>
      <c r="P141" s="471">
        <f t="shared" si="62"/>
        <v>0.86330987049997998</v>
      </c>
      <c r="Q141" s="917">
        <f t="shared" si="85"/>
        <v>1671.2691466387741</v>
      </c>
      <c r="S141">
        <f t="shared" si="82"/>
        <v>8.8000000000000007</v>
      </c>
      <c r="T141">
        <f t="shared" si="73"/>
        <v>44</v>
      </c>
      <c r="U141" s="663">
        <f t="shared" si="64"/>
        <v>0.56493127840694257</v>
      </c>
      <c r="V141" s="918">
        <f t="shared" si="65"/>
        <v>1.033795185411051</v>
      </c>
      <c r="W141" s="917">
        <f t="shared" si="66"/>
        <v>1756.446966278573</v>
      </c>
      <c r="X141" s="801"/>
      <c r="Y141">
        <f t="shared" si="83"/>
        <v>8.8000000000000007</v>
      </c>
      <c r="Z141">
        <f t="shared" si="74"/>
        <v>44</v>
      </c>
      <c r="AA141" s="663">
        <f t="shared" si="67"/>
        <v>0.56493127840694257</v>
      </c>
      <c r="AB141" s="471">
        <f t="shared" si="68"/>
        <v>1.1487307126642741</v>
      </c>
      <c r="AC141" s="26">
        <f t="shared" si="75"/>
        <v>1884.6122021198537</v>
      </c>
      <c r="AE141">
        <f t="shared" si="84"/>
        <v>8.8000000000000007</v>
      </c>
      <c r="AF141">
        <f t="shared" si="76"/>
        <v>44</v>
      </c>
      <c r="AG141" s="663">
        <f t="shared" si="69"/>
        <v>0.56493127840694257</v>
      </c>
      <c r="AH141" s="471">
        <f t="shared" si="77"/>
        <v>1.2379477194673099</v>
      </c>
      <c r="AI141" s="26">
        <f t="shared" si="78"/>
        <v>2002.8290684919064</v>
      </c>
    </row>
    <row r="142" spans="1:35" x14ac:dyDescent="0.25">
      <c r="A142" s="489"/>
      <c r="H142">
        <f t="shared" si="79"/>
        <v>9</v>
      </c>
      <c r="I142">
        <f t="shared" si="70"/>
        <v>45</v>
      </c>
      <c r="J142" s="48">
        <f t="shared" si="80"/>
        <v>0.56164004203462337</v>
      </c>
      <c r="K142" s="26">
        <f t="shared" si="71"/>
        <v>1641.6940619087195</v>
      </c>
      <c r="M142">
        <f t="shared" si="81"/>
        <v>9</v>
      </c>
      <c r="N142">
        <f t="shared" si="72"/>
        <v>45</v>
      </c>
      <c r="O142" s="663">
        <f t="shared" si="61"/>
        <v>0.56164004203462337</v>
      </c>
      <c r="P142" s="471">
        <f t="shared" si="62"/>
        <v>0.85828030857806958</v>
      </c>
      <c r="Q142" s="917">
        <f t="shared" si="85"/>
        <v>1661.5324901398394</v>
      </c>
      <c r="S142">
        <f t="shared" si="82"/>
        <v>9</v>
      </c>
      <c r="T142">
        <f t="shared" si="73"/>
        <v>45</v>
      </c>
      <c r="U142" s="663">
        <f t="shared" si="64"/>
        <v>0.56164004203462337</v>
      </c>
      <c r="V142" s="918">
        <f t="shared" si="65"/>
        <v>1.0277723921160011</v>
      </c>
      <c r="W142" s="917">
        <f t="shared" si="66"/>
        <v>1746.2140718320711</v>
      </c>
      <c r="X142" s="801"/>
      <c r="Y142">
        <f t="shared" si="83"/>
        <v>9</v>
      </c>
      <c r="Z142">
        <f t="shared" si="74"/>
        <v>45</v>
      </c>
      <c r="AA142" s="663">
        <f t="shared" si="67"/>
        <v>0.56164004203462337</v>
      </c>
      <c r="AB142" s="471">
        <f t="shared" si="68"/>
        <v>1.1420383158223391</v>
      </c>
      <c r="AC142" s="26">
        <f t="shared" si="75"/>
        <v>1873.6326290913878</v>
      </c>
      <c r="AE142">
        <f t="shared" si="84"/>
        <v>9</v>
      </c>
      <c r="AF142">
        <f t="shared" si="76"/>
        <v>45</v>
      </c>
      <c r="AG142" s="663">
        <f t="shared" si="69"/>
        <v>0.56164004203462337</v>
      </c>
      <c r="AH142" s="471">
        <f t="shared" si="77"/>
        <v>1.2307355527541659</v>
      </c>
      <c r="AI142" s="26">
        <f t="shared" si="78"/>
        <v>1991.1607751441793</v>
      </c>
    </row>
    <row r="143" spans="1:35" x14ac:dyDescent="0.25">
      <c r="A143" s="489"/>
      <c r="H143">
        <f t="shared" si="79"/>
        <v>9.1999999999999993</v>
      </c>
      <c r="I143">
        <f t="shared" si="70"/>
        <v>46</v>
      </c>
      <c r="J143" s="48">
        <f t="shared" si="80"/>
        <v>0.5584396940988009</v>
      </c>
      <c r="K143" s="26">
        <f t="shared" si="71"/>
        <v>1632.3393296797847</v>
      </c>
      <c r="M143">
        <f t="shared" si="81"/>
        <v>9.1999999999999993</v>
      </c>
      <c r="N143">
        <f t="shared" si="72"/>
        <v>46</v>
      </c>
      <c r="O143" s="663">
        <f t="shared" si="61"/>
        <v>0.5584396940988009</v>
      </c>
      <c r="P143" s="471">
        <f t="shared" si="62"/>
        <v>0.85338963945133806</v>
      </c>
      <c r="Q143" s="917">
        <f t="shared" si="85"/>
        <v>1652.0647142030355</v>
      </c>
      <c r="S143">
        <f t="shared" si="82"/>
        <v>9.1999999999999993</v>
      </c>
      <c r="T143">
        <f t="shared" si="73"/>
        <v>46</v>
      </c>
      <c r="U143" s="663">
        <f t="shared" si="64"/>
        <v>0.5584396940988009</v>
      </c>
      <c r="V143" s="918">
        <f t="shared" si="65"/>
        <v>1.0219159199854029</v>
      </c>
      <c r="W143" s="917">
        <f t="shared" si="66"/>
        <v>1736.263761700965</v>
      </c>
      <c r="X143" s="801"/>
      <c r="Y143">
        <f t="shared" si="83"/>
        <v>9.1999999999999993</v>
      </c>
      <c r="Z143">
        <f t="shared" si="74"/>
        <v>46</v>
      </c>
      <c r="AA143" s="663">
        <f t="shared" si="67"/>
        <v>0.5584396940988009</v>
      </c>
      <c r="AB143" s="471">
        <f t="shared" si="68"/>
        <v>1.1355307314388758</v>
      </c>
      <c r="AC143" s="26">
        <f t="shared" si="75"/>
        <v>1862.9562601215407</v>
      </c>
      <c r="AE143">
        <f t="shared" si="84"/>
        <v>9.1999999999999993</v>
      </c>
      <c r="AF143">
        <f t="shared" si="76"/>
        <v>46</v>
      </c>
      <c r="AG143" s="663">
        <f t="shared" si="69"/>
        <v>0.5584396940988009</v>
      </c>
      <c r="AH143" s="471">
        <f t="shared" si="77"/>
        <v>1.2237225520935804</v>
      </c>
      <c r="AI143" s="26">
        <f t="shared" si="78"/>
        <v>1979.8147050642428</v>
      </c>
    </row>
    <row r="144" spans="1:35" x14ac:dyDescent="0.25">
      <c r="A144" s="489"/>
      <c r="H144">
        <f t="shared" si="79"/>
        <v>9.3999999999999986</v>
      </c>
      <c r="I144">
        <f t="shared" si="70"/>
        <v>47</v>
      </c>
      <c r="J144" s="48">
        <f t="shared" si="80"/>
        <v>0.55532582912364903</v>
      </c>
      <c r="K144" s="26">
        <f t="shared" si="71"/>
        <v>1623.2373902582767</v>
      </c>
      <c r="M144">
        <f t="shared" si="81"/>
        <v>9.3999999999999986</v>
      </c>
      <c r="N144">
        <f t="shared" si="72"/>
        <v>47</v>
      </c>
      <c r="O144" s="663">
        <f t="shared" si="61"/>
        <v>0.55532582912364903</v>
      </c>
      <c r="P144" s="471">
        <f t="shared" si="62"/>
        <v>0.8486311308128478</v>
      </c>
      <c r="Q144" s="917">
        <f t="shared" si="85"/>
        <v>1642.8527858523064</v>
      </c>
      <c r="S144">
        <f t="shared" si="82"/>
        <v>9.3999999999999986</v>
      </c>
      <c r="T144">
        <f t="shared" si="73"/>
        <v>47</v>
      </c>
      <c r="U144" s="663">
        <f t="shared" si="64"/>
        <v>0.55532582912364903</v>
      </c>
      <c r="V144" s="918">
        <f t="shared" si="65"/>
        <v>1.0162177072250655</v>
      </c>
      <c r="W144" s="917">
        <f t="shared" si="66"/>
        <v>1726.5823386711945</v>
      </c>
      <c r="X144" s="801"/>
      <c r="Y144">
        <f t="shared" si="83"/>
        <v>9.3999999999999986</v>
      </c>
      <c r="Z144">
        <f t="shared" si="74"/>
        <v>47</v>
      </c>
      <c r="AA144" s="663">
        <f t="shared" si="67"/>
        <v>0.55532582912364903</v>
      </c>
      <c r="AB144" s="471">
        <f t="shared" si="68"/>
        <v>1.1291990014236193</v>
      </c>
      <c r="AC144" s="26">
        <f t="shared" si="75"/>
        <v>1852.5683985315907</v>
      </c>
      <c r="AE144">
        <f t="shared" si="84"/>
        <v>9.3999999999999986</v>
      </c>
      <c r="AF144">
        <f t="shared" si="76"/>
        <v>47</v>
      </c>
      <c r="AG144" s="663">
        <f t="shared" si="69"/>
        <v>0.55532582912364903</v>
      </c>
      <c r="AH144" s="471">
        <f t="shared" si="77"/>
        <v>1.2168990636586887</v>
      </c>
      <c r="AI144" s="26">
        <f t="shared" si="78"/>
        <v>1968.7752396885967</v>
      </c>
    </row>
    <row r="145" spans="1:35" x14ac:dyDescent="0.25">
      <c r="A145" s="489"/>
      <c r="H145">
        <f t="shared" si="79"/>
        <v>9.5999999999999979</v>
      </c>
      <c r="I145">
        <f t="shared" si="70"/>
        <v>48</v>
      </c>
      <c r="J145" s="48">
        <f t="shared" si="80"/>
        <v>0.55229434319904325</v>
      </c>
      <c r="K145" s="26">
        <f t="shared" si="71"/>
        <v>1614.3762477671605</v>
      </c>
      <c r="M145">
        <f t="shared" si="81"/>
        <v>9.5999999999999979</v>
      </c>
      <c r="N145">
        <f t="shared" si="72"/>
        <v>48</v>
      </c>
      <c r="O145" s="663">
        <f t="shared" si="61"/>
        <v>0.55229434319904325</v>
      </c>
      <c r="P145" s="471">
        <f t="shared" si="62"/>
        <v>0.8439985111986994</v>
      </c>
      <c r="Q145" s="917">
        <f t="shared" si="85"/>
        <v>1633.8845642509991</v>
      </c>
      <c r="S145">
        <f t="shared" si="82"/>
        <v>9.5999999999999979</v>
      </c>
      <c r="T145">
        <f t="shared" si="73"/>
        <v>48</v>
      </c>
      <c r="U145" s="663">
        <f t="shared" si="64"/>
        <v>0.55229434319904325</v>
      </c>
      <c r="V145" s="918">
        <f t="shared" si="65"/>
        <v>1.0106702438905228</v>
      </c>
      <c r="W145" s="917">
        <f t="shared" si="66"/>
        <v>1717.157043136833</v>
      </c>
      <c r="X145" s="801"/>
      <c r="Y145">
        <f t="shared" si="83"/>
        <v>9.5999999999999979</v>
      </c>
      <c r="Z145">
        <f t="shared" si="74"/>
        <v>48</v>
      </c>
      <c r="AA145" s="663">
        <f t="shared" si="67"/>
        <v>0.55229434319904325</v>
      </c>
      <c r="AB145" s="471">
        <f t="shared" si="68"/>
        <v>1.1230347808897092</v>
      </c>
      <c r="AC145" s="26">
        <f t="shared" si="75"/>
        <v>1842.4553536667756</v>
      </c>
      <c r="AE145">
        <f t="shared" si="84"/>
        <v>9.5999999999999979</v>
      </c>
      <c r="AF145">
        <f t="shared" si="76"/>
        <v>48</v>
      </c>
      <c r="AG145" s="663">
        <f t="shared" si="69"/>
        <v>0.55229434319904325</v>
      </c>
      <c r="AH145" s="471">
        <f t="shared" si="77"/>
        <v>1.2102560944509195</v>
      </c>
      <c r="AI145" s="26">
        <f t="shared" si="78"/>
        <v>1958.0278295829892</v>
      </c>
    </row>
    <row r="146" spans="1:35" x14ac:dyDescent="0.25">
      <c r="A146" s="489"/>
      <c r="H146">
        <f t="shared" si="79"/>
        <v>9.7999999999999972</v>
      </c>
      <c r="I146">
        <f t="shared" si="70"/>
        <v>49</v>
      </c>
      <c r="J146" s="48">
        <f xml:space="preserve"> 0.9944*(H146^-0.26)</f>
        <v>0.54934140755953842</v>
      </c>
      <c r="K146" s="26">
        <f t="shared" si="71"/>
        <v>1605.744710587205</v>
      </c>
      <c r="M146">
        <f t="shared" si="81"/>
        <v>9.7999999999999972</v>
      </c>
      <c r="N146">
        <f t="shared" si="72"/>
        <v>49</v>
      </c>
      <c r="O146" s="663">
        <f t="shared" si="61"/>
        <v>0.54934140755953842</v>
      </c>
      <c r="P146" s="471">
        <f t="shared" si="62"/>
        <v>0.83948592961227275</v>
      </c>
      <c r="Q146" s="917">
        <f t="shared" si="85"/>
        <v>1625.1487225390106</v>
      </c>
      <c r="S146">
        <f t="shared" si="82"/>
        <v>9.7999999999999972</v>
      </c>
      <c r="T146">
        <f t="shared" si="73"/>
        <v>49</v>
      </c>
      <c r="U146" s="663">
        <f t="shared" si="64"/>
        <v>0.54934140755953842</v>
      </c>
      <c r="V146" s="918">
        <f t="shared" si="65"/>
        <v>1.0052665235379215</v>
      </c>
      <c r="W146" s="917">
        <f t="shared" si="66"/>
        <v>1707.9759709535933</v>
      </c>
      <c r="X146" s="801"/>
      <c r="Y146">
        <f t="shared" si="83"/>
        <v>9.7999999999999972</v>
      </c>
      <c r="Z146">
        <f t="shared" si="74"/>
        <v>49</v>
      </c>
      <c r="AA146" s="663">
        <f t="shared" si="67"/>
        <v>0.54934140755953842</v>
      </c>
      <c r="AB146" s="471">
        <f t="shared" si="68"/>
        <v>1.1170302844292095</v>
      </c>
      <c r="AC146" s="26">
        <f t="shared" si="75"/>
        <v>1832.604352755694</v>
      </c>
      <c r="AE146">
        <f t="shared" si="84"/>
        <v>9.7999999999999972</v>
      </c>
      <c r="AF146">
        <f t="shared" si="76"/>
        <v>49</v>
      </c>
      <c r="AG146" s="663">
        <f t="shared" si="69"/>
        <v>0.54934140755953842</v>
      </c>
      <c r="AH146" s="471">
        <f t="shared" si="77"/>
        <v>1.2037852544029632</v>
      </c>
      <c r="AI146" s="26">
        <f t="shared" si="78"/>
        <v>1947.5589007729864</v>
      </c>
    </row>
    <row r="147" spans="1:35" x14ac:dyDescent="0.25">
      <c r="A147" s="489"/>
      <c r="H147">
        <f t="shared" si="79"/>
        <v>9.9999999999999964</v>
      </c>
      <c r="I147">
        <f t="shared" si="70"/>
        <v>50</v>
      </c>
      <c r="J147" s="48">
        <f t="shared" si="80"/>
        <v>0.54646344496402177</v>
      </c>
      <c r="K147" s="26">
        <f t="shared" si="71"/>
        <v>1597.3323223138564</v>
      </c>
      <c r="M147">
        <f t="shared" si="81"/>
        <v>9.9999999999999964</v>
      </c>
      <c r="N147">
        <f t="shared" si="72"/>
        <v>50</v>
      </c>
      <c r="O147" s="663">
        <f t="shared" si="61"/>
        <v>0.54646344496402177</v>
      </c>
      <c r="P147" s="471">
        <f t="shared" si="62"/>
        <v>0.83508791942836935</v>
      </c>
      <c r="Q147" s="917">
        <f t="shared" si="85"/>
        <v>1616.6346779553387</v>
      </c>
      <c r="S147" s="52">
        <f t="shared" si="82"/>
        <v>9.9999999999999964</v>
      </c>
      <c r="T147" s="52">
        <f t="shared" si="73"/>
        <v>50</v>
      </c>
      <c r="U147" s="792">
        <f t="shared" si="64"/>
        <v>0.54646344496402177</v>
      </c>
      <c r="V147" s="919">
        <f t="shared" si="65"/>
        <v>1</v>
      </c>
      <c r="W147" s="916">
        <f>F24</f>
        <v>1699.0280000000057</v>
      </c>
      <c r="X147" s="53"/>
      <c r="Y147">
        <f t="shared" si="83"/>
        <v>9.9999999999999964</v>
      </c>
      <c r="Z147">
        <f t="shared" si="74"/>
        <v>50</v>
      </c>
      <c r="AA147" s="663">
        <f t="shared" si="67"/>
        <v>0.54646344496402177</v>
      </c>
      <c r="AB147" s="471">
        <f t="shared" si="68"/>
        <v>1.1111782380835165</v>
      </c>
      <c r="AC147" s="26">
        <f t="shared" si="75"/>
        <v>1823.0034621127647</v>
      </c>
      <c r="AE147">
        <f t="shared" si="84"/>
        <v>9.9999999999999964</v>
      </c>
      <c r="AF147">
        <f t="shared" si="76"/>
        <v>50</v>
      </c>
      <c r="AG147" s="663">
        <f t="shared" si="69"/>
        <v>0.54646344496402177</v>
      </c>
      <c r="AH147" s="471">
        <f t="shared" si="77"/>
        <v>1.1974787046189281</v>
      </c>
      <c r="AI147" s="26">
        <f t="shared" si="78"/>
        <v>1937.355771003668</v>
      </c>
    </row>
    <row r="148" spans="1:35" x14ac:dyDescent="0.25">
      <c r="A148" s="489"/>
      <c r="H148">
        <f t="shared" si="79"/>
        <v>10.199999999999996</v>
      </c>
      <c r="I148">
        <f t="shared" si="70"/>
        <v>51</v>
      </c>
      <c r="J148" s="48">
        <f t="shared" si="80"/>
        <v>0.54365710852969917</v>
      </c>
      <c r="K148" s="26">
        <f t="shared" si="71"/>
        <v>1589.1292998882197</v>
      </c>
      <c r="M148">
        <f t="shared" si="81"/>
        <v>10.199999999999996</v>
      </c>
      <c r="N148">
        <f t="shared" si="72"/>
        <v>51</v>
      </c>
      <c r="O148" s="663">
        <f t="shared" si="61"/>
        <v>0.54365710852969917</v>
      </c>
      <c r="P148" s="471">
        <f t="shared" si="62"/>
        <v>0.83079936604798954</v>
      </c>
      <c r="Q148" s="917">
        <f t="shared" si="85"/>
        <v>1608.3325292214299</v>
      </c>
      <c r="S148">
        <f t="shared" si="82"/>
        <v>10.199999999999996</v>
      </c>
      <c r="T148">
        <f t="shared" si="73"/>
        <v>51</v>
      </c>
      <c r="U148" s="663">
        <f t="shared" si="64"/>
        <v>0.54365710852969917</v>
      </c>
      <c r="V148" s="918">
        <f t="shared" si="65"/>
        <v>0.99486454865337359</v>
      </c>
      <c r="W148" s="917">
        <f t="shared" ref="W148:W197" si="86">V148*$W$147</f>
        <v>1690.3027243694496</v>
      </c>
      <c r="X148" s="801"/>
      <c r="Y148">
        <f t="shared" si="83"/>
        <v>10.199999999999996</v>
      </c>
      <c r="Z148">
        <f t="shared" si="74"/>
        <v>51</v>
      </c>
      <c r="AA148" s="663">
        <f t="shared" si="67"/>
        <v>0.54365710852969917</v>
      </c>
      <c r="AB148" s="471">
        <f t="shared" si="68"/>
        <v>1.1054718363044085</v>
      </c>
      <c r="AC148" s="26">
        <f t="shared" si="75"/>
        <v>1813.6415165283531</v>
      </c>
      <c r="AE148">
        <f t="shared" si="84"/>
        <v>10.199999999999996</v>
      </c>
      <c r="AF148">
        <f t="shared" si="76"/>
        <v>51</v>
      </c>
      <c r="AG148" s="663">
        <f t="shared" si="69"/>
        <v>0.54365710852969917</v>
      </c>
      <c r="AH148" s="471">
        <f t="shared" si="77"/>
        <v>1.1913291109927364</v>
      </c>
      <c r="AI148" s="26">
        <f t="shared" si="78"/>
        <v>1927.4065747005727</v>
      </c>
    </row>
    <row r="149" spans="1:35" x14ac:dyDescent="0.25">
      <c r="A149" s="489"/>
      <c r="H149">
        <f t="shared" si="79"/>
        <v>10.399999999999995</v>
      </c>
      <c r="I149">
        <f t="shared" si="70"/>
        <v>52</v>
      </c>
      <c r="J149" s="48">
        <f t="shared" si="80"/>
        <v>0.54091926272277624</v>
      </c>
      <c r="K149" s="26">
        <f t="shared" si="71"/>
        <v>1581.1264780321349</v>
      </c>
      <c r="M149">
        <f t="shared" si="81"/>
        <v>10.399999999999995</v>
      </c>
      <c r="N149">
        <f t="shared" si="72"/>
        <v>52</v>
      </c>
      <c r="O149" s="663">
        <f t="shared" si="61"/>
        <v>0.54091926272277624</v>
      </c>
      <c r="P149" s="471">
        <f t="shared" si="62"/>
        <v>0.82661547784889966</v>
      </c>
      <c r="Q149" s="917">
        <f t="shared" si="85"/>
        <v>1600.2330003048021</v>
      </c>
      <c r="S149">
        <f t="shared" si="82"/>
        <v>10.399999999999995</v>
      </c>
      <c r="T149">
        <f t="shared" si="73"/>
        <v>52</v>
      </c>
      <c r="U149" s="663">
        <f t="shared" si="64"/>
        <v>0.54091926272277624</v>
      </c>
      <c r="V149" s="918">
        <f t="shared" si="65"/>
        <v>0.98985443163245701</v>
      </c>
      <c r="W149" s="917">
        <f t="shared" si="86"/>
        <v>1681.7903952676359</v>
      </c>
      <c r="X149" s="801"/>
      <c r="Y149">
        <f t="shared" si="83"/>
        <v>10.399999999999995</v>
      </c>
      <c r="Z149">
        <f t="shared" si="74"/>
        <v>52</v>
      </c>
      <c r="AA149" s="663">
        <f t="shared" si="67"/>
        <v>0.54091926272277624</v>
      </c>
      <c r="AB149" s="471">
        <f t="shared" si="68"/>
        <v>1.0999047033005143</v>
      </c>
      <c r="AC149" s="26">
        <f t="shared" si="75"/>
        <v>1804.5080558536322</v>
      </c>
      <c r="AE149">
        <f t="shared" si="84"/>
        <v>10.399999999999995</v>
      </c>
      <c r="AF149">
        <f t="shared" si="76"/>
        <v>52</v>
      </c>
      <c r="AG149" s="663">
        <f t="shared" si="69"/>
        <v>0.54091926272277624</v>
      </c>
      <c r="AH149" s="471">
        <f t="shared" si="77"/>
        <v>1.1853296025525399</v>
      </c>
      <c r="AI149" s="26">
        <f t="shared" si="78"/>
        <v>1917.7001955766962</v>
      </c>
    </row>
    <row r="150" spans="1:35" x14ac:dyDescent="0.25">
      <c r="A150" s="489"/>
      <c r="H150">
        <f t="shared" si="79"/>
        <v>10.599999999999994</v>
      </c>
      <c r="I150">
        <f t="shared" si="70"/>
        <v>53</v>
      </c>
      <c r="J150" s="48">
        <f t="shared" si="80"/>
        <v>0.53824696624926771</v>
      </c>
      <c r="K150" s="26">
        <f t="shared" si="71"/>
        <v>1573.3152592373965</v>
      </c>
      <c r="M150">
        <f t="shared" si="81"/>
        <v>10.599999999999994</v>
      </c>
      <c r="N150">
        <f t="shared" si="72"/>
        <v>53</v>
      </c>
      <c r="O150" s="663">
        <f t="shared" si="61"/>
        <v>0.53824696624926771</v>
      </c>
      <c r="P150" s="471">
        <f t="shared" si="62"/>
        <v>0.82253176003991624</v>
      </c>
      <c r="Q150" s="917">
        <f t="shared" si="85"/>
        <v>1592.3273898039274</v>
      </c>
      <c r="S150">
        <f t="shared" si="82"/>
        <v>10.599999999999994</v>
      </c>
      <c r="T150">
        <f t="shared" si="73"/>
        <v>53</v>
      </c>
      <c r="U150" s="663">
        <f t="shared" si="64"/>
        <v>0.53824696624926771</v>
      </c>
      <c r="V150" s="918">
        <f t="shared" si="65"/>
        <v>0.98496426652052638</v>
      </c>
      <c r="W150" s="917">
        <f t="shared" si="86"/>
        <v>1673.4818678178426</v>
      </c>
      <c r="X150" s="801"/>
      <c r="Y150">
        <f t="shared" si="83"/>
        <v>10.599999999999994</v>
      </c>
      <c r="Z150">
        <f t="shared" si="74"/>
        <v>53</v>
      </c>
      <c r="AA150" s="663">
        <f t="shared" si="67"/>
        <v>0.53824696624926771</v>
      </c>
      <c r="AB150" s="471">
        <f t="shared" si="68"/>
        <v>1.0944708582475016</v>
      </c>
      <c r="AC150" s="26">
        <f t="shared" si="75"/>
        <v>1795.5932679242794</v>
      </c>
      <c r="AE150">
        <f t="shared" si="84"/>
        <v>10.599999999999994</v>
      </c>
      <c r="AF150">
        <f t="shared" si="76"/>
        <v>53</v>
      </c>
      <c r="AG150" s="663">
        <f t="shared" si="69"/>
        <v>0.53824696624926771</v>
      </c>
      <c r="AH150" s="471">
        <f t="shared" si="77"/>
        <v>1.1794737339689325</v>
      </c>
      <c r="AI150" s="26">
        <f t="shared" si="78"/>
        <v>1908.2262059759364</v>
      </c>
    </row>
    <row r="151" spans="1:35" x14ac:dyDescent="0.25">
      <c r="A151" s="489"/>
      <c r="H151">
        <f t="shared" si="79"/>
        <v>10.799999999999994</v>
      </c>
      <c r="I151">
        <f t="shared" si="70"/>
        <v>54</v>
      </c>
      <c r="J151" s="48">
        <f t="shared" si="80"/>
        <v>0.53563745662410389</v>
      </c>
      <c r="K151" s="26">
        <f t="shared" si="71"/>
        <v>1565.6875686606961</v>
      </c>
      <c r="M151">
        <f t="shared" si="81"/>
        <v>10.799999999999994</v>
      </c>
      <c r="N151">
        <f t="shared" si="72"/>
        <v>54</v>
      </c>
      <c r="O151" s="663">
        <f t="shared" si="61"/>
        <v>0.53563745662410389</v>
      </c>
      <c r="P151" s="471">
        <f t="shared" si="62"/>
        <v>0.81854399107990861</v>
      </c>
      <c r="Q151" s="917">
        <f t="shared" si="85"/>
        <v>1584.6075252981218</v>
      </c>
      <c r="S151">
        <f t="shared" si="82"/>
        <v>10.799999999999994</v>
      </c>
      <c r="T151">
        <f t="shared" si="73"/>
        <v>54</v>
      </c>
      <c r="U151" s="663">
        <f t="shared" si="64"/>
        <v>0.53563745662410389</v>
      </c>
      <c r="V151" s="918">
        <f t="shared" si="65"/>
        <v>0.98018899811197679</v>
      </c>
      <c r="W151" s="917">
        <f t="shared" si="86"/>
        <v>1665.3685530842013</v>
      </c>
      <c r="X151" s="801"/>
      <c r="Y151">
        <f t="shared" si="83"/>
        <v>10.799999999999994</v>
      </c>
      <c r="Z151">
        <f t="shared" si="74"/>
        <v>54</v>
      </c>
      <c r="AA151" s="663">
        <f t="shared" si="67"/>
        <v>0.53563745662410389</v>
      </c>
      <c r="AB151" s="471">
        <f t="shared" si="68"/>
        <v>1.0891646839109137</v>
      </c>
      <c r="AC151" s="26">
        <f t="shared" si="75"/>
        <v>1786.8879370829759</v>
      </c>
      <c r="AE151">
        <f t="shared" si="84"/>
        <v>10.799999999999994</v>
      </c>
      <c r="AF151">
        <f t="shared" si="76"/>
        <v>54</v>
      </c>
      <c r="AG151" s="663">
        <f t="shared" si="69"/>
        <v>0.53563745662410389</v>
      </c>
      <c r="AH151" s="471">
        <f t="shared" si="77"/>
        <v>1.173755451740855</v>
      </c>
      <c r="AI151" s="26">
        <f t="shared" si="78"/>
        <v>1898.9748121665418</v>
      </c>
    </row>
    <row r="152" spans="1:35" x14ac:dyDescent="0.25">
      <c r="A152" s="489"/>
      <c r="H152">
        <f t="shared" si="79"/>
        <v>10.999999999999993</v>
      </c>
      <c r="I152">
        <f t="shared" si="70"/>
        <v>55</v>
      </c>
      <c r="J152" s="48">
        <f t="shared" si="80"/>
        <v>0.53308813622618789</v>
      </c>
      <c r="K152" s="26">
        <f t="shared" si="71"/>
        <v>1558.2358133620532</v>
      </c>
      <c r="M152">
        <f t="shared" si="81"/>
        <v>10.999999999999993</v>
      </c>
      <c r="N152">
        <f t="shared" si="72"/>
        <v>55</v>
      </c>
      <c r="O152" s="663">
        <f t="shared" si="61"/>
        <v>0.53308813622618789</v>
      </c>
      <c r="P152" s="471">
        <f t="shared" si="62"/>
        <v>0.81464820136758453</v>
      </c>
      <c r="Q152" s="917">
        <f t="shared" si="85"/>
        <v>1577.0657220934054</v>
      </c>
      <c r="S152">
        <f t="shared" si="82"/>
        <v>10.999999999999993</v>
      </c>
      <c r="T152">
        <f t="shared" si="73"/>
        <v>55</v>
      </c>
      <c r="U152" s="663">
        <f t="shared" si="64"/>
        <v>0.53308813622618789</v>
      </c>
      <c r="V152" s="918">
        <f t="shared" si="65"/>
        <v>0.97552387289379527</v>
      </c>
      <c r="W152" s="917">
        <f t="shared" si="86"/>
        <v>1657.4423747150047</v>
      </c>
      <c r="X152" s="801"/>
      <c r="Y152">
        <f t="shared" si="83"/>
        <v>10.999999999999993</v>
      </c>
      <c r="Z152">
        <f t="shared" si="74"/>
        <v>55</v>
      </c>
      <c r="AA152" s="663">
        <f t="shared" si="67"/>
        <v>0.53308813622618789</v>
      </c>
      <c r="AB152" s="471">
        <f t="shared" si="68"/>
        <v>1.0839808982905359</v>
      </c>
      <c r="AC152" s="26">
        <f t="shared" si="75"/>
        <v>1778.3833976590417</v>
      </c>
      <c r="AE152">
        <f t="shared" si="84"/>
        <v>10.999999999999993</v>
      </c>
      <c r="AF152">
        <f t="shared" si="76"/>
        <v>55</v>
      </c>
      <c r="AG152" s="663">
        <f t="shared" si="69"/>
        <v>0.53308813622618789</v>
      </c>
      <c r="AH152" s="471">
        <f t="shared" si="77"/>
        <v>1.1681690636377018</v>
      </c>
      <c r="AI152" s="26">
        <f t="shared" si="78"/>
        <v>1889.9368049026427</v>
      </c>
    </row>
    <row r="153" spans="1:35" x14ac:dyDescent="0.25">
      <c r="A153" s="489"/>
      <c r="H153">
        <f t="shared" si="79"/>
        <v>11.199999999999992</v>
      </c>
      <c r="I153">
        <f t="shared" si="70"/>
        <v>56</v>
      </c>
      <c r="J153" s="48">
        <f t="shared" si="80"/>
        <v>0.53059655967216657</v>
      </c>
      <c r="K153" s="26">
        <f t="shared" si="71"/>
        <v>1550.952845397893</v>
      </c>
      <c r="M153">
        <f t="shared" si="81"/>
        <v>11.199999999999992</v>
      </c>
      <c r="N153">
        <f t="shared" si="72"/>
        <v>56</v>
      </c>
      <c r="O153" s="663">
        <f t="shared" si="61"/>
        <v>0.53059655967216657</v>
      </c>
      <c r="P153" s="471">
        <f t="shared" si="62"/>
        <v>0.81084065394649196</v>
      </c>
      <c r="Q153" s="917">
        <f t="shared" si="85"/>
        <v>1569.6947458695952</v>
      </c>
      <c r="S153">
        <f t="shared" si="82"/>
        <v>11.199999999999992</v>
      </c>
      <c r="T153">
        <f t="shared" si="73"/>
        <v>56</v>
      </c>
      <c r="U153" s="663">
        <f t="shared" si="64"/>
        <v>0.53059655967216657</v>
      </c>
      <c r="V153" s="918">
        <f t="shared" si="65"/>
        <v>0.9709644159402101</v>
      </c>
      <c r="W153" s="917">
        <f t="shared" si="86"/>
        <v>1649.6957296860687</v>
      </c>
      <c r="X153" s="801"/>
      <c r="Y153">
        <f t="shared" si="83"/>
        <v>11.199999999999992</v>
      </c>
      <c r="Z153">
        <f t="shared" si="74"/>
        <v>56</v>
      </c>
      <c r="AA153" s="663">
        <f t="shared" si="67"/>
        <v>0.53059655967216657</v>
      </c>
      <c r="AB153" s="471">
        <f t="shared" si="68"/>
        <v>1.0789145289462334</v>
      </c>
      <c r="AC153" s="26">
        <f t="shared" si="75"/>
        <v>1770.0714918473018</v>
      </c>
      <c r="AE153">
        <f t="shared" si="84"/>
        <v>11.199999999999992</v>
      </c>
      <c r="AF153">
        <f t="shared" si="76"/>
        <v>56</v>
      </c>
      <c r="AG153" s="663">
        <f t="shared" si="69"/>
        <v>0.53059655967216657</v>
      </c>
      <c r="AH153" s="471">
        <f t="shared" si="77"/>
        <v>1.162709211031157</v>
      </c>
      <c r="AI153" s="26">
        <f t="shared" si="78"/>
        <v>1881.103514660972</v>
      </c>
    </row>
    <row r="154" spans="1:35" x14ac:dyDescent="0.25">
      <c r="A154" s="489"/>
      <c r="H154">
        <f t="shared" si="79"/>
        <v>11.399999999999991</v>
      </c>
      <c r="I154">
        <f t="shared" si="70"/>
        <v>57</v>
      </c>
      <c r="J154" s="48">
        <f t="shared" si="80"/>
        <v>0.52816042236311977</v>
      </c>
      <c r="K154" s="26">
        <f t="shared" si="71"/>
        <v>1543.831928342606</v>
      </c>
      <c r="M154">
        <f t="shared" si="81"/>
        <v>11.399999999999991</v>
      </c>
      <c r="N154">
        <f t="shared" si="72"/>
        <v>57</v>
      </c>
      <c r="O154" s="663">
        <f t="shared" si="61"/>
        <v>0.52816042236311977</v>
      </c>
      <c r="P154" s="471">
        <f t="shared" si="62"/>
        <v>0.80711782700243595</v>
      </c>
      <c r="Q154" s="917">
        <f t="shared" si="85"/>
        <v>1562.4877787973051</v>
      </c>
      <c r="S154">
        <f t="shared" si="82"/>
        <v>11.399999999999991</v>
      </c>
      <c r="T154">
        <f t="shared" si="73"/>
        <v>57</v>
      </c>
      <c r="U154" s="663">
        <f t="shared" si="64"/>
        <v>0.52816042236311977</v>
      </c>
      <c r="V154" s="918">
        <f t="shared" si="65"/>
        <v>0.9665064099537215</v>
      </c>
      <c r="W154" s="917">
        <f t="shared" si="86"/>
        <v>1642.121452690857</v>
      </c>
      <c r="X154" s="801"/>
      <c r="Y154">
        <f t="shared" si="83"/>
        <v>11.399999999999991</v>
      </c>
      <c r="Z154">
        <f t="shared" si="74"/>
        <v>57</v>
      </c>
      <c r="AA154" s="663">
        <f t="shared" si="67"/>
        <v>0.52816042236311977</v>
      </c>
      <c r="AB154" s="471">
        <f t="shared" si="68"/>
        <v>1.0739608897088011</v>
      </c>
      <c r="AC154" s="26">
        <f t="shared" si="75"/>
        <v>1761.9445314998134</v>
      </c>
      <c r="AE154">
        <f t="shared" si="84"/>
        <v>11.399999999999991</v>
      </c>
      <c r="AF154">
        <f t="shared" si="76"/>
        <v>57</v>
      </c>
      <c r="AG154" s="663">
        <f t="shared" si="69"/>
        <v>0.52816042236311977</v>
      </c>
      <c r="AH154" s="471">
        <f t="shared" si="77"/>
        <v>1.1573708437972732</v>
      </c>
      <c r="AI154" s="26">
        <f t="shared" si="78"/>
        <v>1872.4667710358794</v>
      </c>
    </row>
    <row r="155" spans="1:35" x14ac:dyDescent="0.25">
      <c r="A155" s="489"/>
      <c r="H155">
        <f t="shared" si="79"/>
        <v>11.599999999999991</v>
      </c>
      <c r="I155">
        <f t="shared" si="70"/>
        <v>58</v>
      </c>
      <c r="J155" s="48">
        <f t="shared" si="80"/>
        <v>0.52577755007674243</v>
      </c>
      <c r="K155" s="26">
        <f t="shared" si="71"/>
        <v>1536.8667068661227</v>
      </c>
      <c r="M155">
        <f t="shared" si="81"/>
        <v>11.599999999999991</v>
      </c>
      <c r="N155">
        <f t="shared" si="72"/>
        <v>58</v>
      </c>
      <c r="O155" s="663">
        <f t="shared" si="61"/>
        <v>0.52577755007674243</v>
      </c>
      <c r="P155" s="471">
        <f t="shared" si="62"/>
        <v>0.80347639795858583</v>
      </c>
      <c r="Q155" s="917">
        <f t="shared" si="85"/>
        <v>1555.4383887478939</v>
      </c>
      <c r="S155">
        <f t="shared" si="82"/>
        <v>11.599999999999991</v>
      </c>
      <c r="T155">
        <f t="shared" si="73"/>
        <v>58</v>
      </c>
      <c r="U155" s="663">
        <f t="shared" si="64"/>
        <v>0.52577755007674243</v>
      </c>
      <c r="V155" s="918">
        <f t="shared" si="65"/>
        <v>0.96214587621933012</v>
      </c>
      <c r="W155" s="917">
        <f t="shared" si="86"/>
        <v>1634.7127837811815</v>
      </c>
      <c r="X155" s="801"/>
      <c r="Y155">
        <f t="shared" si="83"/>
        <v>11.599999999999991</v>
      </c>
      <c r="Z155">
        <f t="shared" si="74"/>
        <v>58</v>
      </c>
      <c r="AA155" s="663">
        <f t="shared" si="67"/>
        <v>0.52577755007674243</v>
      </c>
      <c r="AB155" s="471">
        <f t="shared" si="68"/>
        <v>1.0691155595167166</v>
      </c>
      <c r="AC155" s="26">
        <f t="shared" si="75"/>
        <v>1753.9952634053586</v>
      </c>
      <c r="AE155">
        <f t="shared" si="84"/>
        <v>11.599999999999991</v>
      </c>
      <c r="AF155">
        <f t="shared" si="76"/>
        <v>58</v>
      </c>
      <c r="AG155" s="663">
        <f t="shared" si="69"/>
        <v>0.52577755007674243</v>
      </c>
      <c r="AH155" s="471">
        <f t="shared" si="77"/>
        <v>1.152149197509567</v>
      </c>
      <c r="AI155" s="26">
        <f t="shared" si="78"/>
        <v>1864.0188658408999</v>
      </c>
    </row>
    <row r="156" spans="1:35" x14ac:dyDescent="0.25">
      <c r="A156" s="489"/>
      <c r="H156">
        <f t="shared" si="79"/>
        <v>11.79999999999999</v>
      </c>
      <c r="I156">
        <f t="shared" si="70"/>
        <v>59</v>
      </c>
      <c r="J156" s="48">
        <f t="shared" si="80"/>
        <v>0.52344588949337545</v>
      </c>
      <c r="K156" s="26">
        <f t="shared" si="71"/>
        <v>1530.0511790411601</v>
      </c>
      <c r="M156">
        <f t="shared" si="81"/>
        <v>11.79999999999999</v>
      </c>
      <c r="N156">
        <f t="shared" si="72"/>
        <v>59</v>
      </c>
      <c r="O156" s="663">
        <f t="shared" si="61"/>
        <v>0.52344588949337545</v>
      </c>
      <c r="P156" s="471">
        <f t="shared" si="62"/>
        <v>0.79991322899765882</v>
      </c>
      <c r="Q156" s="917">
        <f t="shared" si="85"/>
        <v>1548.5405012660683</v>
      </c>
      <c r="S156">
        <f t="shared" si="82"/>
        <v>11.79999999999999</v>
      </c>
      <c r="T156">
        <f t="shared" si="73"/>
        <v>59</v>
      </c>
      <c r="U156" s="663">
        <f t="shared" si="64"/>
        <v>0.52344588949337545</v>
      </c>
      <c r="V156" s="918">
        <f t="shared" si="65"/>
        <v>0.95787905726766087</v>
      </c>
      <c r="W156" s="917">
        <f t="shared" si="86"/>
        <v>1627.4633389113649</v>
      </c>
      <c r="X156" s="801"/>
      <c r="Y156">
        <f t="shared" si="83"/>
        <v>11.79999999999999</v>
      </c>
      <c r="Z156">
        <f t="shared" si="74"/>
        <v>59</v>
      </c>
      <c r="AA156" s="663">
        <f t="shared" si="67"/>
        <v>0.52344588949337545</v>
      </c>
      <c r="AB156" s="471">
        <f t="shared" si="68"/>
        <v>1.0643743631517792</v>
      </c>
      <c r="AC156" s="26">
        <f t="shared" si="75"/>
        <v>1746.2168376842571</v>
      </c>
      <c r="AE156">
        <f t="shared" si="84"/>
        <v>11.79999999999999</v>
      </c>
      <c r="AF156">
        <f t="shared" si="76"/>
        <v>59</v>
      </c>
      <c r="AG156" s="663">
        <f t="shared" si="69"/>
        <v>0.52344588949337545</v>
      </c>
      <c r="AH156" s="471">
        <f t="shared" si="77"/>
        <v>1.1470397726784785</v>
      </c>
      <c r="AI156" s="26">
        <f t="shared" si="78"/>
        <v>1855.7525195210555</v>
      </c>
    </row>
    <row r="157" spans="1:35" x14ac:dyDescent="0.25">
      <c r="A157" s="219"/>
      <c r="H157">
        <f t="shared" si="79"/>
        <v>11.999999999999989</v>
      </c>
      <c r="I157">
        <f t="shared" si="70"/>
        <v>60</v>
      </c>
      <c r="J157" s="48">
        <f t="shared" si="80"/>
        <v>0.52116349955783636</v>
      </c>
      <c r="K157" s="26">
        <f t="shared" si="71"/>
        <v>1523.3796710935417</v>
      </c>
      <c r="M157">
        <f t="shared" si="81"/>
        <v>11.999999999999989</v>
      </c>
      <c r="N157">
        <f t="shared" si="72"/>
        <v>60</v>
      </c>
      <c r="O157" s="663">
        <f t="shared" si="61"/>
        <v>0.52116349955783636</v>
      </c>
      <c r="P157" s="471">
        <f t="shared" si="62"/>
        <v>0.7964253538613465</v>
      </c>
      <c r="Q157" s="917">
        <f t="shared" si="85"/>
        <v>1541.7883740150833</v>
      </c>
      <c r="S157">
        <f t="shared" si="82"/>
        <v>11.999999999999989</v>
      </c>
      <c r="T157">
        <f t="shared" si="73"/>
        <v>60</v>
      </c>
      <c r="U157" s="663">
        <f t="shared" si="64"/>
        <v>0.52116349955783636</v>
      </c>
      <c r="V157" s="918">
        <f t="shared" si="65"/>
        <v>0.95370240106755699</v>
      </c>
      <c r="W157" s="917">
        <f t="shared" si="86"/>
        <v>1620.3670830810147</v>
      </c>
      <c r="X157" s="801"/>
      <c r="Y157">
        <f t="shared" si="83"/>
        <v>11.999999999999989</v>
      </c>
      <c r="Z157">
        <f t="shared" si="74"/>
        <v>60</v>
      </c>
      <c r="AA157" s="663">
        <f t="shared" si="67"/>
        <v>0.52116349955783636</v>
      </c>
      <c r="AB157" s="471">
        <f t="shared" si="68"/>
        <v>1.0597333536742672</v>
      </c>
      <c r="AC157" s="26">
        <f t="shared" si="75"/>
        <v>1738.602778971413</v>
      </c>
      <c r="AE157">
        <f t="shared" si="84"/>
        <v>11.999999999999989</v>
      </c>
      <c r="AF157">
        <f t="shared" si="76"/>
        <v>60</v>
      </c>
      <c r="AG157" s="663">
        <f t="shared" si="69"/>
        <v>0.52116349955783636</v>
      </c>
      <c r="AH157" s="471">
        <f t="shared" si="77"/>
        <v>1.1420383158223395</v>
      </c>
      <c r="AI157" s="26">
        <f t="shared" si="78"/>
        <v>1847.6608505282861</v>
      </c>
    </row>
    <row r="158" spans="1:35" x14ac:dyDescent="0.25">
      <c r="A158" s="219"/>
      <c r="H158">
        <f t="shared" si="79"/>
        <v>12.199999999999989</v>
      </c>
      <c r="I158">
        <f t="shared" si="70"/>
        <v>61</v>
      </c>
      <c r="J158" s="48">
        <f t="shared" si="80"/>
        <v>0.51892854359074347</v>
      </c>
      <c r="K158" s="26">
        <f t="shared" si="71"/>
        <v>1516.8468143433145</v>
      </c>
      <c r="M158">
        <f t="shared" si="81"/>
        <v>12.199999999999989</v>
      </c>
      <c r="N158">
        <f t="shared" si="72"/>
        <v>61</v>
      </c>
      <c r="O158" s="663">
        <f t="shared" si="61"/>
        <v>0.51892854359074347</v>
      </c>
      <c r="P158" s="471">
        <f t="shared" si="62"/>
        <v>0.79300996579509342</v>
      </c>
      <c r="Q158" s="917">
        <f t="shared" si="85"/>
        <v>1535.1765734392122</v>
      </c>
      <c r="S158">
        <f t="shared" si="82"/>
        <v>12.199999999999989</v>
      </c>
      <c r="T158">
        <f t="shared" si="73"/>
        <v>61</v>
      </c>
      <c r="U158" s="663">
        <f t="shared" si="64"/>
        <v>0.51892854359074347</v>
      </c>
      <c r="V158" s="918">
        <f t="shared" si="65"/>
        <v>0.94961254659020944</v>
      </c>
      <c r="W158" s="917">
        <f t="shared" si="86"/>
        <v>1613.4183058080757</v>
      </c>
      <c r="X158" s="801"/>
      <c r="Y158">
        <f t="shared" si="83"/>
        <v>12.199999999999989</v>
      </c>
      <c r="Z158">
        <f t="shared" si="74"/>
        <v>61</v>
      </c>
      <c r="AA158" s="663">
        <f t="shared" si="67"/>
        <v>0.51892854359074347</v>
      </c>
      <c r="AB158" s="471">
        <f t="shared" si="68"/>
        <v>1.0551887963821101</v>
      </c>
      <c r="AC158" s="26">
        <f t="shared" si="75"/>
        <v>1731.1469600996707</v>
      </c>
      <c r="AE158">
        <f t="shared" si="84"/>
        <v>12.199999999999989</v>
      </c>
      <c r="AF158">
        <f t="shared" si="76"/>
        <v>61</v>
      </c>
      <c r="AG158" s="663">
        <f t="shared" si="69"/>
        <v>0.51892854359074347</v>
      </c>
      <c r="AH158" s="471">
        <f t="shared" si="77"/>
        <v>1.1371408021807254</v>
      </c>
      <c r="AI158" s="26">
        <f t="shared" si="78"/>
        <v>1839.7373473540315</v>
      </c>
    </row>
    <row r="159" spans="1:35" x14ac:dyDescent="0.25">
      <c r="A159" s="219"/>
      <c r="H159">
        <f t="shared" si="79"/>
        <v>12.399999999999988</v>
      </c>
      <c r="I159">
        <f t="shared" si="70"/>
        <v>62</v>
      </c>
      <c r="J159" s="48">
        <f t="shared" si="80"/>
        <v>0.51673928207319408</v>
      </c>
      <c r="K159" s="26">
        <f t="shared" si="71"/>
        <v>1510.4475241141029</v>
      </c>
      <c r="M159">
        <f t="shared" si="81"/>
        <v>12.399999999999988</v>
      </c>
      <c r="N159">
        <f t="shared" si="72"/>
        <v>62</v>
      </c>
      <c r="O159" s="663">
        <f t="shared" si="61"/>
        <v>0.51673928207319408</v>
      </c>
      <c r="P159" s="471">
        <f t="shared" si="62"/>
        <v>0.78966440652187386</v>
      </c>
      <c r="Q159" s="917">
        <f t="shared" si="85"/>
        <v>1528.6999534182401</v>
      </c>
      <c r="S159">
        <f t="shared" si="82"/>
        <v>12.399999999999988</v>
      </c>
      <c r="T159">
        <f t="shared" si="73"/>
        <v>62</v>
      </c>
      <c r="U159" s="663">
        <f t="shared" si="64"/>
        <v>0.51673928207319408</v>
      </c>
      <c r="V159" s="918">
        <f t="shared" si="65"/>
        <v>0.94560631060548861</v>
      </c>
      <c r="W159" s="917">
        <f t="shared" si="86"/>
        <v>1606.6115986954276</v>
      </c>
      <c r="X159" s="801"/>
      <c r="Y159">
        <f t="shared" si="83"/>
        <v>12.399999999999988</v>
      </c>
      <c r="Z159">
        <f t="shared" si="74"/>
        <v>62</v>
      </c>
      <c r="AA159" s="663">
        <f t="shared" si="67"/>
        <v>0.51673928207319408</v>
      </c>
      <c r="AB159" s="471">
        <f t="shared" si="68"/>
        <v>1.0507371541392612</v>
      </c>
      <c r="AC159" s="26">
        <f t="shared" si="75"/>
        <v>1723.843578029484</v>
      </c>
      <c r="AE159">
        <f t="shared" si="84"/>
        <v>12.399999999999988</v>
      </c>
      <c r="AF159">
        <f t="shared" si="76"/>
        <v>62</v>
      </c>
      <c r="AG159" s="663">
        <f t="shared" si="69"/>
        <v>0.51673928207319408</v>
      </c>
      <c r="AH159" s="471">
        <f t="shared" si="77"/>
        <v>1.1323434199033442</v>
      </c>
      <c r="AI159" s="26">
        <f t="shared" si="78"/>
        <v>1831.97584294903</v>
      </c>
    </row>
    <row r="160" spans="1:35" x14ac:dyDescent="0.25">
      <c r="A160" s="219"/>
      <c r="H160">
        <f t="shared" si="79"/>
        <v>12.599999999999987</v>
      </c>
      <c r="I160">
        <f t="shared" si="70"/>
        <v>63</v>
      </c>
      <c r="J160" s="48">
        <f t="shared" si="80"/>
        <v>0.51459406603748681</v>
      </c>
      <c r="K160" s="26">
        <f t="shared" si="71"/>
        <v>1504.1769804139533</v>
      </c>
      <c r="M160">
        <f t="shared" si="81"/>
        <v>12.599999999999987</v>
      </c>
      <c r="N160">
        <f t="shared" si="72"/>
        <v>63</v>
      </c>
      <c r="O160" s="663">
        <f t="shared" si="61"/>
        <v>0.51459406603748681</v>
      </c>
      <c r="P160" s="471">
        <f t="shared" si="62"/>
        <v>0.78638615614210494</v>
      </c>
      <c r="Q160" s="917">
        <f t="shared" si="85"/>
        <v>1522.3536357148507</v>
      </c>
      <c r="S160">
        <f t="shared" si="82"/>
        <v>12.599999999999987</v>
      </c>
      <c r="T160">
        <f t="shared" si="73"/>
        <v>63</v>
      </c>
      <c r="U160" s="663">
        <f t="shared" si="64"/>
        <v>0.51459406603748681</v>
      </c>
      <c r="V160" s="918">
        <f t="shared" si="65"/>
        <v>0.94168067558730628</v>
      </c>
      <c r="W160" s="917">
        <f t="shared" si="86"/>
        <v>1599.9418348817551</v>
      </c>
      <c r="X160" s="801"/>
      <c r="Y160">
        <f t="shared" si="83"/>
        <v>12.599999999999987</v>
      </c>
      <c r="Z160">
        <f t="shared" si="74"/>
        <v>63</v>
      </c>
      <c r="AA160" s="663">
        <f t="shared" si="67"/>
        <v>0.51459406603748681</v>
      </c>
      <c r="AB160" s="471">
        <f t="shared" si="68"/>
        <v>1.0463750739363986</v>
      </c>
      <c r="AC160" s="26">
        <f t="shared" si="75"/>
        <v>1716.6871318003468</v>
      </c>
      <c r="AE160">
        <f t="shared" si="84"/>
        <v>12.599999999999987</v>
      </c>
      <c r="AF160">
        <f t="shared" si="76"/>
        <v>63</v>
      </c>
      <c r="AG160" s="663">
        <f t="shared" si="69"/>
        <v>0.51459406603748681</v>
      </c>
      <c r="AH160" s="471">
        <f t="shared" si="77"/>
        <v>1.1276425555669647</v>
      </c>
      <c r="AI160" s="26">
        <f t="shared" si="78"/>
        <v>1824.3704912917008</v>
      </c>
    </row>
    <row r="161" spans="1:35" x14ac:dyDescent="0.25">
      <c r="A161" s="219"/>
      <c r="H161">
        <f t="shared" si="79"/>
        <v>12.799999999999986</v>
      </c>
      <c r="I161">
        <f t="shared" si="70"/>
        <v>64</v>
      </c>
      <c r="J161" s="48">
        <f t="shared" si="80"/>
        <v>0.51249133100425537</v>
      </c>
      <c r="K161" s="26">
        <f t="shared" si="71"/>
        <v>1498.0306102133566</v>
      </c>
      <c r="M161">
        <f t="shared" si="81"/>
        <v>12.799999999999986</v>
      </c>
      <c r="N161">
        <f t="shared" si="72"/>
        <v>64</v>
      </c>
      <c r="O161" s="663">
        <f t="shared" si="61"/>
        <v>0.51249133100425537</v>
      </c>
      <c r="P161" s="471">
        <f t="shared" si="62"/>
        <v>0.78317282386856923</v>
      </c>
      <c r="Q161" s="917">
        <f t="shared" si="85"/>
        <v>1516.1329920384978</v>
      </c>
      <c r="S161">
        <f t="shared" si="82"/>
        <v>12.799999999999986</v>
      </c>
      <c r="T161">
        <f t="shared" si="73"/>
        <v>64</v>
      </c>
      <c r="U161" s="663">
        <f t="shared" si="64"/>
        <v>0.51249133100425537</v>
      </c>
      <c r="V161" s="918">
        <f t="shared" si="65"/>
        <v>0.93783277861888259</v>
      </c>
      <c r="W161" s="917">
        <f t="shared" si="86"/>
        <v>1593.4041501912882</v>
      </c>
      <c r="X161" s="801"/>
      <c r="Y161">
        <f t="shared" si="83"/>
        <v>12.799999999999986</v>
      </c>
      <c r="Z161">
        <f t="shared" si="74"/>
        <v>64</v>
      </c>
      <c r="AA161" s="663">
        <f t="shared" si="67"/>
        <v>0.51249133100425537</v>
      </c>
      <c r="AB161" s="471">
        <f t="shared" si="68"/>
        <v>1.0420993745626985</v>
      </c>
      <c r="AC161" s="26">
        <f t="shared" si="75"/>
        <v>1709.6724023050569</v>
      </c>
      <c r="AE161">
        <f t="shared" si="84"/>
        <v>12.799999999999986</v>
      </c>
      <c r="AF161">
        <f t="shared" si="76"/>
        <v>64</v>
      </c>
      <c r="AG161" s="663">
        <f t="shared" si="69"/>
        <v>0.51249133100425537</v>
      </c>
      <c r="AH161" s="471">
        <f t="shared" si="77"/>
        <v>1.1230347808897094</v>
      </c>
      <c r="AI161" s="26">
        <f t="shared" si="78"/>
        <v>1816.9157458936975</v>
      </c>
    </row>
    <row r="162" spans="1:35" x14ac:dyDescent="0.25">
      <c r="H162">
        <f t="shared" si="79"/>
        <v>12.999999999999986</v>
      </c>
      <c r="I162">
        <f t="shared" si="70"/>
        <v>65</v>
      </c>
      <c r="J162" s="48">
        <f t="shared" si="80"/>
        <v>0.51042959141308664</v>
      </c>
      <c r="K162" s="26">
        <f t="shared" si="71"/>
        <v>1492.004071165745</v>
      </c>
      <c r="M162">
        <f t="shared" si="81"/>
        <v>12.999999999999986</v>
      </c>
      <c r="N162">
        <f t="shared" si="72"/>
        <v>65</v>
      </c>
      <c r="O162" s="663">
        <f t="shared" si="61"/>
        <v>0.51042959141308664</v>
      </c>
      <c r="P162" s="471">
        <f t="shared" si="62"/>
        <v>0.78002213951546384</v>
      </c>
      <c r="Q162" s="917">
        <f t="shared" si="85"/>
        <v>1510.0336275691757</v>
      </c>
      <c r="S162">
        <f t="shared" si="82"/>
        <v>12.999999999999986</v>
      </c>
      <c r="T162">
        <f t="shared" si="73"/>
        <v>65</v>
      </c>
      <c r="U162" s="663">
        <f t="shared" si="64"/>
        <v>0.51042959141308664</v>
      </c>
      <c r="V162" s="918">
        <f t="shared" si="65"/>
        <v>0.93405990120106286</v>
      </c>
      <c r="W162" s="917">
        <f t="shared" si="86"/>
        <v>1586.9939258178447</v>
      </c>
      <c r="X162" s="801"/>
      <c r="Y162">
        <f t="shared" si="83"/>
        <v>12.999999999999986</v>
      </c>
      <c r="Z162">
        <f t="shared" si="74"/>
        <v>65</v>
      </c>
      <c r="AA162" s="663">
        <f t="shared" si="67"/>
        <v>0.51042959141308664</v>
      </c>
      <c r="AB162" s="471">
        <f t="shared" si="68"/>
        <v>1.0379070352810607</v>
      </c>
      <c r="AC162" s="26">
        <f t="shared" si="75"/>
        <v>1702.7944337102449</v>
      </c>
      <c r="AE162">
        <f t="shared" si="84"/>
        <v>12.999999999999986</v>
      </c>
      <c r="AF162">
        <f t="shared" si="76"/>
        <v>65</v>
      </c>
      <c r="AG162" s="663">
        <f t="shared" si="69"/>
        <v>0.51042959141308664</v>
      </c>
      <c r="AH162" s="471">
        <f t="shared" si="77"/>
        <v>1.1185168405267327</v>
      </c>
      <c r="AI162" s="26">
        <f t="shared" si="78"/>
        <v>1809.6063400549949</v>
      </c>
    </row>
    <row r="163" spans="1:35" x14ac:dyDescent="0.25">
      <c r="H163">
        <f t="shared" si="79"/>
        <v>13.199999999999985</v>
      </c>
      <c r="I163">
        <f t="shared" si="70"/>
        <v>66</v>
      </c>
      <c r="J163" s="48">
        <f t="shared" si="80"/>
        <v>0.50840743549954415</v>
      </c>
      <c r="K163" s="26">
        <f t="shared" si="71"/>
        <v>1486.0932366328475</v>
      </c>
      <c r="M163">
        <f t="shared" si="81"/>
        <v>13.199999999999985</v>
      </c>
      <c r="N163">
        <f t="shared" si="72"/>
        <v>66</v>
      </c>
      <c r="O163" s="663">
        <f t="shared" si="61"/>
        <v>0.50840743549954415</v>
      </c>
      <c r="P163" s="471">
        <f t="shared" si="62"/>
        <v>0.77693194566963186</v>
      </c>
      <c r="Q163" s="917">
        <f t="shared" si="85"/>
        <v>1504.051365801821</v>
      </c>
      <c r="S163">
        <f t="shared" si="82"/>
        <v>13.199999999999985</v>
      </c>
      <c r="T163">
        <f t="shared" si="73"/>
        <v>66</v>
      </c>
      <c r="U163" s="663">
        <f t="shared" si="64"/>
        <v>0.50840743549954415</v>
      </c>
      <c r="V163" s="918">
        <f t="shared" si="65"/>
        <v>0.93035945987753454</v>
      </c>
      <c r="W163" s="917">
        <f t="shared" si="86"/>
        <v>1580.706772396813</v>
      </c>
      <c r="X163" s="801"/>
      <c r="Y163">
        <f t="shared" si="83"/>
        <v>13.199999999999985</v>
      </c>
      <c r="Z163">
        <f t="shared" si="74"/>
        <v>66</v>
      </c>
      <c r="AA163" s="663">
        <f t="shared" si="67"/>
        <v>0.50840743549954415</v>
      </c>
      <c r="AB163" s="471">
        <f t="shared" si="68"/>
        <v>1.033795185411051</v>
      </c>
      <c r="AC163" s="26">
        <f t="shared" si="75"/>
        <v>1696.0485163661074</v>
      </c>
      <c r="AE163">
        <f t="shared" si="84"/>
        <v>13.199999999999985</v>
      </c>
      <c r="AF163">
        <f t="shared" si="76"/>
        <v>66</v>
      </c>
      <c r="AG163" s="663">
        <f t="shared" si="69"/>
        <v>0.50840743549954415</v>
      </c>
      <c r="AH163" s="471">
        <f t="shared" si="77"/>
        <v>1.1140856408441158</v>
      </c>
      <c r="AI163" s="26">
        <f t="shared" si="78"/>
        <v>1802.4372687015971</v>
      </c>
    </row>
    <row r="164" spans="1:35" x14ac:dyDescent="0.25">
      <c r="H164">
        <f t="shared" si="79"/>
        <v>13.399999999999984</v>
      </c>
      <c r="I164">
        <f t="shared" si="70"/>
        <v>67</v>
      </c>
      <c r="J164" s="48">
        <f t="shared" si="80"/>
        <v>0.50642352057665363</v>
      </c>
      <c r="K164" s="26">
        <f t="shared" si="71"/>
        <v>1480.2941818923011</v>
      </c>
      <c r="M164">
        <f t="shared" si="81"/>
        <v>13.399999999999984</v>
      </c>
      <c r="N164">
        <f t="shared" si="72"/>
        <v>67</v>
      </c>
      <c r="O164" s="663">
        <f t="shared" si="61"/>
        <v>0.50642352057665363</v>
      </c>
      <c r="P164" s="471">
        <f t="shared" si="62"/>
        <v>0.77390019047987968</v>
      </c>
      <c r="Q164" s="917">
        <f t="shared" si="85"/>
        <v>1498.1822345872545</v>
      </c>
      <c r="S164">
        <f t="shared" si="82"/>
        <v>13.399999999999984</v>
      </c>
      <c r="T164">
        <f t="shared" si="73"/>
        <v>67</v>
      </c>
      <c r="U164" s="663">
        <f t="shared" si="64"/>
        <v>0.50642352057665363</v>
      </c>
      <c r="V164" s="918">
        <f t="shared" si="65"/>
        <v>0.92672899760018845</v>
      </c>
      <c r="W164" s="917">
        <f t="shared" si="86"/>
        <v>1574.5385153346583</v>
      </c>
      <c r="X164" s="801"/>
      <c r="Y164">
        <f t="shared" si="83"/>
        <v>13.399999999999984</v>
      </c>
      <c r="Z164">
        <f t="shared" si="74"/>
        <v>67</v>
      </c>
      <c r="AA164" s="663">
        <f t="shared" si="67"/>
        <v>0.50642352057665363</v>
      </c>
      <c r="AB164" s="471">
        <f t="shared" si="68"/>
        <v>1.0297610947342808</v>
      </c>
      <c r="AC164" s="26">
        <f t="shared" si="75"/>
        <v>1689.4301710654356</v>
      </c>
      <c r="AE164">
        <f t="shared" si="84"/>
        <v>13.399999999999984</v>
      </c>
      <c r="AF164">
        <f t="shared" si="76"/>
        <v>67</v>
      </c>
      <c r="AG164" s="663">
        <f t="shared" si="69"/>
        <v>0.50642352057665363</v>
      </c>
      <c r="AH164" s="471">
        <f t="shared" si="77"/>
        <v>1.1097382395790714</v>
      </c>
      <c r="AI164" s="26">
        <f t="shared" si="78"/>
        <v>1795.4037716571693</v>
      </c>
    </row>
    <row r="165" spans="1:35" x14ac:dyDescent="0.25">
      <c r="A165" s="219"/>
      <c r="H165">
        <f t="shared" si="79"/>
        <v>13.599999999999984</v>
      </c>
      <c r="I165">
        <f t="shared" si="70"/>
        <v>68</v>
      </c>
      <c r="J165" s="48">
        <f t="shared" si="80"/>
        <v>0.50447656868340907</v>
      </c>
      <c r="K165" s="26">
        <f t="shared" si="71"/>
        <v>1474.6031714180792</v>
      </c>
      <c r="M165">
        <f t="shared" si="81"/>
        <v>13.599999999999984</v>
      </c>
      <c r="N165">
        <f t="shared" si="72"/>
        <v>68</v>
      </c>
      <c r="O165" s="663">
        <f t="shared" si="61"/>
        <v>0.50447656868340907</v>
      </c>
      <c r="P165" s="471">
        <f t="shared" si="62"/>
        <v>0.77092492100716359</v>
      </c>
      <c r="Q165" s="917">
        <f t="shared" si="85"/>
        <v>1492.4224532589037</v>
      </c>
      <c r="S165">
        <f t="shared" si="82"/>
        <v>13.599999999999984</v>
      </c>
      <c r="T165">
        <f t="shared" si="73"/>
        <v>68</v>
      </c>
      <c r="U165" s="663">
        <f t="shared" si="64"/>
        <v>0.50447656868340907</v>
      </c>
      <c r="V165" s="918">
        <f t="shared" si="65"/>
        <v>0.92316617576610815</v>
      </c>
      <c r="W165" s="917">
        <f t="shared" si="86"/>
        <v>1568.4851812795446</v>
      </c>
      <c r="X165" s="801"/>
      <c r="Y165">
        <f t="shared" si="83"/>
        <v>13.599999999999984</v>
      </c>
      <c r="Z165">
        <f t="shared" si="74"/>
        <v>68</v>
      </c>
      <c r="AA165" s="663">
        <f t="shared" si="67"/>
        <v>0.50447656868340907</v>
      </c>
      <c r="AB165" s="471">
        <f t="shared" si="68"/>
        <v>1.025802164646082</v>
      </c>
      <c r="AC165" s="26">
        <f t="shared" si="75"/>
        <v>1682.9351345270163</v>
      </c>
      <c r="AE165">
        <f t="shared" si="84"/>
        <v>13.599999999999984</v>
      </c>
      <c r="AF165">
        <f t="shared" si="76"/>
        <v>68</v>
      </c>
      <c r="AG165" s="663">
        <f t="shared" si="69"/>
        <v>0.50447656868340907</v>
      </c>
      <c r="AH165" s="471">
        <f t="shared" si="77"/>
        <v>1.1054718363044087</v>
      </c>
      <c r="AI165" s="26">
        <f t="shared" si="78"/>
        <v>1788.5013182158557</v>
      </c>
    </row>
    <row r="166" spans="1:35" x14ac:dyDescent="0.25">
      <c r="A166" s="219"/>
      <c r="H166">
        <f t="shared" si="79"/>
        <v>13.799999999999983</v>
      </c>
      <c r="I166">
        <f t="shared" si="70"/>
        <v>69</v>
      </c>
      <c r="J166" s="48">
        <f t="shared" si="80"/>
        <v>0.50256536256681839</v>
      </c>
      <c r="K166" s="26">
        <f t="shared" si="71"/>
        <v>1469.0166471358643</v>
      </c>
      <c r="M166">
        <f t="shared" si="81"/>
        <v>13.799999999999983</v>
      </c>
      <c r="N166">
        <f t="shared" si="72"/>
        <v>69</v>
      </c>
      <c r="O166" s="663">
        <f t="shared" ref="O166:O197" si="87" xml:space="preserve"> $D$2*(M166^$D$3)</f>
        <v>0.50256536256681839</v>
      </c>
      <c r="P166" s="471">
        <f t="shared" ref="P166:P197" si="88">O166/$O$122</f>
        <v>0.76800427708448071</v>
      </c>
      <c r="Q166" s="917">
        <f t="shared" si="85"/>
        <v>1486.7684207462546</v>
      </c>
      <c r="S166">
        <f t="shared" si="82"/>
        <v>13.799999999999983</v>
      </c>
      <c r="T166">
        <f t="shared" si="73"/>
        <v>69</v>
      </c>
      <c r="U166" s="663">
        <f t="shared" ref="U166:U197" si="89" xml:space="preserve"> $D$2*(S166^$D$3)</f>
        <v>0.50256536256681839</v>
      </c>
      <c r="V166" s="918">
        <f t="shared" ref="V166:V197" si="90">U166/$U$147</f>
        <v>0.91966876686492072</v>
      </c>
      <c r="W166" s="917">
        <f t="shared" si="86"/>
        <v>1562.5429856289777</v>
      </c>
      <c r="X166" s="801"/>
      <c r="Y166">
        <f t="shared" si="83"/>
        <v>13.799999999999983</v>
      </c>
      <c r="Z166">
        <f t="shared" si="74"/>
        <v>69</v>
      </c>
      <c r="AA166" s="663">
        <f t="shared" ref="AA166:AA197" si="91" xml:space="preserve"> $D$2*(Y166^$D$3)</f>
        <v>0.50256536256681839</v>
      </c>
      <c r="AB166" s="471">
        <f t="shared" ref="AB166:AB197" si="92">AA166/$AA$172</f>
        <v>1.0219159199854029</v>
      </c>
      <c r="AC166" s="26">
        <f t="shared" si="75"/>
        <v>1676.5593459917275</v>
      </c>
      <c r="AE166">
        <f t="shared" si="84"/>
        <v>13.799999999999983</v>
      </c>
      <c r="AF166">
        <f t="shared" si="76"/>
        <v>69</v>
      </c>
      <c r="AG166" s="663">
        <f t="shared" ref="AG166:AG197" si="93" xml:space="preserve"> $D$2*(AE166^$D$3)</f>
        <v>0.50256536256681839</v>
      </c>
      <c r="AH166" s="471">
        <f t="shared" si="77"/>
        <v>1.1012837636238924</v>
      </c>
      <c r="AI166" s="26">
        <f t="shared" si="78"/>
        <v>1781.7255928975812</v>
      </c>
    </row>
    <row r="167" spans="1:35" x14ac:dyDescent="0.25">
      <c r="A167" s="219"/>
      <c r="H167">
        <f t="shared" si="79"/>
        <v>13.999999999999982</v>
      </c>
      <c r="I167">
        <f t="shared" ref="I167:I172" si="94">1+I166</f>
        <v>70</v>
      </c>
      <c r="J167" s="48">
        <f t="shared" si="80"/>
        <v>0.50068874196749813</v>
      </c>
      <c r="K167" s="26">
        <f t="shared" ref="K167:K197" si="95">J167*$K$102</f>
        <v>1463.5312175657098</v>
      </c>
      <c r="M167">
        <f t="shared" si="81"/>
        <v>13.999999999999982</v>
      </c>
      <c r="N167">
        <f t="shared" ref="N167:N172" si="96">1+N166</f>
        <v>70</v>
      </c>
      <c r="O167" s="663">
        <f t="shared" si="87"/>
        <v>0.50068874196749813</v>
      </c>
      <c r="P167" s="471">
        <f t="shared" si="88"/>
        <v>0.76513648564063408</v>
      </c>
      <c r="Q167" s="917">
        <f t="shared" si="85"/>
        <v>1481.2167045863087</v>
      </c>
      <c r="S167">
        <f t="shared" si="82"/>
        <v>13.999999999999982</v>
      </c>
      <c r="T167">
        <f t="shared" ref="T167:T172" si="97">1+T166</f>
        <v>70</v>
      </c>
      <c r="U167" s="663">
        <f t="shared" si="89"/>
        <v>0.50068874196749813</v>
      </c>
      <c r="V167" s="918">
        <f t="shared" si="90"/>
        <v>0.91623464768162599</v>
      </c>
      <c r="W167" s="917">
        <f t="shared" si="86"/>
        <v>1556.7083209812229</v>
      </c>
      <c r="X167" s="801"/>
      <c r="Y167">
        <f t="shared" si="83"/>
        <v>13.999999999999982</v>
      </c>
      <c r="Z167">
        <f t="shared" ref="Z167:Z172" si="98">1+Z166</f>
        <v>70</v>
      </c>
      <c r="AA167" s="663">
        <f t="shared" si="91"/>
        <v>0.50068874196749813</v>
      </c>
      <c r="AB167" s="471">
        <f t="shared" si="92"/>
        <v>1.0181000014819408</v>
      </c>
      <c r="AC167" s="26">
        <f t="shared" ref="AC167:AC197" si="99">AB167*$AC$172</f>
        <v>1670.2989348312738</v>
      </c>
      <c r="AE167">
        <f t="shared" si="84"/>
        <v>13.999999999999982</v>
      </c>
      <c r="AF167">
        <f t="shared" ref="AF167:AF172" si="100">1+AF166</f>
        <v>70</v>
      </c>
      <c r="AG167" s="663">
        <f t="shared" si="93"/>
        <v>0.50068874196749813</v>
      </c>
      <c r="AH167" s="471">
        <f t="shared" ref="AH167:AH197" si="101">AG167/$AG$197</f>
        <v>1.0971714790327736</v>
      </c>
      <c r="AI167" s="26">
        <f t="shared" ref="AI167:AI196" si="102">AH167*$AI$197</f>
        <v>1775.0724822795107</v>
      </c>
    </row>
    <row r="168" spans="1:35" x14ac:dyDescent="0.25">
      <c r="A168" s="219"/>
      <c r="H168">
        <f t="shared" ref="H168:H197" si="103">H167+0.2</f>
        <v>14.199999999999982</v>
      </c>
      <c r="I168">
        <f t="shared" si="94"/>
        <v>71</v>
      </c>
      <c r="J168" s="48">
        <f t="shared" ref="J168:J197" si="104" xml:space="preserve"> 0.9944*(H168^-0.26)</f>
        <v>0.49884560018191304</v>
      </c>
      <c r="K168" s="26">
        <f t="shared" si="95"/>
        <v>1458.1436477733403</v>
      </c>
      <c r="M168">
        <f t="shared" ref="M168:M197" si="105">M167+0.2</f>
        <v>14.199999999999982</v>
      </c>
      <c r="N168">
        <f t="shared" si="96"/>
        <v>71</v>
      </c>
      <c r="O168" s="663">
        <f t="shared" si="87"/>
        <v>0.49884560018191304</v>
      </c>
      <c r="P168" s="471">
        <f t="shared" si="88"/>
        <v>0.76231985544675707</v>
      </c>
      <c r="Q168" s="917">
        <f t="shared" si="85"/>
        <v>1475.7640307534568</v>
      </c>
      <c r="S168">
        <f t="shared" ref="S168:S197" si="106">S167+0.2</f>
        <v>14.199999999999982</v>
      </c>
      <c r="T168">
        <f t="shared" si="97"/>
        <v>71</v>
      </c>
      <c r="U168" s="663">
        <f t="shared" si="89"/>
        <v>0.49884560018191304</v>
      </c>
      <c r="V168" s="918">
        <f t="shared" si="90"/>
        <v>0.91286179300567161</v>
      </c>
      <c r="W168" s="917">
        <f t="shared" si="86"/>
        <v>1550.9777464468455</v>
      </c>
      <c r="X168" s="801"/>
      <c r="Y168">
        <f t="shared" ref="Y168:Y197" si="107">Y167+0.2</f>
        <v>14.199999999999982</v>
      </c>
      <c r="Z168">
        <f t="shared" si="98"/>
        <v>71</v>
      </c>
      <c r="AA168" s="663">
        <f t="shared" si="91"/>
        <v>0.49884560018191304</v>
      </c>
      <c r="AB168" s="471">
        <f t="shared" si="92"/>
        <v>1.014352158765802</v>
      </c>
      <c r="AC168" s="26">
        <f t="shared" si="99"/>
        <v>1664.1502090798056</v>
      </c>
      <c r="AE168">
        <f t="shared" ref="AE168:AE197" si="108">AE167+0.2</f>
        <v>14.199999999999982</v>
      </c>
      <c r="AF168">
        <f t="shared" si="100"/>
        <v>71</v>
      </c>
      <c r="AG168" s="663">
        <f t="shared" si="93"/>
        <v>0.49884560018191304</v>
      </c>
      <c r="AH168" s="471">
        <f t="shared" si="101"/>
        <v>1.0931325573845436</v>
      </c>
      <c r="AI168" s="26">
        <f t="shared" si="102"/>
        <v>1768.5380628082935</v>
      </c>
    </row>
    <row r="169" spans="1:35" x14ac:dyDescent="0.25">
      <c r="A169" s="219"/>
      <c r="H169">
        <f t="shared" si="103"/>
        <v>14.399999999999981</v>
      </c>
      <c r="I169">
        <f t="shared" si="94"/>
        <v>72</v>
      </c>
      <c r="J169" s="48">
        <f t="shared" si="104"/>
        <v>0.49703488087707914</v>
      </c>
      <c r="K169" s="26">
        <f t="shared" si="95"/>
        <v>1452.8508500594157</v>
      </c>
      <c r="M169">
        <f t="shared" si="105"/>
        <v>14.399999999999981</v>
      </c>
      <c r="N169">
        <f t="shared" si="96"/>
        <v>72</v>
      </c>
      <c r="O169" s="663">
        <f t="shared" si="87"/>
        <v>0.49703488087707914</v>
      </c>
      <c r="P169" s="471">
        <f t="shared" si="88"/>
        <v>0.7595527722486447</v>
      </c>
      <c r="Q169" s="917">
        <f t="shared" si="85"/>
        <v>1470.4072742362291</v>
      </c>
      <c r="S169">
        <f t="shared" si="106"/>
        <v>14.399999999999981</v>
      </c>
      <c r="T169">
        <f t="shared" si="97"/>
        <v>72</v>
      </c>
      <c r="U169" s="663">
        <f t="shared" si="89"/>
        <v>0.49703488087707914</v>
      </c>
      <c r="V169" s="918">
        <f t="shared" si="90"/>
        <v>0.90954826980202319</v>
      </c>
      <c r="W169" s="917">
        <f t="shared" si="86"/>
        <v>1545.3479777451971</v>
      </c>
      <c r="X169" s="801"/>
      <c r="Y169">
        <f t="shared" si="107"/>
        <v>14.399999999999981</v>
      </c>
      <c r="Z169">
        <f t="shared" si="98"/>
        <v>72</v>
      </c>
      <c r="AA169" s="663">
        <f t="shared" si="91"/>
        <v>0.49703488087707914</v>
      </c>
      <c r="AB169" s="471">
        <f t="shared" si="92"/>
        <v>1.0106702438905231</v>
      </c>
      <c r="AC169" s="26">
        <f t="shared" si="99"/>
        <v>1658.1096448077633</v>
      </c>
      <c r="AE169">
        <f t="shared" si="108"/>
        <v>14.399999999999981</v>
      </c>
      <c r="AF169">
        <f t="shared" si="100"/>
        <v>72</v>
      </c>
      <c r="AG169" s="663">
        <f t="shared" si="93"/>
        <v>0.49703488087707914</v>
      </c>
      <c r="AH169" s="471">
        <f t="shared" si="101"/>
        <v>1.0891646839109141</v>
      </c>
      <c r="AI169" s="26">
        <f t="shared" si="102"/>
        <v>1762.1185895073509</v>
      </c>
    </row>
    <row r="170" spans="1:35" x14ac:dyDescent="0.25">
      <c r="A170" s="219"/>
      <c r="H170">
        <f t="shared" si="103"/>
        <v>14.59999999999998</v>
      </c>
      <c r="I170">
        <f t="shared" si="94"/>
        <v>73</v>
      </c>
      <c r="J170" s="48">
        <f t="shared" si="104"/>
        <v>0.49525557513597029</v>
      </c>
      <c r="K170" s="26">
        <f t="shared" si="95"/>
        <v>1447.6498753231479</v>
      </c>
      <c r="M170">
        <f t="shared" si="105"/>
        <v>14.59999999999998</v>
      </c>
      <c r="N170">
        <f t="shared" si="96"/>
        <v>73</v>
      </c>
      <c r="O170" s="663">
        <f t="shared" si="87"/>
        <v>0.49525557513597029</v>
      </c>
      <c r="P170" s="471">
        <f t="shared" si="88"/>
        <v>0.75683369425163916</v>
      </c>
      <c r="Q170" s="917">
        <f t="shared" si="85"/>
        <v>1465.1434502965494</v>
      </c>
      <c r="S170">
        <f t="shared" si="106"/>
        <v>14.59999999999998</v>
      </c>
      <c r="T170">
        <f t="shared" si="97"/>
        <v>73</v>
      </c>
      <c r="U170" s="663">
        <f t="shared" si="89"/>
        <v>0.49525557513597029</v>
      </c>
      <c r="V170" s="918">
        <f t="shared" si="90"/>
        <v>0.9062922318044111</v>
      </c>
      <c r="W170" s="917">
        <f t="shared" si="86"/>
        <v>1539.8158780181902</v>
      </c>
      <c r="X170" s="801"/>
      <c r="Y170">
        <f t="shared" si="107"/>
        <v>14.59999999999998</v>
      </c>
      <c r="Z170">
        <f t="shared" si="98"/>
        <v>73</v>
      </c>
      <c r="AA170" s="663">
        <f t="shared" si="91"/>
        <v>0.49525557513597029</v>
      </c>
      <c r="AB170" s="471">
        <f t="shared" si="92"/>
        <v>1.0070522053252036</v>
      </c>
      <c r="AC170" s="26">
        <f t="shared" si="99"/>
        <v>1652.1738762653461</v>
      </c>
      <c r="AE170">
        <f t="shared" si="108"/>
        <v>14.59999999999998</v>
      </c>
      <c r="AF170">
        <f t="shared" si="100"/>
        <v>73</v>
      </c>
      <c r="AG170" s="663">
        <f t="shared" si="93"/>
        <v>0.49525557513597029</v>
      </c>
      <c r="AH170" s="471">
        <f t="shared" si="101"/>
        <v>1.0852656477473435</v>
      </c>
      <c r="AI170" s="26">
        <f t="shared" si="102"/>
        <v>1755.8104855020697</v>
      </c>
    </row>
    <row r="171" spans="1:35" x14ac:dyDescent="0.25">
      <c r="A171" s="219"/>
      <c r="H171">
        <f t="shared" si="103"/>
        <v>14.799999999999979</v>
      </c>
      <c r="I171">
        <f t="shared" si="94"/>
        <v>74</v>
      </c>
      <c r="J171" s="48">
        <f t="shared" si="104"/>
        <v>0.49350671871401103</v>
      </c>
      <c r="K171" s="26">
        <f t="shared" si="95"/>
        <v>1442.5379050429297</v>
      </c>
      <c r="M171">
        <f t="shared" si="105"/>
        <v>14.799999999999979</v>
      </c>
      <c r="N171">
        <f t="shared" si="96"/>
        <v>74</v>
      </c>
      <c r="O171" s="663">
        <f t="shared" si="87"/>
        <v>0.49350671871401103</v>
      </c>
      <c r="P171" s="471">
        <f t="shared" si="88"/>
        <v>0.75416114792808941</v>
      </c>
      <c r="Q171" s="917">
        <f t="shared" si="85"/>
        <v>1459.9697063534566</v>
      </c>
      <c r="S171">
        <f t="shared" si="106"/>
        <v>14.799999999999979</v>
      </c>
      <c r="T171">
        <f t="shared" si="97"/>
        <v>74</v>
      </c>
      <c r="U171" s="663">
        <f t="shared" si="89"/>
        <v>0.49350671871401103</v>
      </c>
      <c r="V171" s="918">
        <f t="shared" si="90"/>
        <v>0.90309191449485271</v>
      </c>
      <c r="W171" s="917">
        <f t="shared" si="86"/>
        <v>1534.3784493003657</v>
      </c>
      <c r="X171" s="801"/>
      <c r="Y171">
        <f t="shared" si="107"/>
        <v>14.799999999999979</v>
      </c>
      <c r="Z171">
        <f t="shared" si="98"/>
        <v>74</v>
      </c>
      <c r="AA171" s="663">
        <f t="shared" si="91"/>
        <v>0.49350671871401103</v>
      </c>
      <c r="AB171" s="471">
        <f t="shared" si="92"/>
        <v>1.0034960823758603</v>
      </c>
      <c r="AC171" s="26">
        <f t="shared" si="99"/>
        <v>1646.3396867301617</v>
      </c>
      <c r="AE171">
        <f t="shared" si="108"/>
        <v>14.799999999999979</v>
      </c>
      <c r="AF171">
        <f t="shared" si="100"/>
        <v>74</v>
      </c>
      <c r="AG171" s="663">
        <f t="shared" si="93"/>
        <v>0.49350671871401103</v>
      </c>
      <c r="AH171" s="471">
        <f t="shared" si="101"/>
        <v>1.0814333359211241</v>
      </c>
      <c r="AI171" s="26">
        <f t="shared" si="102"/>
        <v>1749.6103322933541</v>
      </c>
    </row>
    <row r="172" spans="1:35" x14ac:dyDescent="0.25">
      <c r="A172" s="219"/>
      <c r="H172">
        <f t="shared" si="103"/>
        <v>14.999999999999979</v>
      </c>
      <c r="I172">
        <f t="shared" si="94"/>
        <v>75</v>
      </c>
      <c r="J172" s="48">
        <f t="shared" si="104"/>
        <v>0.4917873894889484</v>
      </c>
      <c r="K172" s="921">
        <f t="shared" si="95"/>
        <v>1437.5122438222195</v>
      </c>
      <c r="M172">
        <f t="shared" si="105"/>
        <v>14.999999999999979</v>
      </c>
      <c r="N172">
        <f t="shared" si="96"/>
        <v>75</v>
      </c>
      <c r="O172" s="663">
        <f t="shared" si="87"/>
        <v>0.4917873894889484</v>
      </c>
      <c r="P172" s="471">
        <f t="shared" si="88"/>
        <v>0.75153372412032771</v>
      </c>
      <c r="Q172" s="917">
        <f t="shared" si="85"/>
        <v>1454.8833144389134</v>
      </c>
      <c r="S172">
        <f t="shared" si="106"/>
        <v>14.999999999999979</v>
      </c>
      <c r="T172">
        <f t="shared" si="97"/>
        <v>75</v>
      </c>
      <c r="U172" s="49">
        <f t="shared" si="89"/>
        <v>0.4917873894889484</v>
      </c>
      <c r="V172" s="922">
        <f t="shared" si="90"/>
        <v>0.89994563043704934</v>
      </c>
      <c r="W172" s="26">
        <f t="shared" si="86"/>
        <v>1529.0328245902042</v>
      </c>
      <c r="X172" s="801"/>
      <c r="Y172" s="52">
        <f t="shared" si="107"/>
        <v>14.999999999999979</v>
      </c>
      <c r="Z172" s="52">
        <f t="shared" si="98"/>
        <v>75</v>
      </c>
      <c r="AA172" s="792">
        <f t="shared" si="91"/>
        <v>0.4917873894889484</v>
      </c>
      <c r="AB172" s="919">
        <f t="shared" si="92"/>
        <v>1</v>
      </c>
      <c r="AC172" s="916">
        <f>F33</f>
        <v>1640.6039999999957</v>
      </c>
      <c r="AE172">
        <f t="shared" si="108"/>
        <v>14.999999999999979</v>
      </c>
      <c r="AF172">
        <f t="shared" si="100"/>
        <v>75</v>
      </c>
      <c r="AG172" s="663">
        <f t="shared" si="93"/>
        <v>0.4917873894889484</v>
      </c>
      <c r="AH172" s="471">
        <f t="shared" si="101"/>
        <v>1.0776657277632224</v>
      </c>
      <c r="AI172" s="26">
        <f t="shared" si="102"/>
        <v>1743.5148607167516</v>
      </c>
    </row>
    <row r="173" spans="1:35" x14ac:dyDescent="0.25">
      <c r="A173" s="219"/>
      <c r="H173">
        <f t="shared" si="103"/>
        <v>15.199999999999978</v>
      </c>
      <c r="I173">
        <f t="shared" ref="I173:I187" si="109">1+I172</f>
        <v>76</v>
      </c>
      <c r="J173" s="48">
        <f t="shared" si="104"/>
        <v>0.49009670508809544</v>
      </c>
      <c r="K173" s="26">
        <f t="shared" si="95"/>
        <v>1432.5703124538879</v>
      </c>
      <c r="M173">
        <f t="shared" si="105"/>
        <v>15.199999999999978</v>
      </c>
      <c r="N173">
        <f t="shared" ref="N173:N187" si="110">1+N172</f>
        <v>76</v>
      </c>
      <c r="O173" s="663">
        <f t="shared" si="87"/>
        <v>0.49009670508809544</v>
      </c>
      <c r="P173" s="471">
        <f t="shared" si="88"/>
        <v>0.74895007441469874</v>
      </c>
      <c r="Q173" s="917">
        <f t="shared" si="85"/>
        <v>1449.8816641783421</v>
      </c>
      <c r="S173">
        <f t="shared" si="106"/>
        <v>15.199999999999978</v>
      </c>
      <c r="T173">
        <f t="shared" ref="T173:T187" si="111">1+T172</f>
        <v>76</v>
      </c>
      <c r="U173" s="663">
        <f t="shared" si="89"/>
        <v>0.49009670508809544</v>
      </c>
      <c r="V173" s="918">
        <f t="shared" si="90"/>
        <v>0.89685176493436369</v>
      </c>
      <c r="W173" s="917">
        <f t="shared" si="86"/>
        <v>1523.7762604729071</v>
      </c>
      <c r="X173" s="801"/>
      <c r="Y173">
        <f t="shared" si="107"/>
        <v>15.199999999999978</v>
      </c>
      <c r="Z173">
        <f t="shared" ref="Z173:Z187" si="112">1+Z172</f>
        <v>76</v>
      </c>
      <c r="AA173" s="663">
        <f t="shared" si="91"/>
        <v>0.49009670508809544</v>
      </c>
      <c r="AB173" s="471">
        <f t="shared" si="92"/>
        <v>0.99656216398185837</v>
      </c>
      <c r="AC173" s="26">
        <f t="shared" si="99"/>
        <v>1634.9638724772885</v>
      </c>
      <c r="AE173">
        <f t="shared" si="108"/>
        <v>15.199999999999978</v>
      </c>
      <c r="AF173">
        <f t="shared" ref="AF173:AF187" si="113">1+AF172</f>
        <v>76</v>
      </c>
      <c r="AG173" s="663">
        <f t="shared" si="93"/>
        <v>0.49009670508809544</v>
      </c>
      <c r="AH173" s="471">
        <f t="shared" si="101"/>
        <v>1.0739608897088011</v>
      </c>
      <c r="AI173" s="26">
        <f t="shared" si="102"/>
        <v>1737.5209425304142</v>
      </c>
    </row>
    <row r="174" spans="1:35" x14ac:dyDescent="0.25">
      <c r="A174" s="219"/>
      <c r="H174">
        <f t="shared" si="103"/>
        <v>15.399999999999977</v>
      </c>
      <c r="I174">
        <f t="shared" si="109"/>
        <v>77</v>
      </c>
      <c r="J174" s="48">
        <f t="shared" si="104"/>
        <v>0.4884338206784557</v>
      </c>
      <c r="K174" s="26">
        <f t="shared" si="95"/>
        <v>1427.7096414606722</v>
      </c>
      <c r="M174">
        <f t="shared" si="105"/>
        <v>15.399999999999977</v>
      </c>
      <c r="N174">
        <f t="shared" si="110"/>
        <v>77</v>
      </c>
      <c r="O174" s="663">
        <f t="shared" si="87"/>
        <v>0.4884338206784557</v>
      </c>
      <c r="P174" s="471">
        <f t="shared" si="88"/>
        <v>0.74640890776449886</v>
      </c>
      <c r="Q174" s="917">
        <f t="shared" si="85"/>
        <v>1444.9622562530199</v>
      </c>
      <c r="S174">
        <f t="shared" si="106"/>
        <v>15.399999999999977</v>
      </c>
      <c r="T174">
        <f t="shared" si="111"/>
        <v>77</v>
      </c>
      <c r="U174" s="663">
        <f t="shared" si="89"/>
        <v>0.4884338206784557</v>
      </c>
      <c r="V174" s="918">
        <f t="shared" si="90"/>
        <v>0.89380877198586151</v>
      </c>
      <c r="W174" s="917">
        <f t="shared" si="86"/>
        <v>1518.6061302495993</v>
      </c>
      <c r="X174" s="801"/>
      <c r="Y174">
        <f t="shared" si="107"/>
        <v>15.399999999999977</v>
      </c>
      <c r="Z174">
        <f t="shared" si="112"/>
        <v>77</v>
      </c>
      <c r="AA174" s="663">
        <f t="shared" si="91"/>
        <v>0.4884338206784557</v>
      </c>
      <c r="AB174" s="471">
        <f t="shared" si="92"/>
        <v>0.99318085643884113</v>
      </c>
      <c r="AC174" s="26">
        <f t="shared" si="99"/>
        <v>1629.4164857969843</v>
      </c>
      <c r="AE174">
        <f t="shared" si="108"/>
        <v>15.399999999999977</v>
      </c>
      <c r="AF174">
        <f t="shared" si="113"/>
        <v>77</v>
      </c>
      <c r="AG174" s="663">
        <f t="shared" si="93"/>
        <v>0.4884338206784557</v>
      </c>
      <c r="AH174" s="471">
        <f t="shared" si="101"/>
        <v>1.0703169704546642</v>
      </c>
      <c r="AI174" s="26">
        <f t="shared" si="102"/>
        <v>1731.6255825805101</v>
      </c>
    </row>
    <row r="175" spans="1:35" x14ac:dyDescent="0.25">
      <c r="A175" s="219"/>
      <c r="H175">
        <f t="shared" si="103"/>
        <v>15.599999999999977</v>
      </c>
      <c r="I175">
        <f t="shared" si="109"/>
        <v>78</v>
      </c>
      <c r="J175" s="48">
        <f t="shared" si="104"/>
        <v>0.48679792690659268</v>
      </c>
      <c r="K175" s="26">
        <f t="shared" si="95"/>
        <v>1422.9278650733409</v>
      </c>
      <c r="M175">
        <f t="shared" si="105"/>
        <v>15.599999999999977</v>
      </c>
      <c r="N175">
        <f t="shared" si="110"/>
        <v>78</v>
      </c>
      <c r="O175" s="663">
        <f t="shared" si="87"/>
        <v>0.48679792690659268</v>
      </c>
      <c r="P175" s="471">
        <f t="shared" si="88"/>
        <v>0.74390898734175059</v>
      </c>
      <c r="Q175" s="917">
        <f t="shared" si="85"/>
        <v>1440.1226963054755</v>
      </c>
      <c r="S175">
        <f t="shared" si="106"/>
        <v>15.599999999999977</v>
      </c>
      <c r="T175">
        <f t="shared" si="111"/>
        <v>78</v>
      </c>
      <c r="U175" s="663">
        <f t="shared" si="89"/>
        <v>0.48679792690659268</v>
      </c>
      <c r="V175" s="918">
        <f t="shared" si="90"/>
        <v>0.89081517051637849</v>
      </c>
      <c r="W175" s="917">
        <f t="shared" si="86"/>
        <v>1513.5199175321065</v>
      </c>
      <c r="X175" s="801"/>
      <c r="Y175">
        <f t="shared" si="107"/>
        <v>15.599999999999977</v>
      </c>
      <c r="Z175">
        <f t="shared" si="112"/>
        <v>78</v>
      </c>
      <c r="AA175" s="663">
        <f t="shared" si="91"/>
        <v>0.48679792690659268</v>
      </c>
      <c r="AB175" s="471">
        <f t="shared" si="92"/>
        <v>0.98985443163245679</v>
      </c>
      <c r="AC175" s="26">
        <f t="shared" si="99"/>
        <v>1623.9591399539308</v>
      </c>
      <c r="AE175">
        <f t="shared" si="108"/>
        <v>15.599999999999977</v>
      </c>
      <c r="AF175">
        <f t="shared" si="113"/>
        <v>78</v>
      </c>
      <c r="AG175" s="663">
        <f t="shared" si="93"/>
        <v>0.48679792690659268</v>
      </c>
      <c r="AH175" s="471">
        <f t="shared" si="101"/>
        <v>1.0667321964448424</v>
      </c>
      <c r="AI175" s="26">
        <f t="shared" si="102"/>
        <v>1725.8259114975222</v>
      </c>
    </row>
    <row r="176" spans="1:35" x14ac:dyDescent="0.25">
      <c r="A176" s="219"/>
      <c r="H176">
        <f t="shared" si="103"/>
        <v>15.799999999999976</v>
      </c>
      <c r="I176">
        <f t="shared" si="109"/>
        <v>79</v>
      </c>
      <c r="J176" s="48">
        <f t="shared" si="104"/>
        <v>0.48518824797632154</v>
      </c>
      <c r="K176" s="26">
        <f t="shared" si="95"/>
        <v>1418.2227156117167</v>
      </c>
      <c r="M176">
        <f t="shared" si="105"/>
        <v>15.799999999999976</v>
      </c>
      <c r="N176">
        <f t="shared" si="110"/>
        <v>79</v>
      </c>
      <c r="O176" s="663">
        <f t="shared" si="87"/>
        <v>0.48518824797632154</v>
      </c>
      <c r="P176" s="471">
        <f t="shared" si="88"/>
        <v>0.74144912759959292</v>
      </c>
      <c r="Q176" s="917">
        <f t="shared" si="85"/>
        <v>1435.3606892526129</v>
      </c>
      <c r="S176">
        <f t="shared" si="106"/>
        <v>15.799999999999976</v>
      </c>
      <c r="T176">
        <f t="shared" si="111"/>
        <v>79</v>
      </c>
      <c r="U176" s="663">
        <f t="shared" si="89"/>
        <v>0.48518824797632154</v>
      </c>
      <c r="V176" s="918">
        <f t="shared" si="90"/>
        <v>0.88786954085879521</v>
      </c>
      <c r="W176" s="917">
        <f t="shared" si="86"/>
        <v>1508.5152102662421</v>
      </c>
      <c r="X176" s="801"/>
      <c r="Y176">
        <f t="shared" si="107"/>
        <v>15.799999999999976</v>
      </c>
      <c r="Z176">
        <f t="shared" si="112"/>
        <v>79</v>
      </c>
      <c r="AA176" s="663">
        <f t="shared" si="91"/>
        <v>0.48518824797632154</v>
      </c>
      <c r="AB176" s="471">
        <f t="shared" si="92"/>
        <v>0.98658131205949684</v>
      </c>
      <c r="AC176" s="26">
        <f t="shared" si="99"/>
        <v>1618.5892468900545</v>
      </c>
      <c r="AE176">
        <f t="shared" si="108"/>
        <v>15.799999999999976</v>
      </c>
      <c r="AF176">
        <f t="shared" si="113"/>
        <v>79</v>
      </c>
      <c r="AG176" s="663">
        <f t="shared" si="93"/>
        <v>0.48518824797632154</v>
      </c>
      <c r="AH176" s="471">
        <f t="shared" si="101"/>
        <v>1.0632048676581927</v>
      </c>
      <c r="AI176" s="26">
        <f t="shared" si="102"/>
        <v>1720.1191788811641</v>
      </c>
    </row>
    <row r="177" spans="1:35" x14ac:dyDescent="0.25">
      <c r="A177" s="219"/>
      <c r="H177">
        <f t="shared" si="103"/>
        <v>15.999999999999975</v>
      </c>
      <c r="I177">
        <f t="shared" si="109"/>
        <v>80</v>
      </c>
      <c r="J177" s="48">
        <f t="shared" si="104"/>
        <v>0.48360403985338851</v>
      </c>
      <c r="K177" s="26">
        <f t="shared" si="95"/>
        <v>1413.5920182368911</v>
      </c>
      <c r="M177">
        <f t="shared" si="105"/>
        <v>15.999999999999975</v>
      </c>
      <c r="N177">
        <f t="shared" si="110"/>
        <v>80</v>
      </c>
      <c r="O177" s="663">
        <f t="shared" si="87"/>
        <v>0.48360403985338851</v>
      </c>
      <c r="P177" s="471">
        <f t="shared" si="88"/>
        <v>0.73902819152872956</v>
      </c>
      <c r="Q177" s="917">
        <f t="shared" si="85"/>
        <v>1430.6740339745079</v>
      </c>
      <c r="S177">
        <f t="shared" si="106"/>
        <v>15.999999999999975</v>
      </c>
      <c r="T177">
        <f t="shared" si="111"/>
        <v>80</v>
      </c>
      <c r="U177" s="663">
        <f t="shared" si="89"/>
        <v>0.48360403985338851</v>
      </c>
      <c r="V177" s="918">
        <f t="shared" si="90"/>
        <v>0.88497052146869248</v>
      </c>
      <c r="W177" s="917">
        <f t="shared" si="86"/>
        <v>1503.5896951499146</v>
      </c>
      <c r="X177" s="801"/>
      <c r="Y177">
        <f t="shared" si="107"/>
        <v>15.999999999999975</v>
      </c>
      <c r="Z177">
        <f t="shared" si="112"/>
        <v>80</v>
      </c>
      <c r="AA177" s="663">
        <f t="shared" si="91"/>
        <v>0.48360403985338851</v>
      </c>
      <c r="AB177" s="471">
        <f t="shared" si="92"/>
        <v>0.98335998480143261</v>
      </c>
      <c r="AC177" s="26">
        <f t="shared" si="99"/>
        <v>1613.3043245051654</v>
      </c>
      <c r="AE177">
        <f t="shared" si="108"/>
        <v>15.999999999999975</v>
      </c>
      <c r="AF177">
        <f t="shared" si="113"/>
        <v>80</v>
      </c>
      <c r="AG177" s="663">
        <f t="shared" si="93"/>
        <v>0.48360403985338851</v>
      </c>
      <c r="AH177" s="471">
        <f t="shared" si="101"/>
        <v>1.0597333536742672</v>
      </c>
      <c r="AI177" s="26">
        <f t="shared" si="102"/>
        <v>1714.5027469354968</v>
      </c>
    </row>
    <row r="178" spans="1:35" x14ac:dyDescent="0.25">
      <c r="A178" s="219"/>
      <c r="H178">
        <f t="shared" si="103"/>
        <v>16.199999999999974</v>
      </c>
      <c r="I178">
        <f t="shared" si="109"/>
        <v>81</v>
      </c>
      <c r="J178" s="48">
        <f t="shared" si="104"/>
        <v>0.48204458858727678</v>
      </c>
      <c r="K178" s="26">
        <f t="shared" si="95"/>
        <v>1409.033686045801</v>
      </c>
      <c r="M178">
        <f t="shared" si="105"/>
        <v>16.199999999999974</v>
      </c>
      <c r="N178">
        <f t="shared" si="110"/>
        <v>81</v>
      </c>
      <c r="O178" s="663">
        <f t="shared" si="87"/>
        <v>0.48204458858727678</v>
      </c>
      <c r="P178" s="471">
        <f t="shared" si="88"/>
        <v>0.73664508809286677</v>
      </c>
      <c r="Q178" s="917">
        <f t="shared" si="85"/>
        <v>1426.0606183497107</v>
      </c>
      <c r="S178">
        <f t="shared" si="106"/>
        <v>16.199999999999974</v>
      </c>
      <c r="T178">
        <f t="shared" si="111"/>
        <v>81</v>
      </c>
      <c r="U178" s="663">
        <f t="shared" si="89"/>
        <v>0.48204458858727678</v>
      </c>
      <c r="V178" s="918">
        <f t="shared" si="90"/>
        <v>0.88211680585334262</v>
      </c>
      <c r="W178" s="917">
        <f t="shared" si="86"/>
        <v>1498.7411524153981</v>
      </c>
      <c r="X178" s="801"/>
      <c r="Y178">
        <f t="shared" si="107"/>
        <v>16.199999999999974</v>
      </c>
      <c r="Z178">
        <f t="shared" si="112"/>
        <v>81</v>
      </c>
      <c r="AA178" s="663">
        <f t="shared" si="91"/>
        <v>0.48204458858727678</v>
      </c>
      <c r="AB178" s="471">
        <f t="shared" si="92"/>
        <v>0.98018899811197668</v>
      </c>
      <c r="AC178" s="26">
        <f t="shared" si="99"/>
        <v>1608.1019910584971</v>
      </c>
      <c r="AE178">
        <f t="shared" si="108"/>
        <v>16.199999999999974</v>
      </c>
      <c r="AF178">
        <f t="shared" si="113"/>
        <v>81</v>
      </c>
      <c r="AG178" s="663">
        <f t="shared" si="93"/>
        <v>0.48204458858727678</v>
      </c>
      <c r="AH178" s="471">
        <f t="shared" si="101"/>
        <v>1.0563160899958473</v>
      </c>
      <c r="AI178" s="26">
        <f t="shared" si="102"/>
        <v>1708.9740845192955</v>
      </c>
    </row>
    <row r="179" spans="1:35" x14ac:dyDescent="0.25">
      <c r="A179" s="219"/>
      <c r="H179">
        <f t="shared" si="103"/>
        <v>16.399999999999974</v>
      </c>
      <c r="I179">
        <f t="shared" si="109"/>
        <v>82</v>
      </c>
      <c r="J179" s="48">
        <f t="shared" si="104"/>
        <v>0.48050920874115755</v>
      </c>
      <c r="K179" s="26">
        <f t="shared" si="95"/>
        <v>1404.5457154819201</v>
      </c>
      <c r="M179">
        <f t="shared" si="105"/>
        <v>16.399999999999974</v>
      </c>
      <c r="N179">
        <f t="shared" si="110"/>
        <v>82</v>
      </c>
      <c r="O179" s="663">
        <f t="shared" si="87"/>
        <v>0.48050920874115755</v>
      </c>
      <c r="P179" s="471">
        <f t="shared" si="88"/>
        <v>0.73429876982941478</v>
      </c>
      <c r="Q179" s="917">
        <f t="shared" si="85"/>
        <v>1421.5184146104768</v>
      </c>
      <c r="S179">
        <f t="shared" si="106"/>
        <v>16.399999999999974</v>
      </c>
      <c r="T179">
        <f t="shared" si="111"/>
        <v>82</v>
      </c>
      <c r="U179" s="663">
        <f t="shared" si="89"/>
        <v>0.48050920874115755</v>
      </c>
      <c r="V179" s="918">
        <f t="shared" si="90"/>
        <v>0.87930713969860042</v>
      </c>
      <c r="W179" s="917">
        <f t="shared" si="86"/>
        <v>1493.9674509478386</v>
      </c>
      <c r="X179" s="801"/>
      <c r="Y179">
        <f t="shared" si="107"/>
        <v>16.399999999999974</v>
      </c>
      <c r="Z179">
        <f t="shared" si="112"/>
        <v>82</v>
      </c>
      <c r="AA179" s="663">
        <f t="shared" si="91"/>
        <v>0.48050920874115755</v>
      </c>
      <c r="AB179" s="471">
        <f t="shared" si="92"/>
        <v>0.97706695822454737</v>
      </c>
      <c r="AC179" s="26">
        <f t="shared" si="99"/>
        <v>1602.9799599310211</v>
      </c>
      <c r="AE179">
        <f t="shared" si="108"/>
        <v>16.399999999999974</v>
      </c>
      <c r="AF179">
        <f t="shared" si="113"/>
        <v>82</v>
      </c>
      <c r="AG179" s="663">
        <f t="shared" si="93"/>
        <v>0.48050920874115755</v>
      </c>
      <c r="AH179" s="471">
        <f t="shared" si="101"/>
        <v>1.0529515746084548</v>
      </c>
      <c r="AI179" s="26">
        <f t="shared" si="102"/>
        <v>1703.5307615798117</v>
      </c>
    </row>
    <row r="180" spans="1:35" x14ac:dyDescent="0.25">
      <c r="A180" s="219"/>
      <c r="H180">
        <f t="shared" si="103"/>
        <v>16.599999999999973</v>
      </c>
      <c r="I180">
        <f t="shared" si="109"/>
        <v>83</v>
      </c>
      <c r="J180" s="48">
        <f t="shared" si="104"/>
        <v>0.47899724192179099</v>
      </c>
      <c r="K180" s="26">
        <f t="shared" si="95"/>
        <v>1400.126182038106</v>
      </c>
      <c r="M180">
        <f t="shared" si="105"/>
        <v>16.599999999999973</v>
      </c>
      <c r="N180">
        <f t="shared" si="110"/>
        <v>83</v>
      </c>
      <c r="O180" s="663">
        <f t="shared" si="87"/>
        <v>0.47899724192179099</v>
      </c>
      <c r="P180" s="471">
        <f t="shared" si="88"/>
        <v>0.73198823060292972</v>
      </c>
      <c r="Q180" s="917">
        <f t="shared" si="85"/>
        <v>1417.0454749936894</v>
      </c>
      <c r="S180">
        <f t="shared" si="106"/>
        <v>16.599999999999973</v>
      </c>
      <c r="T180">
        <f t="shared" si="111"/>
        <v>83</v>
      </c>
      <c r="U180" s="663">
        <f t="shared" si="89"/>
        <v>0.47899724192179099</v>
      </c>
      <c r="V180" s="918">
        <f t="shared" si="90"/>
        <v>0.87654031817869782</v>
      </c>
      <c r="W180" s="917">
        <f t="shared" si="86"/>
        <v>1489.2665437145215</v>
      </c>
      <c r="X180" s="801"/>
      <c r="Y180">
        <f t="shared" si="107"/>
        <v>16.599999999999973</v>
      </c>
      <c r="Z180">
        <f t="shared" si="112"/>
        <v>83</v>
      </c>
      <c r="AA180" s="663">
        <f t="shared" si="91"/>
        <v>0.47899724192179099</v>
      </c>
      <c r="AB180" s="471">
        <f t="shared" si="92"/>
        <v>0.9739925263629704</v>
      </c>
      <c r="AC180" s="26">
        <f t="shared" si="99"/>
        <v>1597.9360347211905</v>
      </c>
      <c r="AE180">
        <f t="shared" si="108"/>
        <v>16.599999999999973</v>
      </c>
      <c r="AF180">
        <f t="shared" si="113"/>
        <v>83</v>
      </c>
      <c r="AG180" s="663">
        <f t="shared" si="93"/>
        <v>0.47899724192179099</v>
      </c>
      <c r="AH180" s="471">
        <f t="shared" si="101"/>
        <v>1.0496383647588903</v>
      </c>
      <c r="AI180" s="26">
        <f t="shared" si="102"/>
        <v>1698.1704439408918</v>
      </c>
    </row>
    <row r="181" spans="1:35" x14ac:dyDescent="0.25">
      <c r="A181" s="219"/>
      <c r="H181">
        <f t="shared" si="103"/>
        <v>16.799999999999972</v>
      </c>
      <c r="I181">
        <f t="shared" si="109"/>
        <v>84</v>
      </c>
      <c r="J181" s="48">
        <f t="shared" si="104"/>
        <v>0.47750805540189739</v>
      </c>
      <c r="K181" s="26">
        <f t="shared" si="95"/>
        <v>1395.7732362297422</v>
      </c>
      <c r="M181">
        <f t="shared" si="105"/>
        <v>16.799999999999972</v>
      </c>
      <c r="N181">
        <f t="shared" si="110"/>
        <v>84</v>
      </c>
      <c r="O181" s="663">
        <f t="shared" si="87"/>
        <v>0.47750805540189739</v>
      </c>
      <c r="P181" s="471">
        <f t="shared" si="88"/>
        <v>0.72971250349986505</v>
      </c>
      <c r="Q181" s="917">
        <f t="shared" si="85"/>
        <v>1412.6399276653367</v>
      </c>
      <c r="S181">
        <f t="shared" si="106"/>
        <v>16.799999999999972</v>
      </c>
      <c r="T181">
        <f t="shared" si="111"/>
        <v>84</v>
      </c>
      <c r="U181" s="663">
        <f t="shared" si="89"/>
        <v>0.47750805540189739</v>
      </c>
      <c r="V181" s="918">
        <f t="shared" si="90"/>
        <v>0.87381518343525377</v>
      </c>
      <c r="W181" s="917">
        <f t="shared" si="86"/>
        <v>1484.6364634816373</v>
      </c>
      <c r="X181" s="801"/>
      <c r="Y181">
        <f t="shared" si="107"/>
        <v>16.799999999999972</v>
      </c>
      <c r="Z181">
        <f t="shared" si="112"/>
        <v>84</v>
      </c>
      <c r="AA181" s="663">
        <f t="shared" si="91"/>
        <v>0.47750805540189739</v>
      </c>
      <c r="AB181" s="471">
        <f t="shared" si="92"/>
        <v>0.9709644159402101</v>
      </c>
      <c r="AC181" s="26">
        <f t="shared" si="99"/>
        <v>1592.9681046491683</v>
      </c>
      <c r="AE181">
        <f t="shared" si="108"/>
        <v>16.799999999999972</v>
      </c>
      <c r="AF181">
        <f t="shared" si="113"/>
        <v>84</v>
      </c>
      <c r="AG181" s="663">
        <f t="shared" si="93"/>
        <v>0.47750805540189739</v>
      </c>
      <c r="AH181" s="471">
        <f t="shared" si="101"/>
        <v>1.0463750739363986</v>
      </c>
      <c r="AI181" s="26">
        <f t="shared" si="102"/>
        <v>1692.8908884189175</v>
      </c>
    </row>
    <row r="182" spans="1:35" x14ac:dyDescent="0.25">
      <c r="A182" s="219"/>
      <c r="H182">
        <f t="shared" si="103"/>
        <v>16.999999999999972</v>
      </c>
      <c r="I182">
        <f t="shared" si="109"/>
        <v>85</v>
      </c>
      <c r="J182" s="48">
        <f t="shared" si="104"/>
        <v>0.47604104082815468</v>
      </c>
      <c r="K182" s="26">
        <f t="shared" si="95"/>
        <v>1391.4850998181678</v>
      </c>
      <c r="M182">
        <f t="shared" si="105"/>
        <v>16.999999999999972</v>
      </c>
      <c r="N182">
        <f t="shared" si="110"/>
        <v>85</v>
      </c>
      <c r="O182" s="663">
        <f t="shared" si="87"/>
        <v>0.47604104082815468</v>
      </c>
      <c r="P182" s="471">
        <f t="shared" si="88"/>
        <v>0.72747065885417506</v>
      </c>
      <c r="Q182" s="917">
        <f t="shared" si="85"/>
        <v>1408.2999728983084</v>
      </c>
      <c r="S182">
        <f t="shared" si="106"/>
        <v>16.999999999999972</v>
      </c>
      <c r="T182">
        <f t="shared" si="111"/>
        <v>85</v>
      </c>
      <c r="U182" s="663">
        <f t="shared" si="89"/>
        <v>0.47604104082815468</v>
      </c>
      <c r="V182" s="918">
        <f t="shared" si="90"/>
        <v>0.8711306222129761</v>
      </c>
      <c r="W182" s="917">
        <f t="shared" si="86"/>
        <v>1480.0753187972734</v>
      </c>
      <c r="X182" s="801"/>
      <c r="Y182">
        <f t="shared" si="107"/>
        <v>16.999999999999972</v>
      </c>
      <c r="Z182">
        <f t="shared" si="112"/>
        <v>85</v>
      </c>
      <c r="AA182" s="663">
        <f t="shared" si="91"/>
        <v>0.47604104082815468</v>
      </c>
      <c r="AB182" s="471">
        <f t="shared" si="92"/>
        <v>0.96798138993121219</v>
      </c>
      <c r="AC182" s="26">
        <f t="shared" si="99"/>
        <v>1588.0741402467022</v>
      </c>
      <c r="AE182">
        <f t="shared" si="108"/>
        <v>16.999999999999972</v>
      </c>
      <c r="AF182">
        <f t="shared" si="113"/>
        <v>85</v>
      </c>
      <c r="AG182" s="663">
        <f t="shared" si="93"/>
        <v>0.47604104082815468</v>
      </c>
      <c r="AH182" s="471">
        <f t="shared" si="101"/>
        <v>1.0431603690414755</v>
      </c>
      <c r="AI182" s="26">
        <f t="shared" si="102"/>
        <v>1687.6899382423253</v>
      </c>
    </row>
    <row r="183" spans="1:35" x14ac:dyDescent="0.25">
      <c r="A183" s="219"/>
      <c r="H183">
        <f t="shared" si="103"/>
        <v>17.199999999999971</v>
      </c>
      <c r="I183">
        <f t="shared" si="109"/>
        <v>86</v>
      </c>
      <c r="J183" s="48">
        <f t="shared" si="104"/>
        <v>0.47459561300856667</v>
      </c>
      <c r="K183" s="26">
        <f t="shared" si="95"/>
        <v>1387.2600622661105</v>
      </c>
      <c r="M183">
        <f t="shared" si="105"/>
        <v>17.199999999999971</v>
      </c>
      <c r="N183">
        <f t="shared" si="110"/>
        <v>86</v>
      </c>
      <c r="O183" s="663">
        <f t="shared" si="87"/>
        <v>0.47459561300856667</v>
      </c>
      <c r="P183" s="471">
        <f t="shared" si="88"/>
        <v>0.72526180239420979</v>
      </c>
      <c r="Q183" s="917">
        <f t="shared" si="85"/>
        <v>1404.0238794849947</v>
      </c>
      <c r="S183">
        <f t="shared" si="106"/>
        <v>17.199999999999971</v>
      </c>
      <c r="T183">
        <f t="shared" si="111"/>
        <v>86</v>
      </c>
      <c r="U183" s="663">
        <f t="shared" si="89"/>
        <v>0.47459561300856667</v>
      </c>
      <c r="V183" s="918">
        <f t="shared" si="90"/>
        <v>0.86848556364060769</v>
      </c>
      <c r="W183" s="917">
        <f t="shared" si="86"/>
        <v>1475.5812902211794</v>
      </c>
      <c r="X183" s="801"/>
      <c r="Y183">
        <f t="shared" si="107"/>
        <v>17.199999999999971</v>
      </c>
      <c r="Z183">
        <f t="shared" si="112"/>
        <v>86</v>
      </c>
      <c r="AA183" s="663">
        <f t="shared" si="91"/>
        <v>0.47459561300856667</v>
      </c>
      <c r="AB183" s="471">
        <f t="shared" si="92"/>
        <v>0.96504225840714031</v>
      </c>
      <c r="AC183" s="26">
        <f t="shared" si="99"/>
        <v>1583.2521893117839</v>
      </c>
      <c r="AE183">
        <f t="shared" si="108"/>
        <v>17.199999999999971</v>
      </c>
      <c r="AF183">
        <f t="shared" si="113"/>
        <v>86</v>
      </c>
      <c r="AG183" s="663">
        <f t="shared" si="93"/>
        <v>0.47459561300856667</v>
      </c>
      <c r="AH183" s="471">
        <f t="shared" si="101"/>
        <v>1.0399929677285946</v>
      </c>
      <c r="AI183" s="26">
        <f t="shared" si="102"/>
        <v>1682.5655187525047</v>
      </c>
    </row>
    <row r="184" spans="1:35" x14ac:dyDescent="0.25">
      <c r="A184" s="219"/>
      <c r="H184">
        <f t="shared" si="103"/>
        <v>17.39999999999997</v>
      </c>
      <c r="I184">
        <f t="shared" si="109"/>
        <v>87</v>
      </c>
      <c r="J184" s="48">
        <f t="shared" si="104"/>
        <v>0.47317120877346114</v>
      </c>
      <c r="K184" s="26">
        <f t="shared" si="95"/>
        <v>1383.0964774083445</v>
      </c>
      <c r="M184">
        <f t="shared" si="105"/>
        <v>17.39999999999997</v>
      </c>
      <c r="N184">
        <f t="shared" si="110"/>
        <v>87</v>
      </c>
      <c r="O184" s="663">
        <f t="shared" si="87"/>
        <v>0.47317120877346114</v>
      </c>
      <c r="P184" s="471">
        <f t="shared" si="88"/>
        <v>0.72308507350212892</v>
      </c>
      <c r="Q184" s="917">
        <f t="shared" si="85"/>
        <v>1399.8099813677113</v>
      </c>
      <c r="S184">
        <f t="shared" si="106"/>
        <v>17.39999999999997</v>
      </c>
      <c r="T184">
        <f t="shared" si="111"/>
        <v>87</v>
      </c>
      <c r="U184" s="663">
        <f t="shared" si="89"/>
        <v>0.47317120877346114</v>
      </c>
      <c r="V184" s="918">
        <f t="shared" si="90"/>
        <v>0.86587897714661211</v>
      </c>
      <c r="W184" s="917">
        <f t="shared" si="86"/>
        <v>1471.152626783459</v>
      </c>
      <c r="X184" s="801"/>
      <c r="Y184">
        <f t="shared" si="107"/>
        <v>17.39999999999997</v>
      </c>
      <c r="Z184">
        <f t="shared" si="112"/>
        <v>87</v>
      </c>
      <c r="AA184" s="663">
        <f t="shared" si="91"/>
        <v>0.47317120877346114</v>
      </c>
      <c r="AB184" s="471">
        <f t="shared" si="92"/>
        <v>0.9621458762193299</v>
      </c>
      <c r="AC184" s="26">
        <f t="shared" si="99"/>
        <v>1578.5003731089334</v>
      </c>
      <c r="AE184">
        <f t="shared" si="108"/>
        <v>17.39999999999997</v>
      </c>
      <c r="AF184">
        <f t="shared" si="113"/>
        <v>87</v>
      </c>
      <c r="AG184" s="663">
        <f t="shared" si="93"/>
        <v>0.47317120877346114</v>
      </c>
      <c r="AH184" s="471">
        <f t="shared" si="101"/>
        <v>1.0368716359102874</v>
      </c>
      <c r="AI184" s="26">
        <f t="shared" si="102"/>
        <v>1677.5156333657419</v>
      </c>
    </row>
    <row r="185" spans="1:35" x14ac:dyDescent="0.25">
      <c r="A185" s="219"/>
      <c r="H185">
        <f t="shared" si="103"/>
        <v>17.599999999999969</v>
      </c>
      <c r="I185">
        <f t="shared" si="109"/>
        <v>88</v>
      </c>
      <c r="J185" s="48">
        <f t="shared" si="104"/>
        <v>0.47176728590486272</v>
      </c>
      <c r="K185" s="26">
        <f t="shared" si="95"/>
        <v>1378.9927603222081</v>
      </c>
      <c r="M185">
        <f t="shared" si="105"/>
        <v>17.599999999999969</v>
      </c>
      <c r="N185">
        <f t="shared" si="110"/>
        <v>88</v>
      </c>
      <c r="O185" s="663">
        <f t="shared" si="87"/>
        <v>0.47176728590486272</v>
      </c>
      <c r="P185" s="471">
        <f t="shared" si="88"/>
        <v>0.72093964357780349</v>
      </c>
      <c r="Q185" s="917">
        <f t="shared" si="85"/>
        <v>1395.6566744714007</v>
      </c>
      <c r="S185">
        <f t="shared" si="106"/>
        <v>17.599999999999969</v>
      </c>
      <c r="T185">
        <f t="shared" si="111"/>
        <v>88</v>
      </c>
      <c r="U185" s="663">
        <f t="shared" si="89"/>
        <v>0.47176728590486272</v>
      </c>
      <c r="V185" s="918">
        <f t="shared" si="90"/>
        <v>0.8633098704999802</v>
      </c>
      <c r="W185" s="917">
        <f t="shared" si="86"/>
        <v>1466.7876426558453</v>
      </c>
      <c r="X185" s="801"/>
      <c r="Y185">
        <f t="shared" si="107"/>
        <v>17.599999999999969</v>
      </c>
      <c r="Z185">
        <f t="shared" si="112"/>
        <v>88</v>
      </c>
      <c r="AA185" s="663">
        <f t="shared" si="91"/>
        <v>0.47176728590486272</v>
      </c>
      <c r="AB185" s="471">
        <f t="shared" si="92"/>
        <v>0.95929114082227684</v>
      </c>
      <c r="AC185" s="26">
        <f t="shared" si="99"/>
        <v>1573.8168827975867</v>
      </c>
      <c r="AE185">
        <f t="shared" si="108"/>
        <v>17.599999999999969</v>
      </c>
      <c r="AF185">
        <f t="shared" si="113"/>
        <v>88</v>
      </c>
      <c r="AG185" s="663">
        <f t="shared" si="93"/>
        <v>0.47176728590486272</v>
      </c>
      <c r="AH185" s="471">
        <f t="shared" si="101"/>
        <v>1.033795185411051</v>
      </c>
      <c r="AI185" s="26">
        <f t="shared" si="102"/>
        <v>1672.538359777566</v>
      </c>
    </row>
    <row r="186" spans="1:35" x14ac:dyDescent="0.25">
      <c r="A186" s="219"/>
      <c r="H186">
        <f t="shared" si="103"/>
        <v>17.799999999999969</v>
      </c>
      <c r="I186">
        <f t="shared" si="109"/>
        <v>89</v>
      </c>
      <c r="J186" s="48">
        <f t="shared" si="104"/>
        <v>0.47038332212940626</v>
      </c>
      <c r="K186" s="26">
        <f t="shared" si="95"/>
        <v>1374.947384383853</v>
      </c>
      <c r="M186">
        <f t="shared" si="105"/>
        <v>17.799999999999969</v>
      </c>
      <c r="N186">
        <f t="shared" si="110"/>
        <v>89</v>
      </c>
      <c r="O186" s="663">
        <f t="shared" si="87"/>
        <v>0.47038332212940626</v>
      </c>
      <c r="P186" s="471">
        <f t="shared" si="88"/>
        <v>0.71882471449981866</v>
      </c>
      <c r="Q186" s="917">
        <f t="shared" si="85"/>
        <v>1391.5624137243085</v>
      </c>
      <c r="S186">
        <f t="shared" si="106"/>
        <v>17.799999999999969</v>
      </c>
      <c r="T186">
        <f t="shared" si="111"/>
        <v>89</v>
      </c>
      <c r="U186" s="663">
        <f t="shared" si="89"/>
        <v>0.47038332212940626</v>
      </c>
      <c r="V186" s="918">
        <f t="shared" si="90"/>
        <v>0.86077728796731412</v>
      </c>
      <c r="W186" s="917">
        <f t="shared" si="86"/>
        <v>1462.4847140205347</v>
      </c>
      <c r="X186" s="801"/>
      <c r="Y186">
        <f t="shared" si="107"/>
        <v>17.799999999999969</v>
      </c>
      <c r="Z186">
        <f t="shared" si="112"/>
        <v>89</v>
      </c>
      <c r="AA186" s="663">
        <f t="shared" si="91"/>
        <v>0.47038332212940626</v>
      </c>
      <c r="AB186" s="471">
        <f t="shared" si="92"/>
        <v>0.95647699022582777</v>
      </c>
      <c r="AC186" s="26">
        <f t="shared" si="99"/>
        <v>1569.1999760724498</v>
      </c>
      <c r="AE186">
        <f t="shared" si="108"/>
        <v>17.799999999999969</v>
      </c>
      <c r="AF186">
        <f t="shared" si="113"/>
        <v>89</v>
      </c>
      <c r="AG186" s="663">
        <f t="shared" si="93"/>
        <v>0.47038332212940626</v>
      </c>
      <c r="AH186" s="471">
        <f t="shared" si="101"/>
        <v>1.0307624717604933</v>
      </c>
      <c r="AI186" s="26">
        <f t="shared" si="102"/>
        <v>1667.6318463923619</v>
      </c>
    </row>
    <row r="187" spans="1:35" x14ac:dyDescent="0.25">
      <c r="A187" s="219"/>
      <c r="H187">
        <f t="shared" si="103"/>
        <v>17.999999999999968</v>
      </c>
      <c r="I187">
        <f t="shared" si="109"/>
        <v>90</v>
      </c>
      <c r="J187" s="48">
        <f t="shared" si="104"/>
        <v>0.46901881417035585</v>
      </c>
      <c r="K187" s="26">
        <f t="shared" si="95"/>
        <v>1370.958878497262</v>
      </c>
      <c r="M187">
        <f t="shared" si="105"/>
        <v>17.999999999999968</v>
      </c>
      <c r="N187">
        <f t="shared" si="110"/>
        <v>90</v>
      </c>
      <c r="O187" s="663">
        <f t="shared" si="87"/>
        <v>0.46901881417035585</v>
      </c>
      <c r="P187" s="471">
        <f t="shared" si="88"/>
        <v>0.7167395171767994</v>
      </c>
      <c r="Q187" s="917">
        <f t="shared" ref="Q187:Q197" si="114">P187*$Q$122</f>
        <v>1387.525710253517</v>
      </c>
      <c r="S187">
        <f t="shared" si="106"/>
        <v>17.999999999999968</v>
      </c>
      <c r="T187">
        <f t="shared" si="111"/>
        <v>90</v>
      </c>
      <c r="U187" s="663">
        <f t="shared" si="89"/>
        <v>0.46901881417035585</v>
      </c>
      <c r="V187" s="918">
        <f t="shared" si="90"/>
        <v>0.85828030857807014</v>
      </c>
      <c r="W187" s="917">
        <f t="shared" si="86"/>
        <v>1458.2422761227863</v>
      </c>
      <c r="X187" s="801"/>
      <c r="Y187">
        <f t="shared" si="107"/>
        <v>17.999999999999968</v>
      </c>
      <c r="Z187">
        <f t="shared" si="112"/>
        <v>90</v>
      </c>
      <c r="AA187" s="663">
        <f t="shared" si="91"/>
        <v>0.46901881417035585</v>
      </c>
      <c r="AB187" s="471">
        <f t="shared" si="92"/>
        <v>0.95370240106755677</v>
      </c>
      <c r="AC187" s="26">
        <f t="shared" si="99"/>
        <v>1564.6479740010338</v>
      </c>
      <c r="AE187">
        <f t="shared" si="108"/>
        <v>17.999999999999968</v>
      </c>
      <c r="AF187">
        <f t="shared" si="113"/>
        <v>90</v>
      </c>
      <c r="AG187" s="663">
        <f t="shared" si="93"/>
        <v>0.46901881417035585</v>
      </c>
      <c r="AH187" s="471">
        <f t="shared" si="101"/>
        <v>1.0277723921160014</v>
      </c>
      <c r="AI187" s="26">
        <f t="shared" si="102"/>
        <v>1662.7943089625333</v>
      </c>
    </row>
    <row r="188" spans="1:35" x14ac:dyDescent="0.25">
      <c r="A188" s="219"/>
      <c r="H188">
        <f t="shared" si="103"/>
        <v>18.199999999999967</v>
      </c>
      <c r="I188">
        <f>1+I187</f>
        <v>91</v>
      </c>
      <c r="J188" s="48">
        <f t="shared" si="104"/>
        <v>0.46767327685464566</v>
      </c>
      <c r="K188" s="26">
        <f t="shared" si="95"/>
        <v>1367.0258244840977</v>
      </c>
      <c r="M188">
        <f t="shared" si="105"/>
        <v>18.199999999999967</v>
      </c>
      <c r="N188">
        <f>1+N187</f>
        <v>91</v>
      </c>
      <c r="O188" s="663">
        <f t="shared" si="87"/>
        <v>0.46767327685464566</v>
      </c>
      <c r="P188" s="471">
        <f t="shared" si="88"/>
        <v>0.71468331018281905</v>
      </c>
      <c r="Q188" s="917">
        <f t="shared" si="114"/>
        <v>1383.5451287432511</v>
      </c>
      <c r="S188">
        <f t="shared" si="106"/>
        <v>18.199999999999967</v>
      </c>
      <c r="T188">
        <f>1+T187</f>
        <v>91</v>
      </c>
      <c r="U188" s="663">
        <f t="shared" si="89"/>
        <v>0.46767327685464566</v>
      </c>
      <c r="V188" s="918">
        <f t="shared" si="90"/>
        <v>0.85581804449049004</v>
      </c>
      <c r="W188" s="917">
        <f t="shared" si="86"/>
        <v>1454.0588204945932</v>
      </c>
      <c r="X188" s="801"/>
      <c r="Y188">
        <f t="shared" si="107"/>
        <v>18.199999999999967</v>
      </c>
      <c r="Z188">
        <f>1+Z187</f>
        <v>91</v>
      </c>
      <c r="AA188" s="663">
        <f t="shared" si="91"/>
        <v>0.46767327685464566</v>
      </c>
      <c r="AB188" s="471">
        <f t="shared" si="92"/>
        <v>0.95096638679702328</v>
      </c>
      <c r="AC188" s="26">
        <f t="shared" si="99"/>
        <v>1560.1592580447395</v>
      </c>
      <c r="AE188">
        <f t="shared" si="108"/>
        <v>18.199999999999967</v>
      </c>
      <c r="AF188">
        <f>1+AF187</f>
        <v>91</v>
      </c>
      <c r="AG188" s="663">
        <f t="shared" si="93"/>
        <v>0.46767327685464566</v>
      </c>
      <c r="AH188" s="471">
        <f t="shared" si="101"/>
        <v>1.0248238833059762</v>
      </c>
      <c r="AI188" s="26">
        <f t="shared" si="102"/>
        <v>1658.0240274227247</v>
      </c>
    </row>
    <row r="189" spans="1:35" x14ac:dyDescent="0.25">
      <c r="A189" s="219"/>
      <c r="H189">
        <f t="shared" si="103"/>
        <v>18.399999999999967</v>
      </c>
      <c r="I189">
        <f t="shared" ref="I189:I196" si="115">1+I188</f>
        <v>92</v>
      </c>
      <c r="J189" s="48">
        <f t="shared" si="104"/>
        <v>0.46634624227118293</v>
      </c>
      <c r="K189" s="26">
        <f t="shared" si="95"/>
        <v>1363.1468546233912</v>
      </c>
      <c r="M189">
        <f t="shared" si="105"/>
        <v>18.399999999999967</v>
      </c>
      <c r="N189">
        <f t="shared" ref="N189:N196" si="116">1+N188</f>
        <v>92</v>
      </c>
      <c r="O189" s="663">
        <f t="shared" si="87"/>
        <v>0.46634624227118293</v>
      </c>
      <c r="P189" s="471">
        <f t="shared" si="88"/>
        <v>0.71265537847114457</v>
      </c>
      <c r="Q189" s="917">
        <f t="shared" si="114"/>
        <v>1379.6192849448373</v>
      </c>
      <c r="S189">
        <f t="shared" si="106"/>
        <v>18.399999999999967</v>
      </c>
      <c r="T189">
        <f t="shared" ref="T189:T196" si="117">1+T188</f>
        <v>92</v>
      </c>
      <c r="U189" s="663">
        <f t="shared" si="89"/>
        <v>0.46634624227118293</v>
      </c>
      <c r="V189" s="918">
        <f t="shared" si="90"/>
        <v>0.85338963945133861</v>
      </c>
      <c r="W189" s="917">
        <f t="shared" si="86"/>
        <v>1449.9328923377338</v>
      </c>
      <c r="X189" s="801"/>
      <c r="Y189">
        <f t="shared" si="107"/>
        <v>18.399999999999967</v>
      </c>
      <c r="Z189">
        <f t="shared" ref="Z189:Z196" si="118">1+Z188</f>
        <v>92</v>
      </c>
      <c r="AA189" s="663">
        <f t="shared" si="91"/>
        <v>0.46634624227118293</v>
      </c>
      <c r="AB189" s="471">
        <f t="shared" si="92"/>
        <v>0.94826799596426581</v>
      </c>
      <c r="AC189" s="26">
        <f t="shared" si="99"/>
        <v>1555.7322672509542</v>
      </c>
      <c r="AE189">
        <f t="shared" si="108"/>
        <v>18.399999999999967</v>
      </c>
      <c r="AF189">
        <f t="shared" ref="AF189:AF196" si="119">1+AF188</f>
        <v>92</v>
      </c>
      <c r="AG189" s="663">
        <f t="shared" si="93"/>
        <v>0.46634624227118293</v>
      </c>
      <c r="AH189" s="471">
        <f t="shared" si="101"/>
        <v>1.0219159199854029</v>
      </c>
      <c r="AI189" s="26">
        <f t="shared" si="102"/>
        <v>1653.3193429057899</v>
      </c>
    </row>
    <row r="190" spans="1:35" x14ac:dyDescent="0.25">
      <c r="A190" s="219"/>
      <c r="H190">
        <f t="shared" si="103"/>
        <v>18.599999999999966</v>
      </c>
      <c r="I190">
        <f t="shared" si="115"/>
        <v>93</v>
      </c>
      <c r="J190" s="48">
        <f t="shared" si="104"/>
        <v>0.46503725897694892</v>
      </c>
      <c r="K190" s="26">
        <f t="shared" si="95"/>
        <v>1359.3206493309465</v>
      </c>
      <c r="M190">
        <f t="shared" si="105"/>
        <v>18.599999999999966</v>
      </c>
      <c r="N190">
        <f t="shared" si="116"/>
        <v>93</v>
      </c>
      <c r="O190" s="663">
        <f t="shared" si="87"/>
        <v>0.46503725897694892</v>
      </c>
      <c r="P190" s="471">
        <f t="shared" si="88"/>
        <v>0.71065503216102621</v>
      </c>
      <c r="Q190" s="917">
        <f t="shared" si="114"/>
        <v>1375.746843328066</v>
      </c>
      <c r="S190">
        <f t="shared" si="106"/>
        <v>18.599999999999966</v>
      </c>
      <c r="T190">
        <f t="shared" si="117"/>
        <v>93</v>
      </c>
      <c r="U190" s="663">
        <f t="shared" si="89"/>
        <v>0.46503725897694892</v>
      </c>
      <c r="V190" s="918">
        <f t="shared" si="90"/>
        <v>0.85099426734310868</v>
      </c>
      <c r="W190" s="917">
        <f t="shared" si="86"/>
        <v>1445.8630880554322</v>
      </c>
      <c r="X190" s="801"/>
      <c r="Y190">
        <f t="shared" si="107"/>
        <v>18.599999999999966</v>
      </c>
      <c r="Z190">
        <f t="shared" si="118"/>
        <v>93</v>
      </c>
      <c r="AA190" s="663">
        <f t="shared" si="91"/>
        <v>0.46503725897694892</v>
      </c>
      <c r="AB190" s="471">
        <f t="shared" si="92"/>
        <v>0.94560631060548861</v>
      </c>
      <c r="AC190" s="26">
        <f t="shared" si="99"/>
        <v>1551.365495604603</v>
      </c>
      <c r="AE190">
        <f t="shared" si="108"/>
        <v>18.599999999999966</v>
      </c>
      <c r="AF190">
        <f t="shared" si="119"/>
        <v>93</v>
      </c>
      <c r="AG190" s="663">
        <f t="shared" si="93"/>
        <v>0.46503725897694892</v>
      </c>
      <c r="AH190" s="471">
        <f t="shared" si="101"/>
        <v>1.0190475128961596</v>
      </c>
      <c r="AI190" s="26">
        <f t="shared" si="102"/>
        <v>1648.6786549282099</v>
      </c>
    </row>
    <row r="191" spans="1:35" x14ac:dyDescent="0.25">
      <c r="A191" s="219"/>
      <c r="H191">
        <f t="shared" si="103"/>
        <v>18.799999999999965</v>
      </c>
      <c r="I191">
        <f t="shared" si="115"/>
        <v>94</v>
      </c>
      <c r="J191" s="48">
        <f t="shared" si="104"/>
        <v>0.46374589124770238</v>
      </c>
      <c r="K191" s="26">
        <f t="shared" si="95"/>
        <v>1355.5459349691207</v>
      </c>
      <c r="M191">
        <f t="shared" si="105"/>
        <v>18.799999999999965</v>
      </c>
      <c r="N191">
        <f t="shared" si="116"/>
        <v>94</v>
      </c>
      <c r="O191" s="663">
        <f t="shared" si="87"/>
        <v>0.46374589124770238</v>
      </c>
      <c r="P191" s="471">
        <f t="shared" si="88"/>
        <v>0.70868160539264569</v>
      </c>
      <c r="Q191" s="917">
        <f t="shared" si="114"/>
        <v>1371.9265148645036</v>
      </c>
      <c r="S191">
        <f t="shared" si="106"/>
        <v>18.799999999999965</v>
      </c>
      <c r="T191">
        <f t="shared" si="117"/>
        <v>94</v>
      </c>
      <c r="U191" s="663">
        <f t="shared" si="89"/>
        <v>0.46374589124770238</v>
      </c>
      <c r="V191" s="918">
        <f t="shared" si="90"/>
        <v>0.84863113081284813</v>
      </c>
      <c r="W191" s="917">
        <f t="shared" si="86"/>
        <v>1441.8480529226965</v>
      </c>
      <c r="X191" s="801"/>
      <c r="Y191">
        <f t="shared" si="107"/>
        <v>18.799999999999965</v>
      </c>
      <c r="Z191">
        <f t="shared" si="118"/>
        <v>94</v>
      </c>
      <c r="AA191" s="663">
        <f t="shared" si="91"/>
        <v>0.46374589124770238</v>
      </c>
      <c r="AB191" s="471">
        <f t="shared" si="92"/>
        <v>0.94298044471944276</v>
      </c>
      <c r="AC191" s="26">
        <f t="shared" si="99"/>
        <v>1547.0574895284926</v>
      </c>
      <c r="AE191">
        <f t="shared" si="108"/>
        <v>18.799999999999965</v>
      </c>
      <c r="AF191">
        <f t="shared" si="119"/>
        <v>94</v>
      </c>
      <c r="AG191" s="663">
        <f t="shared" si="93"/>
        <v>0.46374589124770238</v>
      </c>
      <c r="AH191" s="471">
        <f t="shared" si="101"/>
        <v>1.0162177072250655</v>
      </c>
      <c r="AI191" s="26">
        <f t="shared" si="102"/>
        <v>1644.10041873364</v>
      </c>
    </row>
    <row r="192" spans="1:35" x14ac:dyDescent="0.25">
      <c r="A192" s="219"/>
      <c r="H192">
        <f t="shared" si="103"/>
        <v>18.999999999999964</v>
      </c>
      <c r="I192">
        <f t="shared" si="115"/>
        <v>95</v>
      </c>
      <c r="J192" s="48">
        <f t="shared" si="104"/>
        <v>0.46247171837033429</v>
      </c>
      <c r="K192" s="26">
        <f t="shared" si="95"/>
        <v>1351.8214817783503</v>
      </c>
      <c r="M192">
        <f t="shared" si="105"/>
        <v>18.999999999999964</v>
      </c>
      <c r="N192">
        <f t="shared" si="116"/>
        <v>95</v>
      </c>
      <c r="O192" s="663">
        <f t="shared" si="87"/>
        <v>0.46247171837033429</v>
      </c>
      <c r="P192" s="471">
        <f t="shared" si="88"/>
        <v>0.70673445524571599</v>
      </c>
      <c r="Q192" s="917">
        <f t="shared" si="114"/>
        <v>1368.1570549340245</v>
      </c>
      <c r="S192">
        <f t="shared" si="106"/>
        <v>18.999999999999964</v>
      </c>
      <c r="T192">
        <f t="shared" si="117"/>
        <v>95</v>
      </c>
      <c r="U192" s="663">
        <f t="shared" si="89"/>
        <v>0.46247171837033429</v>
      </c>
      <c r="V192" s="918">
        <f t="shared" si="90"/>
        <v>0.84629945997720424</v>
      </c>
      <c r="W192" s="917">
        <f t="shared" si="86"/>
        <v>1437.8864788861542</v>
      </c>
      <c r="X192" s="801"/>
      <c r="Y192">
        <f t="shared" si="107"/>
        <v>18.999999999999964</v>
      </c>
      <c r="Z192">
        <f t="shared" si="118"/>
        <v>95</v>
      </c>
      <c r="AA192" s="663">
        <f t="shared" si="91"/>
        <v>0.46247171837033429</v>
      </c>
      <c r="AB192" s="471">
        <f t="shared" si="92"/>
        <v>0.94038954282850129</v>
      </c>
      <c r="AC192" s="26">
        <f t="shared" si="99"/>
        <v>1542.8068455226064</v>
      </c>
      <c r="AE192">
        <f t="shared" si="108"/>
        <v>18.999999999999964</v>
      </c>
      <c r="AF192">
        <f t="shared" si="119"/>
        <v>95</v>
      </c>
      <c r="AG192" s="663">
        <f t="shared" si="93"/>
        <v>0.46247171837033429</v>
      </c>
      <c r="AH192" s="471">
        <f t="shared" si="101"/>
        <v>1.0134255810532009</v>
      </c>
      <c r="AI192" s="26">
        <f t="shared" si="102"/>
        <v>1639.5831427841242</v>
      </c>
    </row>
    <row r="193" spans="1:35" x14ac:dyDescent="0.25">
      <c r="A193" s="219"/>
      <c r="H193">
        <f t="shared" si="103"/>
        <v>19.199999999999964</v>
      </c>
      <c r="I193">
        <f t="shared" si="115"/>
        <v>96</v>
      </c>
      <c r="J193" s="48">
        <f t="shared" si="104"/>
        <v>0.46121433397414707</v>
      </c>
      <c r="K193" s="26">
        <f t="shared" si="95"/>
        <v>1348.1461019224566</v>
      </c>
      <c r="M193">
        <f t="shared" si="105"/>
        <v>19.199999999999964</v>
      </c>
      <c r="N193">
        <f t="shared" si="116"/>
        <v>96</v>
      </c>
      <c r="O193" s="663">
        <f t="shared" si="87"/>
        <v>0.46121433397414707</v>
      </c>
      <c r="P193" s="471">
        <f t="shared" si="88"/>
        <v>0.70481296071756361</v>
      </c>
      <c r="Q193" s="917">
        <f t="shared" si="114"/>
        <v>1364.4372613464955</v>
      </c>
      <c r="S193">
        <f t="shared" si="106"/>
        <v>19.199999999999964</v>
      </c>
      <c r="T193">
        <f t="shared" si="117"/>
        <v>96</v>
      </c>
      <c r="U193" s="663">
        <f t="shared" si="89"/>
        <v>0.46121433397414707</v>
      </c>
      <c r="V193" s="918">
        <f t="shared" si="90"/>
        <v>0.84399851119869995</v>
      </c>
      <c r="W193" s="917">
        <f t="shared" si="86"/>
        <v>1433.9771024849097</v>
      </c>
      <c r="X193" s="801"/>
      <c r="Y193">
        <f t="shared" si="107"/>
        <v>19.199999999999964</v>
      </c>
      <c r="Z193">
        <f t="shared" si="118"/>
        <v>96</v>
      </c>
      <c r="AA193" s="663">
        <f t="shared" si="91"/>
        <v>0.46121433397414707</v>
      </c>
      <c r="AB193" s="471">
        <f t="shared" si="92"/>
        <v>0.93783277861888248</v>
      </c>
      <c r="AC193" s="26">
        <f t="shared" si="99"/>
        <v>1538.612207933249</v>
      </c>
      <c r="AE193">
        <f t="shared" si="108"/>
        <v>19.199999999999964</v>
      </c>
      <c r="AF193">
        <f t="shared" si="119"/>
        <v>96</v>
      </c>
      <c r="AG193" s="663">
        <f t="shared" si="93"/>
        <v>0.46121433397414707</v>
      </c>
      <c r="AH193" s="471">
        <f t="shared" si="101"/>
        <v>1.0106702438905231</v>
      </c>
      <c r="AI193" s="26">
        <f t="shared" si="102"/>
        <v>1635.125386389305</v>
      </c>
    </row>
    <row r="194" spans="1:35" x14ac:dyDescent="0.25">
      <c r="A194" s="219"/>
      <c r="H194">
        <f t="shared" si="103"/>
        <v>19.399999999999963</v>
      </c>
      <c r="I194">
        <f t="shared" si="115"/>
        <v>97</v>
      </c>
      <c r="J194" s="48">
        <f t="shared" si="104"/>
        <v>0.45997334539853729</v>
      </c>
      <c r="K194" s="26">
        <f t="shared" si="95"/>
        <v>1344.5186476403605</v>
      </c>
      <c r="M194">
        <f t="shared" si="105"/>
        <v>19.399999999999963</v>
      </c>
      <c r="N194">
        <f t="shared" si="116"/>
        <v>97</v>
      </c>
      <c r="O194" s="663">
        <f t="shared" si="87"/>
        <v>0.45997334539853729</v>
      </c>
      <c r="P194" s="471">
        <f t="shared" si="88"/>
        <v>0.70291652175684127</v>
      </c>
      <c r="Q194" s="917">
        <f t="shared" si="114"/>
        <v>1360.7659724711541</v>
      </c>
      <c r="S194">
        <f t="shared" si="106"/>
        <v>19.399999999999963</v>
      </c>
      <c r="T194">
        <f t="shared" si="117"/>
        <v>97</v>
      </c>
      <c r="U194" s="663">
        <f t="shared" si="89"/>
        <v>0.45997334539853729</v>
      </c>
      <c r="V194" s="918">
        <f t="shared" si="90"/>
        <v>0.84172756592862519</v>
      </c>
      <c r="W194" s="917">
        <f t="shared" si="86"/>
        <v>1430.118702884585</v>
      </c>
      <c r="X194" s="801"/>
      <c r="Y194">
        <f t="shared" si="107"/>
        <v>19.399999999999963</v>
      </c>
      <c r="Z194">
        <f t="shared" si="118"/>
        <v>97</v>
      </c>
      <c r="AA194" s="663">
        <f t="shared" si="91"/>
        <v>0.45997334539853729</v>
      </c>
      <c r="AB194" s="471">
        <f t="shared" si="92"/>
        <v>0.93530935365489676</v>
      </c>
      <c r="AC194" s="26">
        <f t="shared" si="99"/>
        <v>1534.4722668436343</v>
      </c>
      <c r="AE194">
        <f t="shared" si="108"/>
        <v>19.399999999999963</v>
      </c>
      <c r="AF194">
        <f t="shared" si="119"/>
        <v>97</v>
      </c>
      <c r="AG194" s="663">
        <f t="shared" si="93"/>
        <v>0.45997334539853729</v>
      </c>
      <c r="AH194" s="471">
        <f t="shared" si="101"/>
        <v>1.0079508352902535</v>
      </c>
      <c r="AI194" s="26">
        <f t="shared" si="102"/>
        <v>1630.7257574646924</v>
      </c>
    </row>
    <row r="195" spans="1:35" x14ac:dyDescent="0.25">
      <c r="A195" s="219"/>
      <c r="H195">
        <f t="shared" si="103"/>
        <v>19.599999999999962</v>
      </c>
      <c r="I195">
        <f t="shared" si="115"/>
        <v>98</v>
      </c>
      <c r="J195" s="48">
        <f t="shared" si="104"/>
        <v>0.45874837309474703</v>
      </c>
      <c r="K195" s="26">
        <f t="shared" si="95"/>
        <v>1340.9380094973787</v>
      </c>
      <c r="M195">
        <f t="shared" si="105"/>
        <v>19.599999999999962</v>
      </c>
      <c r="N195">
        <f t="shared" si="116"/>
        <v>98</v>
      </c>
      <c r="O195" s="663">
        <f t="shared" si="87"/>
        <v>0.45874837309474703</v>
      </c>
      <c r="P195" s="471">
        <f t="shared" si="88"/>
        <v>0.70104455834930368</v>
      </c>
      <c r="Q195" s="917">
        <f t="shared" si="114"/>
        <v>1357.1420654667752</v>
      </c>
      <c r="S195">
        <f t="shared" si="106"/>
        <v>19.599999999999962</v>
      </c>
      <c r="T195">
        <f t="shared" si="117"/>
        <v>98</v>
      </c>
      <c r="U195" s="663">
        <f t="shared" si="89"/>
        <v>0.45874837309474703</v>
      </c>
      <c r="V195" s="918">
        <f t="shared" si="90"/>
        <v>0.83948592961227309</v>
      </c>
      <c r="W195" s="917">
        <f t="shared" si="86"/>
        <v>1426.310100017286</v>
      </c>
      <c r="X195" s="801"/>
      <c r="Y195">
        <f t="shared" si="107"/>
        <v>19.599999999999962</v>
      </c>
      <c r="Z195">
        <f t="shared" si="118"/>
        <v>98</v>
      </c>
      <c r="AA195" s="663">
        <f t="shared" si="91"/>
        <v>0.45874837309474703</v>
      </c>
      <c r="AB195" s="471">
        <f t="shared" si="92"/>
        <v>0.93281849616246848</v>
      </c>
      <c r="AC195" s="26">
        <f t="shared" si="99"/>
        <v>1530.3857560781264</v>
      </c>
      <c r="AE195">
        <f t="shared" si="108"/>
        <v>19.599999999999962</v>
      </c>
      <c r="AF195">
        <f t="shared" si="119"/>
        <v>98</v>
      </c>
      <c r="AG195" s="663">
        <f t="shared" si="93"/>
        <v>0.45874837309474703</v>
      </c>
      <c r="AH195" s="471">
        <f t="shared" si="101"/>
        <v>1.0052665235379215</v>
      </c>
      <c r="AI195" s="26">
        <f t="shared" si="102"/>
        <v>1626.3829104107162</v>
      </c>
    </row>
    <row r="196" spans="1:35" x14ac:dyDescent="0.25">
      <c r="A196" s="219"/>
      <c r="H196">
        <f t="shared" si="103"/>
        <v>19.799999999999962</v>
      </c>
      <c r="I196">
        <f t="shared" si="115"/>
        <v>99</v>
      </c>
      <c r="J196" s="48">
        <f t="shared" si="104"/>
        <v>0.45753905005952067</v>
      </c>
      <c r="K196" s="26">
        <f t="shared" si="95"/>
        <v>1337.4031147297828</v>
      </c>
      <c r="M196">
        <f t="shared" si="105"/>
        <v>19.799999999999962</v>
      </c>
      <c r="N196">
        <f t="shared" si="116"/>
        <v>99</v>
      </c>
      <c r="O196" s="663">
        <f t="shared" si="87"/>
        <v>0.45753905005952067</v>
      </c>
      <c r="P196" s="471">
        <f t="shared" si="88"/>
        <v>0.69919650965234004</v>
      </c>
      <c r="Q196" s="917">
        <f t="shared" si="114"/>
        <v>1353.5644546062244</v>
      </c>
      <c r="S196">
        <f t="shared" si="106"/>
        <v>19.799999999999962</v>
      </c>
      <c r="T196">
        <f t="shared" si="117"/>
        <v>99</v>
      </c>
      <c r="U196" s="663">
        <f t="shared" si="89"/>
        <v>0.45753905005952067</v>
      </c>
      <c r="V196" s="918">
        <f t="shared" si="90"/>
        <v>0.83727293065256037</v>
      </c>
      <c r="W196" s="917">
        <f t="shared" si="86"/>
        <v>1422.5501528207631</v>
      </c>
      <c r="X196" s="801"/>
      <c r="Y196">
        <f t="shared" si="107"/>
        <v>19.799999999999962</v>
      </c>
      <c r="Z196">
        <f t="shared" si="118"/>
        <v>99</v>
      </c>
      <c r="AA196" s="663">
        <f t="shared" si="91"/>
        <v>0.45753905005952067</v>
      </c>
      <c r="AB196" s="471">
        <f t="shared" si="92"/>
        <v>0.93035945987753443</v>
      </c>
      <c r="AC196" s="26">
        <f t="shared" si="99"/>
        <v>1526.3514513129185</v>
      </c>
      <c r="AE196">
        <f t="shared" si="108"/>
        <v>19.799999999999962</v>
      </c>
      <c r="AF196">
        <f t="shared" si="119"/>
        <v>99</v>
      </c>
      <c r="AG196" s="663">
        <f t="shared" si="93"/>
        <v>0.45753905005952067</v>
      </c>
      <c r="AH196" s="471">
        <f t="shared" si="101"/>
        <v>1.0026165044103217</v>
      </c>
      <c r="AI196" s="26">
        <f t="shared" si="102"/>
        <v>1622.0955441048918</v>
      </c>
    </row>
    <row r="197" spans="1:35" x14ac:dyDescent="0.25">
      <c r="A197" s="219"/>
      <c r="H197">
        <f t="shared" si="103"/>
        <v>19.999999999999961</v>
      </c>
      <c r="I197">
        <f>1+I196</f>
        <v>100</v>
      </c>
      <c r="J197" s="48">
        <f t="shared" si="104"/>
        <v>0.45634502129866439</v>
      </c>
      <c r="K197" s="921">
        <f t="shared" si="95"/>
        <v>1333.9129256767644</v>
      </c>
      <c r="M197">
        <f t="shared" si="105"/>
        <v>19.999999999999961</v>
      </c>
      <c r="N197">
        <f>1+N196</f>
        <v>100</v>
      </c>
      <c r="O197" s="663">
        <f t="shared" si="87"/>
        <v>0.45634502129866439</v>
      </c>
      <c r="P197" s="471">
        <f t="shared" si="88"/>
        <v>0.69737183317520302</v>
      </c>
      <c r="Q197" s="917">
        <f t="shared" si="114"/>
        <v>1350.0320896894762</v>
      </c>
      <c r="S197">
        <f t="shared" si="106"/>
        <v>19.999999999999961</v>
      </c>
      <c r="T197">
        <f>1+T196</f>
        <v>100</v>
      </c>
      <c r="U197" s="663">
        <f t="shared" si="89"/>
        <v>0.45634502129866439</v>
      </c>
      <c r="V197" s="918">
        <f t="shared" si="90"/>
        <v>0.8350879194283698</v>
      </c>
      <c r="W197" s="26">
        <f t="shared" si="86"/>
        <v>1418.837757570549</v>
      </c>
      <c r="X197" s="801"/>
      <c r="Y197">
        <f t="shared" si="107"/>
        <v>19.999999999999961</v>
      </c>
      <c r="Z197">
        <f>1+Z196</f>
        <v>100</v>
      </c>
      <c r="AA197" s="663">
        <f t="shared" si="91"/>
        <v>0.45634502129866439</v>
      </c>
      <c r="AB197" s="471">
        <f t="shared" si="92"/>
        <v>0.9279315229552455</v>
      </c>
      <c r="AC197" s="26">
        <f t="shared" si="99"/>
        <v>1522.3681682864635</v>
      </c>
      <c r="AE197" s="52">
        <f t="shared" si="108"/>
        <v>19.999999999999961</v>
      </c>
      <c r="AF197" s="52">
        <f>1+AF196</f>
        <v>100</v>
      </c>
      <c r="AG197" s="792">
        <f t="shared" si="93"/>
        <v>0.45634502129866439</v>
      </c>
      <c r="AH197" s="919">
        <f t="shared" si="101"/>
        <v>1</v>
      </c>
      <c r="AI197" s="53">
        <f>F42</f>
        <v>1617.8623999999982</v>
      </c>
    </row>
    <row r="198" spans="1:35" x14ac:dyDescent="0.25">
      <c r="A198" s="219"/>
    </row>
    <row r="199" spans="1:35" x14ac:dyDescent="0.25">
      <c r="A199" s="219"/>
    </row>
    <row r="200" spans="1:35" x14ac:dyDescent="0.25">
      <c r="A200" s="219"/>
    </row>
    <row r="201" spans="1:35" x14ac:dyDescent="0.25">
      <c r="A201" s="219"/>
    </row>
    <row r="202" spans="1:35" x14ac:dyDescent="0.25">
      <c r="A202" s="219"/>
    </row>
    <row r="203" spans="1:35" x14ac:dyDescent="0.25">
      <c r="A203" s="219"/>
    </row>
    <row r="204" spans="1:35" x14ac:dyDescent="0.25">
      <c r="A204" s="219"/>
    </row>
    <row r="205" spans="1:35" x14ac:dyDescent="0.25">
      <c r="A205" s="219"/>
    </row>
    <row r="206" spans="1:35" x14ac:dyDescent="0.25">
      <c r="A206" s="219"/>
    </row>
    <row r="207" spans="1:35" x14ac:dyDescent="0.25">
      <c r="A207" s="219"/>
    </row>
    <row r="208" spans="1:35" x14ac:dyDescent="0.25">
      <c r="A208" s="219"/>
    </row>
    <row r="209" spans="1:1" x14ac:dyDescent="0.25">
      <c r="A209" s="219"/>
    </row>
    <row r="210" spans="1:1" x14ac:dyDescent="0.25">
      <c r="A210" s="219"/>
    </row>
    <row r="211" spans="1:1" x14ac:dyDescent="0.25">
      <c r="A211" s="219"/>
    </row>
    <row r="212" spans="1:1" x14ac:dyDescent="0.25">
      <c r="A212" s="219"/>
    </row>
    <row r="213" spans="1:1" x14ac:dyDescent="0.25">
      <c r="A213" s="219"/>
    </row>
    <row r="214" spans="1:1" x14ac:dyDescent="0.25">
      <c r="A214" s="219"/>
    </row>
    <row r="215" spans="1:1" x14ac:dyDescent="0.25">
      <c r="A215" s="219"/>
    </row>
    <row r="216" spans="1:1" x14ac:dyDescent="0.25">
      <c r="A216" s="219"/>
    </row>
    <row r="217" spans="1:1" x14ac:dyDescent="0.25">
      <c r="A217" s="219"/>
    </row>
    <row r="218" spans="1:1" x14ac:dyDescent="0.25">
      <c r="A218" s="219"/>
    </row>
    <row r="219" spans="1:1" x14ac:dyDescent="0.25">
      <c r="A219" s="219"/>
    </row>
    <row r="220" spans="1:1" x14ac:dyDescent="0.25">
      <c r="A220" s="219"/>
    </row>
    <row r="221" spans="1:1" x14ac:dyDescent="0.25">
      <c r="A221" s="219"/>
    </row>
    <row r="222" spans="1:1" x14ac:dyDescent="0.25">
      <c r="A222" s="219"/>
    </row>
    <row r="223" spans="1:1" x14ac:dyDescent="0.25">
      <c r="A223" s="219"/>
    </row>
    <row r="224" spans="1:1" x14ac:dyDescent="0.25">
      <c r="A224" s="219"/>
    </row>
    <row r="225" spans="1:1" x14ac:dyDescent="0.25">
      <c r="A225" s="219"/>
    </row>
    <row r="226" spans="1:1" x14ac:dyDescent="0.25">
      <c r="A226" s="219"/>
    </row>
    <row r="227" spans="1:1" x14ac:dyDescent="0.25">
      <c r="A227" s="219"/>
    </row>
    <row r="228" spans="1:1" x14ac:dyDescent="0.25">
      <c r="A228" s="219"/>
    </row>
    <row r="229" spans="1:1" x14ac:dyDescent="0.25">
      <c r="A229" s="219"/>
    </row>
    <row r="230" spans="1:1" x14ac:dyDescent="0.25">
      <c r="A230" s="219"/>
    </row>
    <row r="231" spans="1:1" x14ac:dyDescent="0.25">
      <c r="A231" s="219"/>
    </row>
    <row r="232" spans="1:1" x14ac:dyDescent="0.25">
      <c r="A232" s="219"/>
    </row>
    <row r="233" spans="1:1" x14ac:dyDescent="0.25">
      <c r="A233" s="219"/>
    </row>
    <row r="234" spans="1:1" x14ac:dyDescent="0.25">
      <c r="A234" s="219"/>
    </row>
    <row r="235" spans="1:1" x14ac:dyDescent="0.25">
      <c r="A235" s="219"/>
    </row>
    <row r="236" spans="1:1" x14ac:dyDescent="0.25">
      <c r="A236" s="219"/>
    </row>
    <row r="237" spans="1:1" x14ac:dyDescent="0.25">
      <c r="A237" s="219"/>
    </row>
    <row r="238" spans="1:1" x14ac:dyDescent="0.25">
      <c r="A238" s="219"/>
    </row>
    <row r="239" spans="1:1" x14ac:dyDescent="0.25">
      <c r="A239" s="219"/>
    </row>
    <row r="240" spans="1:1" x14ac:dyDescent="0.25">
      <c r="A240" s="219"/>
    </row>
    <row r="241" spans="1:1" x14ac:dyDescent="0.25">
      <c r="A241" s="219"/>
    </row>
    <row r="242" spans="1:1" x14ac:dyDescent="0.25">
      <c r="A242" s="219"/>
    </row>
    <row r="243" spans="1:1" x14ac:dyDescent="0.25">
      <c r="A243" s="219"/>
    </row>
    <row r="244" spans="1:1" x14ac:dyDescent="0.25">
      <c r="A244" s="219"/>
    </row>
    <row r="245" spans="1:1" x14ac:dyDescent="0.25">
      <c r="A245" s="219"/>
    </row>
    <row r="246" spans="1:1" x14ac:dyDescent="0.25">
      <c r="A246" s="219"/>
    </row>
    <row r="247" spans="1:1" x14ac:dyDescent="0.25">
      <c r="A247" s="219"/>
    </row>
    <row r="248" spans="1:1" x14ac:dyDescent="0.25">
      <c r="A248" s="219"/>
    </row>
    <row r="249" spans="1:1" x14ac:dyDescent="0.25">
      <c r="A249" s="219"/>
    </row>
    <row r="250" spans="1:1" x14ac:dyDescent="0.25">
      <c r="A250" s="219"/>
    </row>
    <row r="251" spans="1:1" x14ac:dyDescent="0.25">
      <c r="A251" s="219"/>
    </row>
    <row r="252" spans="1:1" x14ac:dyDescent="0.25">
      <c r="A252" s="219"/>
    </row>
    <row r="253" spans="1:1" x14ac:dyDescent="0.25">
      <c r="A253" s="219"/>
    </row>
    <row r="254" spans="1:1" x14ac:dyDescent="0.25">
      <c r="A254" s="219"/>
    </row>
    <row r="255" spans="1:1" x14ac:dyDescent="0.25">
      <c r="A255" s="219"/>
    </row>
    <row r="256" spans="1:1" x14ac:dyDescent="0.25">
      <c r="A256" s="219"/>
    </row>
    <row r="257" spans="1:1" x14ac:dyDescent="0.25">
      <c r="A257" s="219"/>
    </row>
    <row r="258" spans="1:1" x14ac:dyDescent="0.25">
      <c r="A258" s="219"/>
    </row>
    <row r="259" spans="1:1" x14ac:dyDescent="0.25">
      <c r="A259" s="219"/>
    </row>
    <row r="260" spans="1:1" x14ac:dyDescent="0.25">
      <c r="A260" s="219"/>
    </row>
    <row r="261" spans="1:1" x14ac:dyDescent="0.25">
      <c r="A261" s="219"/>
    </row>
    <row r="262" spans="1:1" x14ac:dyDescent="0.25">
      <c r="A262" s="219"/>
    </row>
    <row r="263" spans="1:1" x14ac:dyDescent="0.25">
      <c r="A263" s="219"/>
    </row>
    <row r="264" spans="1:1" x14ac:dyDescent="0.25">
      <c r="A264" s="219"/>
    </row>
    <row r="265" spans="1:1" x14ac:dyDescent="0.25">
      <c r="A265" s="219"/>
    </row>
    <row r="266" spans="1:1" x14ac:dyDescent="0.25">
      <c r="A266" s="219"/>
    </row>
    <row r="267" spans="1:1" x14ac:dyDescent="0.25">
      <c r="A267" s="219"/>
    </row>
    <row r="268" spans="1:1" x14ac:dyDescent="0.25">
      <c r="A268" s="219"/>
    </row>
    <row r="269" spans="1:1" x14ac:dyDescent="0.25">
      <c r="A269" s="219"/>
    </row>
    <row r="270" spans="1:1" x14ac:dyDescent="0.25">
      <c r="A270" s="219"/>
    </row>
    <row r="271" spans="1:1" x14ac:dyDescent="0.25">
      <c r="A271" s="219"/>
    </row>
    <row r="272" spans="1:1" x14ac:dyDescent="0.25">
      <c r="A272" s="219"/>
    </row>
    <row r="273" spans="1:1" x14ac:dyDescent="0.25">
      <c r="A273" s="219"/>
    </row>
    <row r="274" spans="1:1" x14ac:dyDescent="0.25">
      <c r="A274" s="219"/>
    </row>
    <row r="275" spans="1:1" x14ac:dyDescent="0.25">
      <c r="A275" s="219"/>
    </row>
    <row r="276" spans="1:1" x14ac:dyDescent="0.25">
      <c r="A276" s="219"/>
    </row>
    <row r="277" spans="1:1" x14ac:dyDescent="0.25">
      <c r="A277" s="219"/>
    </row>
    <row r="278" spans="1:1" x14ac:dyDescent="0.25">
      <c r="A278" s="219"/>
    </row>
    <row r="279" spans="1:1" x14ac:dyDescent="0.25">
      <c r="A279" s="219"/>
    </row>
    <row r="280" spans="1:1" x14ac:dyDescent="0.25">
      <c r="A280" s="219"/>
    </row>
    <row r="281" spans="1:1" x14ac:dyDescent="0.25">
      <c r="A281" s="219"/>
    </row>
    <row r="282" spans="1:1" x14ac:dyDescent="0.25">
      <c r="A282" s="219"/>
    </row>
    <row r="283" spans="1:1" x14ac:dyDescent="0.25">
      <c r="A283" s="219"/>
    </row>
    <row r="284" spans="1:1" x14ac:dyDescent="0.25">
      <c r="A284" s="219"/>
    </row>
    <row r="285" spans="1:1" x14ac:dyDescent="0.25">
      <c r="A285" s="219"/>
    </row>
    <row r="286" spans="1:1" x14ac:dyDescent="0.25">
      <c r="A286" s="219"/>
    </row>
    <row r="287" spans="1:1" x14ac:dyDescent="0.25">
      <c r="A287" s="219"/>
    </row>
    <row r="288" spans="1:1" x14ac:dyDescent="0.25">
      <c r="A288" s="219"/>
    </row>
    <row r="289" spans="1:1" x14ac:dyDescent="0.25">
      <c r="A289" s="219"/>
    </row>
    <row r="290" spans="1:1" x14ac:dyDescent="0.25">
      <c r="A290" s="219"/>
    </row>
    <row r="291" spans="1:1" x14ac:dyDescent="0.25">
      <c r="A291" s="219"/>
    </row>
    <row r="292" spans="1:1" x14ac:dyDescent="0.25">
      <c r="A292" s="219"/>
    </row>
    <row r="293" spans="1:1" x14ac:dyDescent="0.25">
      <c r="A293" s="219"/>
    </row>
    <row r="294" spans="1:1" x14ac:dyDescent="0.25">
      <c r="A294" s="219"/>
    </row>
    <row r="295" spans="1:1" x14ac:dyDescent="0.25">
      <c r="A295" s="219"/>
    </row>
    <row r="296" spans="1:1" x14ac:dyDescent="0.25">
      <c r="A296" s="219"/>
    </row>
    <row r="297" spans="1:1" x14ac:dyDescent="0.25">
      <c r="A297" s="219"/>
    </row>
    <row r="298" spans="1:1" x14ac:dyDescent="0.25">
      <c r="A298" s="219"/>
    </row>
    <row r="299" spans="1:1" x14ac:dyDescent="0.25">
      <c r="A299" s="219"/>
    </row>
    <row r="300" spans="1:1" x14ac:dyDescent="0.25">
      <c r="A300" s="219"/>
    </row>
    <row r="301" spans="1:1" x14ac:dyDescent="0.25">
      <c r="A301" s="219"/>
    </row>
    <row r="302" spans="1:1" x14ac:dyDescent="0.25">
      <c r="A302" s="219"/>
    </row>
    <row r="303" spans="1:1" x14ac:dyDescent="0.25">
      <c r="A303" s="219"/>
    </row>
  </sheetData>
  <sheetProtection password="DFD3" sheet="1" objects="1" scenarios="1"/>
  <mergeCells count="17">
    <mergeCell ref="AO26:AS26"/>
    <mergeCell ref="AO27:AS27"/>
    <mergeCell ref="AU1:AY1"/>
    <mergeCell ref="AO2:AS2"/>
    <mergeCell ref="AU2:AY2"/>
    <mergeCell ref="I69:M69"/>
    <mergeCell ref="AH5:AL5"/>
    <mergeCell ref="AO1:AS1"/>
    <mergeCell ref="I34:I37"/>
    <mergeCell ref="S48:W48"/>
    <mergeCell ref="AC48:AG48"/>
    <mergeCell ref="AH48:AL48"/>
    <mergeCell ref="I5:M5"/>
    <mergeCell ref="N5:R5"/>
    <mergeCell ref="S5:W5"/>
    <mergeCell ref="X5:AB5"/>
    <mergeCell ref="AC5:AG5"/>
  </mergeCells>
  <conditionalFormatting sqref="S28:AL45">
    <cfRule type="cellIs" dxfId="2" priority="3" operator="greaterThan">
      <formula>0.01</formula>
    </cfRule>
  </conditionalFormatting>
  <conditionalFormatting sqref="N28:R45">
    <cfRule type="cellIs" dxfId="1" priority="1" operator="greaterThan">
      <formula>0.01</formula>
    </cfRule>
    <cfRule type="cellIs" dxfId="0" priority="2" operator="greaterThan">
      <formula>1</formula>
    </cfRule>
  </conditionalFormatting>
  <pageMargins left="0.7" right="0.7" top="0.75" bottom="0.75" header="0.3" footer="0.3"/>
  <pageSetup orientation="portrait" r:id="rId1"/>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A248"/>
  <sheetViews>
    <sheetView workbookViewId="0">
      <selection activeCell="B1" sqref="B1:B48"/>
    </sheetView>
  </sheetViews>
  <sheetFormatPr defaultColWidth="139.28515625" defaultRowHeight="15" x14ac:dyDescent="0.25"/>
  <cols>
    <col min="1" max="1" width="207.5703125" style="225" customWidth="1"/>
    <col min="2" max="2" width="12.5703125" style="218" customWidth="1"/>
    <col min="3" max="3" width="30.85546875" style="219" customWidth="1"/>
    <col min="4" max="4" width="8.7109375" style="219" customWidth="1"/>
    <col min="5" max="5" width="6.7109375" style="219" customWidth="1"/>
    <col min="6" max="6" width="7.7109375" style="219" customWidth="1"/>
    <col min="7" max="7" width="8.85546875" style="219" customWidth="1"/>
    <col min="8" max="8" width="9.5703125" style="219" customWidth="1"/>
    <col min="9" max="9" width="9" style="219" customWidth="1"/>
    <col min="10" max="10" width="11.5703125" style="219" customWidth="1"/>
    <col min="11" max="12" width="9.42578125" style="219" customWidth="1"/>
    <col min="13" max="13" width="7.140625" style="219" customWidth="1"/>
    <col min="14" max="14" width="7.85546875" style="219" customWidth="1"/>
    <col min="15" max="15" width="7" style="219" customWidth="1"/>
    <col min="16" max="16" width="7.5703125" style="219" customWidth="1"/>
    <col min="17" max="17" width="7" style="219" customWidth="1"/>
    <col min="18" max="18" width="7.5703125" style="219" customWidth="1"/>
    <col min="19" max="19" width="7.140625" style="219" customWidth="1"/>
    <col min="20" max="20" width="7" style="219" customWidth="1"/>
    <col min="21" max="21" width="9.140625" style="219" customWidth="1"/>
    <col min="22" max="22" width="9.28515625" style="219" customWidth="1"/>
    <col min="23" max="23" width="6.5703125" style="219" customWidth="1"/>
    <col min="24" max="24" width="9.28515625" style="219" customWidth="1"/>
    <col min="25" max="25" width="14" style="219" customWidth="1"/>
    <col min="26" max="26" width="9" style="219" customWidth="1"/>
    <col min="27" max="27" width="10.42578125" style="219" customWidth="1"/>
    <col min="28" max="28" width="10.7109375" style="219" customWidth="1"/>
    <col min="29" max="29" width="8.5703125" style="219" customWidth="1"/>
    <col min="30" max="30" width="8.85546875" style="219" customWidth="1"/>
    <col min="31" max="31" width="10" style="219" customWidth="1"/>
    <col min="32" max="32" width="9.85546875" style="219" customWidth="1"/>
    <col min="33" max="33" width="9.28515625" style="219" customWidth="1"/>
    <col min="34" max="34" width="7.7109375" style="219" customWidth="1"/>
    <col min="35" max="35" width="15.28515625" style="219" customWidth="1"/>
    <col min="36" max="36" width="11.140625" style="219" customWidth="1"/>
    <col min="37" max="37" width="12" style="219" customWidth="1"/>
    <col min="38" max="38" width="9.42578125" style="219" customWidth="1"/>
    <col min="39" max="39" width="14" style="219" customWidth="1"/>
    <col min="40" max="40" width="12.7109375" style="219" customWidth="1"/>
    <col min="41" max="41" width="10.85546875" style="219" customWidth="1"/>
    <col min="42" max="42" width="10" style="219" customWidth="1"/>
    <col min="43" max="43" width="7.5703125" style="219" customWidth="1"/>
    <col min="44" max="44" width="12.7109375" style="219" customWidth="1"/>
    <col min="45" max="45" width="12.42578125" style="219" customWidth="1"/>
    <col min="46" max="46" width="14" style="219" customWidth="1"/>
    <col min="47" max="47" width="12.7109375" style="219" customWidth="1"/>
    <col min="48" max="48" width="10.5703125" style="219" customWidth="1"/>
    <col min="49" max="49" width="7" style="219" customWidth="1"/>
    <col min="50" max="50" width="11.42578125" style="219" customWidth="1"/>
    <col min="51" max="51" width="9" style="219" customWidth="1"/>
    <col min="52" max="52" width="8.85546875" style="219" customWidth="1"/>
    <col min="53" max="53" width="7.85546875" style="219" customWidth="1"/>
    <col min="54" max="54" width="11.5703125" style="219" customWidth="1"/>
    <col min="55" max="55" width="12.85546875" style="219" customWidth="1"/>
    <col min="56" max="56" width="10" style="219" customWidth="1"/>
    <col min="57" max="57" width="9.42578125" style="219" customWidth="1"/>
    <col min="58" max="16384" width="139.28515625" style="219"/>
  </cols>
  <sheetData>
    <row r="1" spans="1:59" ht="15.75" x14ac:dyDescent="0.25">
      <c r="A1" s="217"/>
      <c r="B1" s="1264"/>
      <c r="C1" s="254" t="s">
        <v>535</v>
      </c>
      <c r="D1" s="255"/>
      <c r="E1" s="255"/>
      <c r="F1" s="255"/>
      <c r="G1" s="256"/>
      <c r="H1" s="255"/>
      <c r="I1" s="255"/>
      <c r="J1" s="255"/>
      <c r="K1" s="255"/>
      <c r="L1" s="255"/>
      <c r="M1" s="255"/>
      <c r="N1" s="255"/>
      <c r="O1" s="255"/>
      <c r="P1" s="255"/>
      <c r="Q1" s="255"/>
      <c r="R1" s="255"/>
      <c r="S1" s="255"/>
      <c r="T1" s="255"/>
      <c r="U1" s="255"/>
      <c r="V1" s="255"/>
      <c r="W1" s="255"/>
      <c r="X1" s="255"/>
      <c r="Y1" s="255"/>
      <c r="Z1" s="255"/>
      <c r="AA1" s="255"/>
      <c r="AB1" s="255"/>
      <c r="AC1" s="255"/>
      <c r="AD1" s="255"/>
      <c r="AE1" s="255"/>
      <c r="AF1" s="255"/>
      <c r="AG1" s="257"/>
      <c r="AH1" s="257"/>
      <c r="AI1" s="257"/>
      <c r="AJ1" s="257"/>
      <c r="AK1" s="257"/>
      <c r="AL1" s="257"/>
      <c r="AM1" s="257"/>
      <c r="AN1" s="257"/>
      <c r="AO1" s="257"/>
      <c r="AP1" s="257"/>
      <c r="AQ1" s="257"/>
      <c r="AR1" s="257"/>
      <c r="AS1" s="257"/>
      <c r="AT1" s="257"/>
      <c r="AU1" s="257"/>
      <c r="AV1" s="257"/>
      <c r="AW1" s="257"/>
      <c r="AX1" s="257"/>
      <c r="AY1" s="257"/>
      <c r="AZ1" s="257"/>
      <c r="BA1" s="257"/>
      <c r="BB1" s="257"/>
      <c r="BC1" s="257"/>
      <c r="BD1" s="257"/>
      <c r="BE1" s="257"/>
    </row>
    <row r="2" spans="1:59" x14ac:dyDescent="0.25">
      <c r="A2" s="217"/>
      <c r="B2" s="1264"/>
      <c r="C2" s="256" t="s">
        <v>536</v>
      </c>
      <c r="D2" s="256">
        <v>2014</v>
      </c>
      <c r="E2" s="255"/>
      <c r="F2" s="255"/>
      <c r="G2" s="255"/>
      <c r="H2" s="255"/>
      <c r="I2" s="255"/>
      <c r="J2" s="255"/>
      <c r="K2" s="255"/>
      <c r="L2" s="255"/>
      <c r="M2" s="255"/>
      <c r="N2" s="255"/>
      <c r="O2" s="255"/>
      <c r="P2" s="255"/>
      <c r="Q2" s="255"/>
      <c r="R2" s="255"/>
      <c r="S2" s="255"/>
      <c r="T2" s="255"/>
      <c r="U2" s="255"/>
      <c r="V2" s="255"/>
      <c r="W2" s="255"/>
      <c r="X2" s="255"/>
      <c r="Y2" s="255"/>
      <c r="Z2" s="255"/>
      <c r="AA2" s="255"/>
      <c r="AB2" s="255"/>
      <c r="AC2" s="255"/>
      <c r="AD2" s="255"/>
      <c r="AE2" s="255"/>
      <c r="AF2" s="255"/>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row>
    <row r="3" spans="1:59" x14ac:dyDescent="0.25">
      <c r="A3" s="217"/>
      <c r="B3" s="1264"/>
      <c r="C3" s="258" t="s">
        <v>537</v>
      </c>
      <c r="D3" s="255"/>
      <c r="E3" s="255"/>
      <c r="F3" s="255"/>
      <c r="G3" s="255"/>
      <c r="H3" s="255"/>
      <c r="I3" s="255"/>
      <c r="J3" s="255"/>
      <c r="K3" s="255"/>
      <c r="L3" s="255"/>
      <c r="M3" s="255"/>
      <c r="N3" s="255"/>
      <c r="O3" s="255"/>
      <c r="P3" s="255"/>
      <c r="Q3" s="255"/>
      <c r="R3" s="255"/>
      <c r="S3" s="255"/>
      <c r="T3" s="255"/>
      <c r="U3" s="255"/>
      <c r="V3" s="255"/>
      <c r="W3" s="255"/>
      <c r="X3" s="255"/>
      <c r="Y3" s="255"/>
      <c r="Z3" s="255"/>
      <c r="AA3" s="255"/>
      <c r="AB3" s="255"/>
      <c r="AC3" s="255"/>
      <c r="AD3" s="255"/>
      <c r="AE3" s="255"/>
      <c r="AF3" s="255"/>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row>
    <row r="4" spans="1:59" ht="26.25" x14ac:dyDescent="0.25">
      <c r="A4" s="217"/>
      <c r="B4" s="1264"/>
      <c r="C4" s="259" t="s">
        <v>538</v>
      </c>
      <c r="D4" s="255" t="s">
        <v>539</v>
      </c>
      <c r="E4" s="255" t="s">
        <v>540</v>
      </c>
      <c r="F4" s="255" t="s">
        <v>541</v>
      </c>
      <c r="G4" s="255" t="s">
        <v>542</v>
      </c>
      <c r="H4" s="255" t="s">
        <v>543</v>
      </c>
      <c r="I4" s="255" t="s">
        <v>143</v>
      </c>
      <c r="J4" s="255" t="s">
        <v>544</v>
      </c>
      <c r="K4" s="255" t="s">
        <v>545</v>
      </c>
      <c r="L4" s="255" t="s">
        <v>546</v>
      </c>
      <c r="M4" s="255" t="s">
        <v>547</v>
      </c>
      <c r="N4" s="255" t="s">
        <v>548</v>
      </c>
      <c r="O4" s="255" t="s">
        <v>549</v>
      </c>
      <c r="P4" s="255" t="s">
        <v>550</v>
      </c>
      <c r="Q4" s="255" t="s">
        <v>551</v>
      </c>
      <c r="R4" s="255" t="s">
        <v>552</v>
      </c>
      <c r="S4" s="255" t="s">
        <v>553</v>
      </c>
      <c r="T4" s="255" t="s">
        <v>554</v>
      </c>
      <c r="U4" s="255" t="s">
        <v>555</v>
      </c>
      <c r="V4" s="255" t="s">
        <v>556</v>
      </c>
      <c r="W4" s="255" t="s">
        <v>557</v>
      </c>
      <c r="X4" s="255" t="s">
        <v>558</v>
      </c>
      <c r="Y4" s="255" t="s">
        <v>559</v>
      </c>
      <c r="Z4" s="255" t="s">
        <v>560</v>
      </c>
      <c r="AA4" s="255" t="s">
        <v>561</v>
      </c>
      <c r="AB4" s="255" t="s">
        <v>562</v>
      </c>
      <c r="AC4" s="255" t="s">
        <v>563</v>
      </c>
      <c r="AD4" s="255" t="s">
        <v>564</v>
      </c>
      <c r="AE4" s="260" t="s">
        <v>565</v>
      </c>
      <c r="AF4" s="260" t="s">
        <v>566</v>
      </c>
      <c r="AG4" s="257" t="s">
        <v>567</v>
      </c>
      <c r="AH4" s="257" t="s">
        <v>568</v>
      </c>
      <c r="AI4" s="257" t="s">
        <v>569</v>
      </c>
      <c r="AJ4" s="257" t="s">
        <v>570</v>
      </c>
      <c r="AK4" s="257" t="s">
        <v>571</v>
      </c>
      <c r="AL4" s="257" t="s">
        <v>572</v>
      </c>
      <c r="AM4" s="257" t="s">
        <v>573</v>
      </c>
      <c r="AN4" s="257" t="s">
        <v>574</v>
      </c>
      <c r="AO4" s="257" t="s">
        <v>575</v>
      </c>
      <c r="AP4" s="257" t="s">
        <v>576</v>
      </c>
      <c r="AQ4" s="257" t="s">
        <v>577</v>
      </c>
      <c r="AR4" s="257" t="s">
        <v>578</v>
      </c>
      <c r="AS4" s="257" t="s">
        <v>579</v>
      </c>
      <c r="AT4" s="257" t="s">
        <v>580</v>
      </c>
      <c r="AU4" s="257" t="s">
        <v>581</v>
      </c>
      <c r="AV4" s="257" t="s">
        <v>582</v>
      </c>
      <c r="AW4" s="257" t="s">
        <v>583</v>
      </c>
      <c r="AX4" s="257" t="s">
        <v>1404</v>
      </c>
      <c r="AY4" s="257" t="s">
        <v>584</v>
      </c>
      <c r="AZ4" s="257" t="s">
        <v>585</v>
      </c>
      <c r="BA4" s="257" t="s">
        <v>586</v>
      </c>
      <c r="BB4" s="257" t="s">
        <v>587</v>
      </c>
      <c r="BC4" s="257" t="s">
        <v>588</v>
      </c>
      <c r="BD4" s="257" t="s">
        <v>589</v>
      </c>
      <c r="BE4" s="257" t="s">
        <v>590</v>
      </c>
    </row>
    <row r="5" spans="1:59" s="220" customFormat="1" ht="23.25" x14ac:dyDescent="0.35">
      <c r="A5" s="1246" t="s">
        <v>591</v>
      </c>
      <c r="B5" s="1265"/>
      <c r="C5" s="1247" t="s">
        <v>592</v>
      </c>
      <c r="D5" s="1245">
        <v>6.5663015045558328</v>
      </c>
      <c r="E5" s="1245">
        <v>15.007987862510836</v>
      </c>
      <c r="F5" s="1245">
        <v>7.0846371347429953</v>
      </c>
      <c r="G5" s="1245">
        <v>4.826203119125676</v>
      </c>
      <c r="H5" s="1245">
        <v>6.4064739508622397</v>
      </c>
      <c r="I5" s="1245">
        <v>5.3327562463783602</v>
      </c>
      <c r="J5" s="1245">
        <v>10.92911050768118</v>
      </c>
      <c r="K5" s="1245">
        <v>2.1427253941237847</v>
      </c>
      <c r="L5" s="1245">
        <v>32.548691043673088</v>
      </c>
      <c r="M5" s="1245">
        <v>9.8466682201793301</v>
      </c>
      <c r="N5" s="1245">
        <v>5.3003107956201037</v>
      </c>
      <c r="O5" s="1245">
        <v>15.700155296893501</v>
      </c>
      <c r="P5" s="1245">
        <v>4.3942043294119415</v>
      </c>
      <c r="Q5" s="1245">
        <v>3.9758007039236603</v>
      </c>
      <c r="R5" s="1245">
        <v>4.9259886709375857</v>
      </c>
      <c r="S5" s="1245">
        <v>2.8565842192292377</v>
      </c>
      <c r="T5" s="1245">
        <v>3.3648775995019649</v>
      </c>
      <c r="U5" s="1245">
        <v>11.000360246278921</v>
      </c>
      <c r="V5" s="1245">
        <v>8.0091573924269834</v>
      </c>
      <c r="W5" s="1245">
        <v>12.25358869064806</v>
      </c>
      <c r="X5" s="1245">
        <v>6.7707329622302233</v>
      </c>
      <c r="Y5" s="1245">
        <v>14.203249702918191</v>
      </c>
      <c r="Z5" s="1245">
        <v>7.4627809434201628</v>
      </c>
      <c r="AA5" s="1245">
        <v>4.1832733089772223</v>
      </c>
      <c r="AB5" s="1245">
        <v>5.943993733603512</v>
      </c>
      <c r="AC5" s="1245">
        <v>8.0674112781942782</v>
      </c>
      <c r="AD5" s="1245">
        <v>5.8716795525144336</v>
      </c>
      <c r="AE5" s="260">
        <f>'User Add-in Location'!B10</f>
        <v>0</v>
      </c>
      <c r="AF5" s="260">
        <f>'User Add-in Location'!C10</f>
        <v>0</v>
      </c>
      <c r="AG5" s="1245">
        <v>1.9400922797206936</v>
      </c>
      <c r="AH5" s="1245">
        <v>5.0584565344618202</v>
      </c>
      <c r="AI5" s="1245">
        <v>14.270528031944099</v>
      </c>
      <c r="AJ5" s="1245">
        <v>14.399031849449479</v>
      </c>
      <c r="AK5" s="1245">
        <v>7.2012529050545702</v>
      </c>
      <c r="AL5" s="1245">
        <v>7.8477384931179763</v>
      </c>
      <c r="AM5" s="1245">
        <v>4.6722488171031573</v>
      </c>
      <c r="AN5" s="1245">
        <v>3.6774966274772511</v>
      </c>
      <c r="AO5" s="1245">
        <v>7.3894743190244023</v>
      </c>
      <c r="AP5" s="1245">
        <v>9.5558103321369678</v>
      </c>
      <c r="AQ5" s="1245">
        <v>10.973628912630197</v>
      </c>
      <c r="AR5" s="1245">
        <v>7.9622842868706858</v>
      </c>
      <c r="AS5" s="1245">
        <v>12.478159874798642</v>
      </c>
      <c r="AT5" s="1245">
        <v>8.8901394158803395</v>
      </c>
      <c r="AU5" s="1245">
        <v>2.8738458192074252</v>
      </c>
      <c r="AV5" s="1245">
        <v>14.213445769272573</v>
      </c>
      <c r="AW5" s="1245">
        <v>9.068770211184944</v>
      </c>
      <c r="AX5" s="1245">
        <v>6.1851950930645732</v>
      </c>
      <c r="AY5" s="1245">
        <v>6.9827820154584952</v>
      </c>
      <c r="AZ5" s="1245">
        <v>8.7575038269827594</v>
      </c>
      <c r="BA5" s="1245">
        <v>10.059155813895963</v>
      </c>
      <c r="BB5" s="1245">
        <v>8.5532339583875689</v>
      </c>
      <c r="BC5" s="1245">
        <v>18.067995755372415</v>
      </c>
      <c r="BD5" s="1245">
        <v>6.0720271018909671</v>
      </c>
      <c r="BE5" s="1245">
        <v>6.0865226650108992</v>
      </c>
      <c r="BG5" s="220">
        <f>AZ39/AZ5</f>
        <v>0.18149646006810519</v>
      </c>
    </row>
    <row r="6" spans="1:59" s="220" customFormat="1" x14ac:dyDescent="0.25">
      <c r="A6" s="1248"/>
      <c r="B6" s="1266"/>
      <c r="C6" s="1247" t="s">
        <v>593</v>
      </c>
      <c r="D6" s="1245">
        <v>2.1217253173606982</v>
      </c>
      <c r="E6" s="1245">
        <v>1.1545064345650051</v>
      </c>
      <c r="F6" s="1245">
        <v>2.2579208180524302</v>
      </c>
      <c r="G6" s="1245">
        <v>3.3815852731898213</v>
      </c>
      <c r="H6" s="1245">
        <v>1.9009331827578337</v>
      </c>
      <c r="I6" s="1245">
        <v>2.4706544185030288</v>
      </c>
      <c r="J6" s="1245">
        <v>4.560099781423375</v>
      </c>
      <c r="K6" s="1245">
        <v>4.3441267428190811</v>
      </c>
      <c r="L6" s="1245">
        <v>5.4270365894704629</v>
      </c>
      <c r="M6" s="1245">
        <v>3.8621602818585825</v>
      </c>
      <c r="N6" s="1245">
        <v>4.1706590237824814</v>
      </c>
      <c r="O6" s="1245">
        <v>5.1325576339942822</v>
      </c>
      <c r="P6" s="1245">
        <v>3.9741334224092788</v>
      </c>
      <c r="Q6" s="1245">
        <v>2.9996732076009116</v>
      </c>
      <c r="R6" s="1245">
        <v>2.5167932095734971</v>
      </c>
      <c r="S6" s="1245">
        <v>4.7575558372165849</v>
      </c>
      <c r="T6" s="1245">
        <v>4.8576760222946387</v>
      </c>
      <c r="U6" s="1245">
        <v>2.209793768067291</v>
      </c>
      <c r="V6" s="1245">
        <v>2.3092231612274614</v>
      </c>
      <c r="W6" s="1245">
        <v>7.2698137863822607</v>
      </c>
      <c r="X6" s="1245">
        <v>3.0838668795599453</v>
      </c>
      <c r="Y6" s="1245">
        <v>3.9605628856714223</v>
      </c>
      <c r="Z6" s="1245">
        <v>4.1434676681739697</v>
      </c>
      <c r="AA6" s="1245">
        <v>2.3585410048996196</v>
      </c>
      <c r="AB6" s="1245">
        <v>3.5617445102636367</v>
      </c>
      <c r="AC6" s="1245">
        <v>3.0183302285014721</v>
      </c>
      <c r="AD6" s="1245">
        <v>2.7152476241623149</v>
      </c>
      <c r="AE6" s="260">
        <f>'User Add-in Location'!B11</f>
        <v>0</v>
      </c>
      <c r="AF6" s="260">
        <f>'User Add-in Location'!C11</f>
        <v>0</v>
      </c>
      <c r="AG6" s="1245">
        <v>4.3627959818079853</v>
      </c>
      <c r="AH6" s="1245">
        <v>2.3153345550315967</v>
      </c>
      <c r="AI6" s="1245">
        <v>5.0670945264291074</v>
      </c>
      <c r="AJ6" s="1245">
        <v>3.7325409322545151</v>
      </c>
      <c r="AK6" s="1245">
        <v>2.5869083542754687</v>
      </c>
      <c r="AL6" s="1245">
        <v>5.2739166867905771</v>
      </c>
      <c r="AM6" s="1245">
        <v>3.4134655551633974</v>
      </c>
      <c r="AN6" s="1245">
        <v>2.5400940438975459</v>
      </c>
      <c r="AO6" s="1245">
        <v>3.1204572345899502</v>
      </c>
      <c r="AP6" s="1245">
        <v>3.0839265602222388</v>
      </c>
      <c r="AQ6" s="1245">
        <v>5.2888486005257871</v>
      </c>
      <c r="AR6" s="1245">
        <v>2.282537681469019</v>
      </c>
      <c r="AS6" s="1245">
        <v>5.2339062068773359</v>
      </c>
      <c r="AT6" s="1245">
        <v>4.8477577541185468</v>
      </c>
      <c r="AU6" s="1245">
        <v>4.9183961619501533</v>
      </c>
      <c r="AV6" s="1245">
        <v>3.4888015829998515</v>
      </c>
      <c r="AW6" s="1245">
        <v>1.8761954307556152</v>
      </c>
      <c r="AX6" s="1245">
        <v>2.3006834223650503</v>
      </c>
      <c r="AY6" s="1245">
        <v>2.6863234146781592</v>
      </c>
      <c r="AZ6" s="1245">
        <v>4.4074662526448574</v>
      </c>
      <c r="BA6" s="1245">
        <v>2.4715547976286518</v>
      </c>
      <c r="BB6" s="1245">
        <v>4.3192093614218896</v>
      </c>
      <c r="BC6" s="1245">
        <v>2.0904075373773989</v>
      </c>
      <c r="BD6" s="1245">
        <v>3.808428888735564</v>
      </c>
      <c r="BE6" s="1245">
        <v>1.6924850767937261</v>
      </c>
      <c r="BG6" s="220">
        <f t="shared" ref="BG6:BG18" si="0">AZ40/AZ6</f>
        <v>0.27128314099874667</v>
      </c>
    </row>
    <row r="7" spans="1:59" s="220" customFormat="1" ht="15.75" x14ac:dyDescent="0.25">
      <c r="A7" s="1250" t="s">
        <v>594</v>
      </c>
      <c r="B7" s="1267"/>
      <c r="C7" s="1247" t="s">
        <v>595</v>
      </c>
      <c r="D7" s="1245">
        <v>5.658464877060176</v>
      </c>
      <c r="E7" s="1245">
        <v>4.6057365049848489</v>
      </c>
      <c r="F7" s="1245">
        <v>5.4247639321272834</v>
      </c>
      <c r="G7" s="1245">
        <v>5.8646477205794563</v>
      </c>
      <c r="H7" s="1245">
        <v>5.2907700337789363</v>
      </c>
      <c r="I7" s="1245">
        <v>5.6488630133970359</v>
      </c>
      <c r="J7" s="1245">
        <v>5.1653000162932292</v>
      </c>
      <c r="K7" s="1245">
        <v>5.7520762308525164</v>
      </c>
      <c r="L7" s="1245">
        <v>5.1720714934127292</v>
      </c>
      <c r="M7" s="1245">
        <v>5.6790833431967247</v>
      </c>
      <c r="N7" s="1245">
        <v>5.6240884963707005</v>
      </c>
      <c r="O7" s="1245">
        <v>4.7463855382954749</v>
      </c>
      <c r="P7" s="1245">
        <v>6.1614920079593549</v>
      </c>
      <c r="Q7" s="1245">
        <v>5.0767309134163812</v>
      </c>
      <c r="R7" s="1245">
        <v>5.7371185378032488</v>
      </c>
      <c r="S7" s="1245">
        <v>5.5983909679329757</v>
      </c>
      <c r="T7" s="1245">
        <v>5.8302036251187861</v>
      </c>
      <c r="U7" s="1245">
        <v>5.636659357350732</v>
      </c>
      <c r="V7" s="1245">
        <v>5.4590925943538364</v>
      </c>
      <c r="W7" s="1245">
        <v>6.0965794466917975</v>
      </c>
      <c r="X7" s="1245">
        <v>5.3545600750139322</v>
      </c>
      <c r="Y7" s="1245">
        <v>5.2317409317589663</v>
      </c>
      <c r="Z7" s="1245">
        <v>5.6501982214357671</v>
      </c>
      <c r="AA7" s="1245">
        <v>5.1408827060464866</v>
      </c>
      <c r="AB7" s="1245">
        <v>5.6826704082238528</v>
      </c>
      <c r="AC7" s="1245">
        <v>5.8122124012122924</v>
      </c>
      <c r="AD7" s="1245">
        <v>5.7962149001328624</v>
      </c>
      <c r="AE7" s="260">
        <f>'User Add-in Location'!B12</f>
        <v>0</v>
      </c>
      <c r="AF7" s="260">
        <f>'User Add-in Location'!C12</f>
        <v>0</v>
      </c>
      <c r="AG7" s="1245">
        <v>5.4737035332391999</v>
      </c>
      <c r="AH7" s="1245">
        <v>5.3198732970846834</v>
      </c>
      <c r="AI7" s="1245">
        <v>5.7915189489197223</v>
      </c>
      <c r="AJ7" s="1245">
        <v>4.9636517901362556</v>
      </c>
      <c r="AK7" s="1245">
        <v>5.8265824754752842</v>
      </c>
      <c r="AL7" s="1245">
        <v>4.9783949773331466</v>
      </c>
      <c r="AM7" s="1245">
        <v>5.8338465889167663</v>
      </c>
      <c r="AN7" s="1245">
        <v>5.4088768652049035</v>
      </c>
      <c r="AO7" s="1245">
        <v>5.6903053622914763</v>
      </c>
      <c r="AP7" s="1245">
        <v>5.7652501623115811</v>
      </c>
      <c r="AQ7" s="1245">
        <v>5.6259622413481294</v>
      </c>
      <c r="AR7" s="1245">
        <v>5.5753756715730551</v>
      </c>
      <c r="AS7" s="1245">
        <v>5.0348454645090879</v>
      </c>
      <c r="AT7" s="1245">
        <v>5.7251580186870754</v>
      </c>
      <c r="AU7" s="1245">
        <v>6.0139692436801093</v>
      </c>
      <c r="AV7" s="1245">
        <v>5.7825696920447438</v>
      </c>
      <c r="AW7" s="1245">
        <v>5.1774277772604078</v>
      </c>
      <c r="AX7" s="1245">
        <v>5.4398943205661761</v>
      </c>
      <c r="AY7" s="1245">
        <v>5.5936627499496687</v>
      </c>
      <c r="AZ7" s="1245">
        <v>6.1527195366279654</v>
      </c>
      <c r="BA7" s="1245">
        <v>5.6487443989320569</v>
      </c>
      <c r="BB7" s="1245">
        <v>5.2873420302948837</v>
      </c>
      <c r="BC7" s="1245">
        <v>5.3823949361290406</v>
      </c>
      <c r="BD7" s="1245">
        <v>5.6659916692785082</v>
      </c>
      <c r="BE7" s="1245">
        <v>5.1476637268585703</v>
      </c>
      <c r="BG7" s="220">
        <f t="shared" si="0"/>
        <v>0.39319969550500566</v>
      </c>
    </row>
    <row r="8" spans="1:59" s="220" customFormat="1" ht="15.75" x14ac:dyDescent="0.25">
      <c r="A8" s="1251"/>
      <c r="B8" s="1268"/>
      <c r="C8" s="1247" t="s">
        <v>596</v>
      </c>
      <c r="D8" s="1245">
        <v>1.722263429314655</v>
      </c>
      <c r="E8" s="1245">
        <v>2.0265835353912882</v>
      </c>
      <c r="F8" s="1245">
        <v>2.3565202617840009</v>
      </c>
      <c r="G8" s="1245">
        <v>2.108720255723294</v>
      </c>
      <c r="H8" s="1245">
        <v>1.7752462288891619</v>
      </c>
      <c r="I8" s="1245">
        <v>2.0857658144441165</v>
      </c>
      <c r="J8" s="1245">
        <v>2.1699844529286261</v>
      </c>
      <c r="K8" s="1245">
        <v>1.5283380989668185</v>
      </c>
      <c r="L8" s="1245">
        <v>3.0894862979584099</v>
      </c>
      <c r="M8" s="1245">
        <v>2.4512487914785415</v>
      </c>
      <c r="N8" s="1245">
        <v>1.9932190474384643</v>
      </c>
      <c r="O8" s="1245">
        <v>1.9979140202041468</v>
      </c>
      <c r="P8" s="1245">
        <v>1.9073630041483662</v>
      </c>
      <c r="Q8" s="1245">
        <v>1.7154571321289029</v>
      </c>
      <c r="R8" s="1245">
        <v>1.6580469796191133</v>
      </c>
      <c r="S8" s="1245">
        <v>1.754338828561423</v>
      </c>
      <c r="T8" s="1245">
        <v>1.6337242350759036</v>
      </c>
      <c r="U8" s="1245">
        <v>1.5472413139888725</v>
      </c>
      <c r="V8" s="1245">
        <v>0.66667775536000462</v>
      </c>
      <c r="W8" s="1245">
        <v>2.4137295854432095</v>
      </c>
      <c r="X8" s="1245">
        <v>2.1407379822127441</v>
      </c>
      <c r="Y8" s="1245">
        <v>2.0905524253459324</v>
      </c>
      <c r="Z8" s="1245">
        <v>1.7349949754370158</v>
      </c>
      <c r="AA8" s="1245">
        <v>2.0609765588422073</v>
      </c>
      <c r="AB8" s="1245">
        <v>1.7664804256879791</v>
      </c>
      <c r="AC8" s="1245">
        <v>1.8184218102751089</v>
      </c>
      <c r="AD8" s="1245">
        <v>1.1422024619457718</v>
      </c>
      <c r="AE8" s="260">
        <f>'User Add-in Location'!B13</f>
        <v>0</v>
      </c>
      <c r="AF8" s="260">
        <f>'User Add-in Location'!C13</f>
        <v>0</v>
      </c>
      <c r="AG8" s="1245">
        <v>1.7157333002928972</v>
      </c>
      <c r="AH8" s="1245">
        <v>2.6685376293624996</v>
      </c>
      <c r="AI8" s="1245">
        <v>2.7023379683508639</v>
      </c>
      <c r="AJ8" s="1245">
        <v>1.6180798727756496</v>
      </c>
      <c r="AK8" s="1245">
        <v>1.6392135189991905</v>
      </c>
      <c r="AL8" s="1245">
        <v>2.2300188298741577</v>
      </c>
      <c r="AM8" s="1245">
        <v>1.8230912520177891</v>
      </c>
      <c r="AN8" s="1245">
        <v>1.7128117078258467</v>
      </c>
      <c r="AO8" s="1245">
        <v>1.8113317084140179</v>
      </c>
      <c r="AP8" s="1245">
        <v>1.8204848081159239</v>
      </c>
      <c r="AQ8" s="1245">
        <v>2.5514420998733982</v>
      </c>
      <c r="AR8" s="1245">
        <v>1.9884483934260246</v>
      </c>
      <c r="AS8" s="1245">
        <v>2.6747747215086366</v>
      </c>
      <c r="AT8" s="1245">
        <v>1.8796633259019702</v>
      </c>
      <c r="AU8" s="1245">
        <v>2.2548386315214444</v>
      </c>
      <c r="AV8" s="1245">
        <v>1.8605223532282065</v>
      </c>
      <c r="AW8" s="1245">
        <v>1.0457595924432921</v>
      </c>
      <c r="AX8" s="1245">
        <v>1.7399416111437216</v>
      </c>
      <c r="AY8" s="1245">
        <v>1.8842022630851072</v>
      </c>
      <c r="AZ8" s="1245">
        <v>2.5158190282071158</v>
      </c>
      <c r="BA8" s="1245">
        <v>2.0703209132610683</v>
      </c>
      <c r="BB8" s="1245">
        <v>1.5754586793177539</v>
      </c>
      <c r="BC8" s="1245">
        <v>1.3881082712597104</v>
      </c>
      <c r="BD8" s="1245">
        <v>2.2999526330332887</v>
      </c>
      <c r="BE8" s="1245">
        <v>0.70009900424789651</v>
      </c>
      <c r="BG8" s="220">
        <f t="shared" si="0"/>
        <v>0.57338151007865301</v>
      </c>
    </row>
    <row r="9" spans="1:59" s="220" customFormat="1" ht="15.75" x14ac:dyDescent="0.25">
      <c r="A9" s="1250" t="s">
        <v>597</v>
      </c>
      <c r="B9" s="1267"/>
      <c r="C9" s="1247" t="s">
        <v>598</v>
      </c>
      <c r="D9" s="1245">
        <v>3.7209835041586947</v>
      </c>
      <c r="E9" s="1245">
        <v>4.0383095675852241</v>
      </c>
      <c r="F9" s="1245">
        <v>4.4303622921792476</v>
      </c>
      <c r="G9" s="1245">
        <v>3.5856534108156111</v>
      </c>
      <c r="H9" s="1245">
        <v>4.1632234207013763</v>
      </c>
      <c r="I9" s="1245">
        <v>3.7081430896026335</v>
      </c>
      <c r="J9" s="1245">
        <v>3.9175717489021582</v>
      </c>
      <c r="K9" s="1245">
        <v>4.1447204256930004</v>
      </c>
      <c r="L9" s="1245">
        <v>0</v>
      </c>
      <c r="M9" s="1245">
        <v>4.1780925851042676</v>
      </c>
      <c r="N9" s="1245">
        <v>4.0961077547654874</v>
      </c>
      <c r="O9" s="1245">
        <v>4.5605125100147434</v>
      </c>
      <c r="P9" s="1245">
        <v>4.6311624558960522</v>
      </c>
      <c r="Q9" s="1245">
        <v>3.9622681431654025</v>
      </c>
      <c r="R9" s="1245">
        <v>3.9737127648621073</v>
      </c>
      <c r="S9" s="1245">
        <v>3.8672072178706891</v>
      </c>
      <c r="T9" s="1245">
        <v>3.9537980025861321</v>
      </c>
      <c r="U9" s="1245">
        <v>3.9979355240740428</v>
      </c>
      <c r="V9" s="1245">
        <v>3.4716445222133543</v>
      </c>
      <c r="W9" s="1245">
        <v>3.9164822479573691</v>
      </c>
      <c r="X9" s="1245">
        <v>4.1121969935370659</v>
      </c>
      <c r="Y9" s="1245">
        <v>3.7849325330519097</v>
      </c>
      <c r="Z9" s="1245">
        <v>4.0699657514327914</v>
      </c>
      <c r="AA9" s="1245">
        <v>4.1142319942392955</v>
      </c>
      <c r="AB9" s="1245">
        <v>4.1043371216553011</v>
      </c>
      <c r="AC9" s="1245">
        <v>4.0671098050547814</v>
      </c>
      <c r="AD9" s="1245">
        <v>4.133525838212269</v>
      </c>
      <c r="AE9" s="260">
        <f>'User Add-in Location'!B14</f>
        <v>0</v>
      </c>
      <c r="AF9" s="260">
        <f>'User Add-in Location'!C14</f>
        <v>0</v>
      </c>
      <c r="AG9" s="1245">
        <v>3.6862968130082621</v>
      </c>
      <c r="AH9" s="1245">
        <v>4.0612594674273232</v>
      </c>
      <c r="AI9" s="1245">
        <v>3.8244231223333176</v>
      </c>
      <c r="AJ9" s="1245">
        <v>3.9946684103186541</v>
      </c>
      <c r="AK9" s="1245">
        <v>4.4723972111213497</v>
      </c>
      <c r="AL9" s="1245">
        <v>3.9126039394518224</v>
      </c>
      <c r="AM9" s="1245">
        <v>3.9163701955865071</v>
      </c>
      <c r="AN9" s="1245">
        <v>3.8685335567811641</v>
      </c>
      <c r="AO9" s="1245">
        <v>3.8645038386670554</v>
      </c>
      <c r="AP9" s="1245">
        <v>3.3616171969873152</v>
      </c>
      <c r="AQ9" s="1245">
        <v>3.9103008465069098</v>
      </c>
      <c r="AR9" s="1245">
        <v>3.980617413433587</v>
      </c>
      <c r="AS9" s="1245">
        <v>4.538269651372258</v>
      </c>
      <c r="AT9" s="1245">
        <v>3.6473701897917725</v>
      </c>
      <c r="AU9" s="1245">
        <v>3.7302720437689527</v>
      </c>
      <c r="AV9" s="1245">
        <v>3.7144270513842748</v>
      </c>
      <c r="AW9" s="1245">
        <v>3.6779035347990874</v>
      </c>
      <c r="AX9" s="1245">
        <v>3.8694822977228864</v>
      </c>
      <c r="AY9" s="1245">
        <v>3.8157598997761566</v>
      </c>
      <c r="AZ9" s="1245">
        <v>4.4849554111317893</v>
      </c>
      <c r="BA9" s="1245">
        <v>3.6164525329339794</v>
      </c>
      <c r="BB9" s="1245">
        <v>4.024883193213765</v>
      </c>
      <c r="BC9" s="1245">
        <v>4.1468128416596395</v>
      </c>
      <c r="BD9" s="1245">
        <v>3.9794223424864978</v>
      </c>
      <c r="BE9" s="1245">
        <v>3.6237282971056497</v>
      </c>
      <c r="BG9" s="220">
        <f t="shared" si="0"/>
        <v>0.45449397068689013</v>
      </c>
    </row>
    <row r="10" spans="1:59" s="220" customFormat="1" ht="15.75" x14ac:dyDescent="0.25">
      <c r="A10" s="1250"/>
      <c r="B10" s="1267"/>
      <c r="C10" s="1247" t="s">
        <v>599</v>
      </c>
      <c r="D10" s="1245">
        <v>1.8864531527506188</v>
      </c>
      <c r="E10" s="1245">
        <v>2.3926352998241782</v>
      </c>
      <c r="F10" s="1245">
        <v>2.1335161605384201</v>
      </c>
      <c r="G10" s="1245">
        <v>2.3739389120601118</v>
      </c>
      <c r="H10" s="1245">
        <v>2.1136263813823462</v>
      </c>
      <c r="I10" s="1245">
        <v>1.6717336979927495</v>
      </c>
      <c r="J10" s="1245">
        <v>2.0251345874276012</v>
      </c>
      <c r="K10" s="1245">
        <v>2.9814345564227551</v>
      </c>
      <c r="L10" s="1245">
        <v>2.4821015845518559</v>
      </c>
      <c r="M10" s="1245">
        <v>2.2962201391346753</v>
      </c>
      <c r="N10" s="1245">
        <v>1.9004839163972065</v>
      </c>
      <c r="O10" s="1245">
        <v>1.8958374431822449</v>
      </c>
      <c r="P10" s="1245">
        <v>2.0214689886197448</v>
      </c>
      <c r="Q10" s="1245">
        <v>1.7386777088977396</v>
      </c>
      <c r="R10" s="1245">
        <v>1.3715894953347743</v>
      </c>
      <c r="S10" s="1245">
        <v>1.5399549449793994</v>
      </c>
      <c r="T10" s="1245">
        <v>2.0114459865726531</v>
      </c>
      <c r="U10" s="1245">
        <v>2.3507561061996967</v>
      </c>
      <c r="V10" s="1245">
        <v>2.1373806966003031</v>
      </c>
      <c r="W10" s="1245">
        <v>2.4430518497247249</v>
      </c>
      <c r="X10" s="1245">
        <v>1.4634235280100256</v>
      </c>
      <c r="Y10" s="1245">
        <v>2.4849712022114545</v>
      </c>
      <c r="Z10" s="1245">
        <v>2.2930842658970505</v>
      </c>
      <c r="AA10" s="1245">
        <v>2.2346510321367532</v>
      </c>
      <c r="AB10" s="1245">
        <v>1.4996395095949993</v>
      </c>
      <c r="AC10" s="1245">
        <v>1.6720305950148031</v>
      </c>
      <c r="AD10" s="1245">
        <v>2.0740051371976733</v>
      </c>
      <c r="AE10" s="260">
        <f>'User Add-in Location'!B15</f>
        <v>0</v>
      </c>
      <c r="AF10" s="260">
        <f>'User Add-in Location'!C15</f>
        <v>0</v>
      </c>
      <c r="AG10" s="1245">
        <v>1.540550944278948</v>
      </c>
      <c r="AH10" s="1245">
        <v>2.19282685383223</v>
      </c>
      <c r="AI10" s="1245">
        <v>2.7341875839047134</v>
      </c>
      <c r="AJ10" s="1245">
        <v>2.7671542956959456</v>
      </c>
      <c r="AK10" s="1245">
        <v>2.1065858132205904</v>
      </c>
      <c r="AL10" s="1245">
        <v>1.9552934512030333</v>
      </c>
      <c r="AM10" s="1245">
        <v>1.7954321629367769</v>
      </c>
      <c r="AN10" s="1245">
        <v>1.5481589594855905</v>
      </c>
      <c r="AO10" s="1245">
        <v>2.384861194062978</v>
      </c>
      <c r="AP10" s="1245">
        <v>1.964364015031606</v>
      </c>
      <c r="AQ10" s="1245">
        <v>2.4799304525367916</v>
      </c>
      <c r="AR10" s="1245">
        <v>2.2488301282282919</v>
      </c>
      <c r="AS10" s="1245">
        <v>3.2649322142824531</v>
      </c>
      <c r="AT10" s="1245">
        <v>1.8414999491069466</v>
      </c>
      <c r="AU10" s="1245">
        <v>1.8865631833905354</v>
      </c>
      <c r="AV10" s="1245">
        <v>1.7975220486987382</v>
      </c>
      <c r="AW10" s="1245">
        <v>2.0510711770039052</v>
      </c>
      <c r="AX10" s="1245">
        <v>1.9050298763904721</v>
      </c>
      <c r="AY10" s="1245">
        <v>1.8662967698182911</v>
      </c>
      <c r="AZ10" s="1245">
        <v>3.1965908838901669</v>
      </c>
      <c r="BA10" s="1245">
        <v>2.8280915389768779</v>
      </c>
      <c r="BB10" s="1245">
        <v>2.5036218599416316</v>
      </c>
      <c r="BC10" s="1245">
        <v>3.1651613512076437</v>
      </c>
      <c r="BD10" s="1245">
        <v>1.7290629112394527</v>
      </c>
      <c r="BE10" s="1245">
        <v>2.3334209413733333</v>
      </c>
      <c r="BG10" s="220">
        <f t="shared" si="0"/>
        <v>0.63327822787227683</v>
      </c>
    </row>
    <row r="11" spans="1:59" s="220" customFormat="1" ht="15.75" x14ac:dyDescent="0.25">
      <c r="A11" s="1250" t="s">
        <v>600</v>
      </c>
      <c r="B11" s="1267"/>
      <c r="C11" s="1247" t="s">
        <v>601</v>
      </c>
      <c r="D11" s="1245">
        <v>3.7477549455499135</v>
      </c>
      <c r="E11" s="1245">
        <v>0</v>
      </c>
      <c r="F11" s="1245">
        <v>1.1708865742529593</v>
      </c>
      <c r="G11" s="1245">
        <v>3.0169146650580951</v>
      </c>
      <c r="H11" s="1245">
        <v>1.3193218951584191</v>
      </c>
      <c r="I11" s="1245">
        <v>1.5137559611310241</v>
      </c>
      <c r="J11" s="1245">
        <v>2.4553771454800843</v>
      </c>
      <c r="K11" s="1245">
        <v>3.5709360056026007</v>
      </c>
      <c r="L11" s="1245">
        <v>0.67579817323274516</v>
      </c>
      <c r="M11" s="1245">
        <v>1.6767637063098211</v>
      </c>
      <c r="N11" s="1245">
        <v>2.5358411804322274</v>
      </c>
      <c r="O11" s="1245">
        <v>1.1498477817863546</v>
      </c>
      <c r="P11" s="1245">
        <v>1.1241177346116753</v>
      </c>
      <c r="Q11" s="1245">
        <v>3.009896796236756</v>
      </c>
      <c r="R11" s="1245">
        <v>3.2620947207173994</v>
      </c>
      <c r="S11" s="1245">
        <v>2.5015151654520342</v>
      </c>
      <c r="T11" s="1245">
        <v>2.6689459969920497</v>
      </c>
      <c r="U11" s="1245">
        <v>3.7028671336430374</v>
      </c>
      <c r="V11" s="1245">
        <v>2.838088486784248</v>
      </c>
      <c r="W11" s="1245">
        <v>1.522556991987331</v>
      </c>
      <c r="X11" s="1245">
        <v>3.0526045009654057</v>
      </c>
      <c r="Y11" s="1245">
        <v>1.3693274182658042</v>
      </c>
      <c r="Z11" s="1245">
        <v>2.9302084548498994</v>
      </c>
      <c r="AA11" s="1245">
        <v>2.3110433188817834</v>
      </c>
      <c r="AB11" s="1245">
        <v>2.7555427935815628</v>
      </c>
      <c r="AC11" s="1245">
        <v>1.9274731156646565</v>
      </c>
      <c r="AD11" s="1245">
        <v>1.756795569132733</v>
      </c>
      <c r="AE11" s="260">
        <f>'User Add-in Location'!B16</f>
        <v>0</v>
      </c>
      <c r="AF11" s="260">
        <f>'User Add-in Location'!C16</f>
        <v>0</v>
      </c>
      <c r="AG11" s="1245">
        <v>4.0641686326713975</v>
      </c>
      <c r="AH11" s="1245">
        <v>3.3299479612740139</v>
      </c>
      <c r="AI11" s="1245">
        <v>2.722707276703209</v>
      </c>
      <c r="AJ11" s="1245">
        <v>2.3422555949098323</v>
      </c>
      <c r="AK11" s="1245">
        <v>0.98382626297653364</v>
      </c>
      <c r="AL11" s="1245">
        <v>1.835241634358642</v>
      </c>
      <c r="AM11" s="1245">
        <v>1.3262980048374464</v>
      </c>
      <c r="AN11" s="1245">
        <v>3.2208418205220215</v>
      </c>
      <c r="AO11" s="1245">
        <v>2.312894485330069</v>
      </c>
      <c r="AP11" s="1245">
        <v>3.1867271674576627</v>
      </c>
      <c r="AQ11" s="1245">
        <v>0.5630010725349508</v>
      </c>
      <c r="AR11" s="1245">
        <v>2.4273488290848273</v>
      </c>
      <c r="AS11" s="1245">
        <v>1.8431395946010467</v>
      </c>
      <c r="AT11" s="1245">
        <v>3.682804548612205</v>
      </c>
      <c r="AU11" s="1245">
        <v>3.0627337758259108</v>
      </c>
      <c r="AV11" s="1245">
        <v>3.0146494065561602</v>
      </c>
      <c r="AW11" s="1245">
        <v>1.2405537712958552</v>
      </c>
      <c r="AX11" s="1245">
        <v>1.3585892531179613</v>
      </c>
      <c r="AY11" s="1245">
        <v>1.4566755294799805</v>
      </c>
      <c r="AZ11" s="1245">
        <v>1.4598530736020816</v>
      </c>
      <c r="BA11" s="1245">
        <v>1.6961507963877853</v>
      </c>
      <c r="BB11" s="1245">
        <v>1.8362129426771594</v>
      </c>
      <c r="BC11" s="1245">
        <v>2.4769330281083302</v>
      </c>
      <c r="BD11" s="1245">
        <v>3.4398664223250521</v>
      </c>
      <c r="BE11" s="1245">
        <v>5.0323429158938833</v>
      </c>
      <c r="BG11" s="220">
        <f t="shared" si="0"/>
        <v>1.1501490058433366</v>
      </c>
    </row>
    <row r="12" spans="1:59" s="220" customFormat="1" x14ac:dyDescent="0.25">
      <c r="A12" s="1248"/>
      <c r="B12" s="1266"/>
      <c r="C12" s="1247" t="s">
        <v>602</v>
      </c>
      <c r="D12" s="1245">
        <v>2.2836088857715215</v>
      </c>
      <c r="E12" s="1245">
        <v>1.6459864953453962</v>
      </c>
      <c r="F12" s="1245">
        <v>2.4596742636281288</v>
      </c>
      <c r="G12" s="1245">
        <v>3.2843342756979066</v>
      </c>
      <c r="H12" s="1245">
        <v>3.2027370950922087</v>
      </c>
      <c r="I12" s="1245">
        <v>2.7108330084564249</v>
      </c>
      <c r="J12" s="1245">
        <v>3.0112611205923052</v>
      </c>
      <c r="K12" s="1245">
        <v>2.707828263547742</v>
      </c>
      <c r="L12" s="1245">
        <v>4.1665950662849722</v>
      </c>
      <c r="M12" s="1245">
        <v>2.7107788234026735</v>
      </c>
      <c r="N12" s="1245">
        <v>2.8044262089283172</v>
      </c>
      <c r="O12" s="1245">
        <v>2.2415998564713027</v>
      </c>
      <c r="P12" s="1245">
        <v>3.4143175613154977</v>
      </c>
      <c r="Q12" s="1245">
        <v>3.4526498132819001</v>
      </c>
      <c r="R12" s="1245">
        <v>3.190412520938223</v>
      </c>
      <c r="S12" s="1245">
        <v>3.2651392204063465</v>
      </c>
      <c r="T12" s="1245">
        <v>2.5789943439432075</v>
      </c>
      <c r="U12" s="1245">
        <v>2.8545912368066029</v>
      </c>
      <c r="V12" s="1245">
        <v>2.4305787265449177</v>
      </c>
      <c r="W12" s="1245">
        <v>3.315745535035949</v>
      </c>
      <c r="X12" s="1245">
        <v>2.8147679774712855</v>
      </c>
      <c r="Y12" s="1245">
        <v>3.112142899586865</v>
      </c>
      <c r="Z12" s="1245">
        <v>2.6751604160775666</v>
      </c>
      <c r="AA12" s="1245">
        <v>3.0420095314126301</v>
      </c>
      <c r="AB12" s="1245">
        <v>2.789842393550106</v>
      </c>
      <c r="AC12" s="1245">
        <v>3.1442156298565127</v>
      </c>
      <c r="AD12" s="1245">
        <v>2.6050812329570832</v>
      </c>
      <c r="AE12" s="260">
        <f>'User Add-in Location'!B17</f>
        <v>0</v>
      </c>
      <c r="AF12" s="260">
        <f>'User Add-in Location'!C17</f>
        <v>0</v>
      </c>
      <c r="AG12" s="1245">
        <v>2.7440330633613317</v>
      </c>
      <c r="AH12" s="1245">
        <v>0</v>
      </c>
      <c r="AI12" s="1245">
        <v>2.7854164389688658</v>
      </c>
      <c r="AJ12" s="1245">
        <v>3.5178034372577374</v>
      </c>
      <c r="AK12" s="1245">
        <v>2.6726474694109861</v>
      </c>
      <c r="AL12" s="1245">
        <v>3.5644827130764498</v>
      </c>
      <c r="AM12" s="1245">
        <v>3.0510917270535547</v>
      </c>
      <c r="AN12" s="1245">
        <v>2.7501171724264495</v>
      </c>
      <c r="AO12" s="1245">
        <v>3.0105004634606121</v>
      </c>
      <c r="AP12" s="1245">
        <v>2.1304996028908287</v>
      </c>
      <c r="AQ12" s="1245">
        <v>2.9450954300192742</v>
      </c>
      <c r="AR12" s="1245">
        <v>3.4605247842930509</v>
      </c>
      <c r="AS12" s="1245">
        <v>3.3896560147325152</v>
      </c>
      <c r="AT12" s="1245">
        <v>2.4589884553418724</v>
      </c>
      <c r="AU12" s="1245">
        <v>3.1436790600657587</v>
      </c>
      <c r="AV12" s="1245">
        <v>3.1828022760583257</v>
      </c>
      <c r="AW12" s="1245">
        <v>2.6255466522418995</v>
      </c>
      <c r="AX12" s="1245">
        <v>2.9702788521411452</v>
      </c>
      <c r="AY12" s="1245">
        <v>3.5666303698255768</v>
      </c>
      <c r="AZ12" s="1245">
        <v>2.6147911486698612</v>
      </c>
      <c r="BA12" s="1245">
        <v>3.2681811601400628</v>
      </c>
      <c r="BB12" s="1245">
        <v>2.9608058812396885</v>
      </c>
      <c r="BC12" s="1245">
        <v>2.5010163116522928</v>
      </c>
      <c r="BD12" s="1245">
        <v>3.306148810982068</v>
      </c>
      <c r="BE12" s="1245">
        <v>2.1112411786381013</v>
      </c>
      <c r="BG12" s="220">
        <f t="shared" si="0"/>
        <v>0.76576689381237928</v>
      </c>
    </row>
    <row r="13" spans="1:59" s="220" customFormat="1" x14ac:dyDescent="0.25">
      <c r="A13" s="1248"/>
      <c r="B13" s="1266"/>
      <c r="C13" s="1247" t="s">
        <v>603</v>
      </c>
      <c r="D13" s="1245">
        <v>3.9408817359787265</v>
      </c>
      <c r="E13" s="1245">
        <v>3.5149118446304413</v>
      </c>
      <c r="F13" s="1245">
        <v>3.6856528305008029</v>
      </c>
      <c r="G13" s="1245">
        <v>3.4811726079015677</v>
      </c>
      <c r="H13" s="1245">
        <v>3.3753966756923472</v>
      </c>
      <c r="I13" s="1245">
        <v>3.6626469629253458</v>
      </c>
      <c r="J13" s="1245">
        <v>3.0256775576197459</v>
      </c>
      <c r="K13" s="1245">
        <v>3.3663703110403644</v>
      </c>
      <c r="L13" s="1245">
        <v>3.1378673473518055</v>
      </c>
      <c r="M13" s="1245">
        <v>3.5768389707553889</v>
      </c>
      <c r="N13" s="1245">
        <v>3.4624823621647089</v>
      </c>
      <c r="O13" s="1245">
        <v>4.3872869565815273</v>
      </c>
      <c r="P13" s="1245">
        <v>4.2342134058832412</v>
      </c>
      <c r="Q13" s="1245">
        <v>3.3890594676583117</v>
      </c>
      <c r="R13" s="1245">
        <v>3.879410329693092</v>
      </c>
      <c r="S13" s="1245">
        <v>3.9997207767235308</v>
      </c>
      <c r="T13" s="1245">
        <v>3.713357157336024</v>
      </c>
      <c r="U13" s="1245">
        <v>3.6677167949562302</v>
      </c>
      <c r="V13" s="1245">
        <v>3.7160030347858362</v>
      </c>
      <c r="W13" s="1245">
        <v>3.9159248306365786</v>
      </c>
      <c r="X13" s="1245">
        <v>3.5362717160207784</v>
      </c>
      <c r="Y13" s="1245">
        <v>3.3808728886221697</v>
      </c>
      <c r="Z13" s="1245">
        <v>3.5648932148596484</v>
      </c>
      <c r="AA13" s="1245">
        <v>3.6579341728530248</v>
      </c>
      <c r="AB13" s="1245">
        <v>4.0494564758803318</v>
      </c>
      <c r="AC13" s="1245">
        <v>3.8527005612493279</v>
      </c>
      <c r="AD13" s="1245">
        <v>4.0830311129906933</v>
      </c>
      <c r="AE13" s="260">
        <f>'User Add-in Location'!B18</f>
        <v>0</v>
      </c>
      <c r="AF13" s="260">
        <f>'User Add-in Location'!C18</f>
        <v>0</v>
      </c>
      <c r="AG13" s="1245">
        <v>3.9707274956617526</v>
      </c>
      <c r="AH13" s="1245">
        <v>3.8267372234138901</v>
      </c>
      <c r="AI13" s="1245">
        <v>3.677236958463749</v>
      </c>
      <c r="AJ13" s="1245">
        <v>3.1302050713293568</v>
      </c>
      <c r="AK13" s="1245">
        <v>4.3849579948151183</v>
      </c>
      <c r="AL13" s="1245">
        <v>3.2056023423543234</v>
      </c>
      <c r="AM13" s="1245">
        <v>3.8267589243586193</v>
      </c>
      <c r="AN13" s="1245">
        <v>3.5577945492224781</v>
      </c>
      <c r="AO13" s="1245">
        <v>3.7673278163293165</v>
      </c>
      <c r="AP13" s="1245">
        <v>3.813662199488657</v>
      </c>
      <c r="AQ13" s="1245">
        <v>3.8620458888436509</v>
      </c>
      <c r="AR13" s="1245">
        <v>3.4567885256099133</v>
      </c>
      <c r="AS13" s="1245">
        <v>3.7126799240797581</v>
      </c>
      <c r="AT13" s="1245">
        <v>3.7206224698506429</v>
      </c>
      <c r="AU13" s="1245">
        <v>3.9338207399059915</v>
      </c>
      <c r="AV13" s="1245">
        <v>3.7015583946319399</v>
      </c>
      <c r="AW13" s="1245">
        <v>3.2614073453549142</v>
      </c>
      <c r="AX13" s="1245">
        <v>3.5235430883076377</v>
      </c>
      <c r="AY13" s="1245">
        <v>4.0378796360449876</v>
      </c>
      <c r="AZ13" s="1245">
        <v>4.188429735377877</v>
      </c>
      <c r="BA13" s="1245">
        <v>3.6395854099068101</v>
      </c>
      <c r="BB13" s="1245">
        <v>3.4557345967092914</v>
      </c>
      <c r="BC13" s="1245">
        <v>3.9255289317605024</v>
      </c>
      <c r="BD13" s="1245">
        <v>3.9734831061905731</v>
      </c>
      <c r="BE13" s="1245">
        <v>3.5225051280267228</v>
      </c>
      <c r="BG13" s="220">
        <f t="shared" si="0"/>
        <v>0.5460642210265354</v>
      </c>
    </row>
    <row r="14" spans="1:59" s="220" customFormat="1" x14ac:dyDescent="0.25">
      <c r="A14" s="1248"/>
      <c r="B14" s="1266"/>
      <c r="C14" s="1247" t="s">
        <v>604</v>
      </c>
      <c r="D14" s="1245">
        <v>11.956310142203314</v>
      </c>
      <c r="E14" s="1245">
        <v>12.349292427551084</v>
      </c>
      <c r="F14" s="1245">
        <v>11.119490757845597</v>
      </c>
      <c r="G14" s="1245">
        <v>12.828276082203757</v>
      </c>
      <c r="H14" s="1245">
        <v>10.244031208122585</v>
      </c>
      <c r="I14" s="1245">
        <v>12.190173326333969</v>
      </c>
      <c r="J14" s="1245">
        <v>11.054522692294677</v>
      </c>
      <c r="K14" s="1245">
        <v>13.111782376855182</v>
      </c>
      <c r="L14" s="1245">
        <v>11.228455379366965</v>
      </c>
      <c r="M14" s="1245">
        <v>11.930670038035872</v>
      </c>
      <c r="N14" s="1245">
        <v>12.374458776388291</v>
      </c>
      <c r="O14" s="1245">
        <v>10.963848250564146</v>
      </c>
      <c r="P14" s="1245">
        <v>12.605020897858759</v>
      </c>
      <c r="Q14" s="1245">
        <v>11.981935021719313</v>
      </c>
      <c r="R14" s="1245">
        <v>12.716494900165218</v>
      </c>
      <c r="S14" s="1245">
        <v>13.698202814478414</v>
      </c>
      <c r="T14" s="1245">
        <v>12.329884579230699</v>
      </c>
      <c r="U14" s="1245">
        <v>13.613723014750194</v>
      </c>
      <c r="V14" s="1245">
        <v>11.971938694694618</v>
      </c>
      <c r="W14" s="1245">
        <v>12.812100337828195</v>
      </c>
      <c r="X14" s="1245">
        <v>11.814157571669126</v>
      </c>
      <c r="Y14" s="1245">
        <v>12.584338656655724</v>
      </c>
      <c r="Z14" s="1245">
        <v>11.826136685652489</v>
      </c>
      <c r="AA14" s="1245">
        <v>12.215539386775415</v>
      </c>
      <c r="AB14" s="1245">
        <v>12.634674936601067</v>
      </c>
      <c r="AC14" s="1245">
        <v>12.997162245106171</v>
      </c>
      <c r="AD14" s="1245">
        <v>14.285715844734698</v>
      </c>
      <c r="AE14" s="260">
        <f>'User Add-in Location'!B19</f>
        <v>0</v>
      </c>
      <c r="AF14" s="260">
        <f>'User Add-in Location'!C19</f>
        <v>0</v>
      </c>
      <c r="AG14" s="1245">
        <v>13.050872128697996</v>
      </c>
      <c r="AH14" s="1245">
        <v>7.7923411051916514</v>
      </c>
      <c r="AI14" s="1245">
        <v>12.737382226378884</v>
      </c>
      <c r="AJ14" s="1245">
        <v>10.861965778667511</v>
      </c>
      <c r="AK14" s="1245">
        <v>12.952496700039912</v>
      </c>
      <c r="AL14" s="1245">
        <v>10.887379304198754</v>
      </c>
      <c r="AM14" s="1245">
        <v>13.45326683090919</v>
      </c>
      <c r="AN14" s="1245">
        <v>12.232234560435543</v>
      </c>
      <c r="AO14" s="1245">
        <v>12.204906311093263</v>
      </c>
      <c r="AP14" s="1245">
        <v>12.484809736758811</v>
      </c>
      <c r="AQ14" s="1245">
        <v>13.785826056945988</v>
      </c>
      <c r="AR14" s="1245">
        <v>13.023422977711895</v>
      </c>
      <c r="AS14" s="1245">
        <v>12.024152084606255</v>
      </c>
      <c r="AT14" s="1245">
        <v>12.666431768378137</v>
      </c>
      <c r="AU14" s="1245">
        <v>12.828053085838487</v>
      </c>
      <c r="AV14" s="1245">
        <v>12.019563195547438</v>
      </c>
      <c r="AW14" s="1245">
        <v>11.103076792453322</v>
      </c>
      <c r="AX14" s="1245">
        <v>11.764659543120944</v>
      </c>
      <c r="AY14" s="1245">
        <v>11.812326135657166</v>
      </c>
      <c r="AZ14" s="1245">
        <v>12.469190139944828</v>
      </c>
      <c r="BA14" s="1245">
        <v>12.340154949981388</v>
      </c>
      <c r="BB14" s="1245">
        <v>9.5760415659001659</v>
      </c>
      <c r="BC14" s="1245">
        <v>12.811300595843511</v>
      </c>
      <c r="BD14" s="1245">
        <v>12.844840502975011</v>
      </c>
      <c r="BE14" s="1245">
        <v>12.389821345263188</v>
      </c>
      <c r="BG14" s="220">
        <f t="shared" si="0"/>
        <v>0.2437455218705093</v>
      </c>
    </row>
    <row r="15" spans="1:59" s="220" customFormat="1" x14ac:dyDescent="0.25">
      <c r="A15" s="1248"/>
      <c r="B15" s="1266"/>
      <c r="C15" s="1247" t="s">
        <v>605</v>
      </c>
      <c r="D15" s="1245">
        <v>5.57680297969842</v>
      </c>
      <c r="E15" s="1245">
        <v>4.5384933120094288</v>
      </c>
      <c r="F15" s="1245">
        <v>5.6283418839469297</v>
      </c>
      <c r="G15" s="1245">
        <v>5.5530656750971517</v>
      </c>
      <c r="H15" s="1245">
        <v>4.4063292678624038</v>
      </c>
      <c r="I15" s="1245">
        <v>5.4248188372230057</v>
      </c>
      <c r="J15" s="1245">
        <v>3.4375406761614546</v>
      </c>
      <c r="K15" s="1245">
        <v>2.9675155417541839</v>
      </c>
      <c r="L15" s="1245">
        <v>3.2697747735613119</v>
      </c>
      <c r="M15" s="1245">
        <v>5.7807741234895973</v>
      </c>
      <c r="N15" s="1245">
        <v>4.7101040149539006</v>
      </c>
      <c r="O15" s="1245">
        <v>4.5565237543679951</v>
      </c>
      <c r="P15" s="1245">
        <v>5.7070093314754029</v>
      </c>
      <c r="Q15" s="1245">
        <v>4.1292172070388782</v>
      </c>
      <c r="R15" s="1245">
        <v>4.8554445719474462</v>
      </c>
      <c r="S15" s="1245">
        <v>4.0853478666182967</v>
      </c>
      <c r="T15" s="1245">
        <v>5.3158939084581691</v>
      </c>
      <c r="U15" s="1245">
        <v>5.1917177409947728</v>
      </c>
      <c r="V15" s="1245">
        <v>5.7430369732190503</v>
      </c>
      <c r="W15" s="1245">
        <v>4.5612570073324576</v>
      </c>
      <c r="X15" s="1245">
        <v>4.3723836381019696</v>
      </c>
      <c r="Y15" s="1245">
        <v>3.631232682706111</v>
      </c>
      <c r="Z15" s="1245">
        <v>5.0829858947060691</v>
      </c>
      <c r="AA15" s="1245">
        <v>4.4720119188708942</v>
      </c>
      <c r="AB15" s="1245">
        <v>5.5064103002685858</v>
      </c>
      <c r="AC15" s="1245">
        <v>4.9592969872649917</v>
      </c>
      <c r="AD15" s="1245">
        <v>5.9117140975992477</v>
      </c>
      <c r="AE15" s="260">
        <f>'User Add-in Location'!B20</f>
        <v>0</v>
      </c>
      <c r="AF15" s="260">
        <f>'User Add-in Location'!C20</f>
        <v>0</v>
      </c>
      <c r="AG15" s="1245">
        <v>4.4684303300152566</v>
      </c>
      <c r="AH15" s="1245">
        <v>0</v>
      </c>
      <c r="AI15" s="1245">
        <v>4.2202861052101461</v>
      </c>
      <c r="AJ15" s="1245">
        <v>4.3068430666513882</v>
      </c>
      <c r="AK15" s="1245">
        <v>5.009788510157116</v>
      </c>
      <c r="AL15" s="1245">
        <v>2.8283993900083542</v>
      </c>
      <c r="AM15" s="1245">
        <v>4.2516533553010794</v>
      </c>
      <c r="AN15" s="1245">
        <v>4.954991794507051</v>
      </c>
      <c r="AO15" s="1245">
        <v>4.0598304690943721</v>
      </c>
      <c r="AP15" s="1245">
        <v>5.5698752351007315</v>
      </c>
      <c r="AQ15" s="1245">
        <v>5.1121149363767282</v>
      </c>
      <c r="AR15" s="1245">
        <v>4.3187331219623486</v>
      </c>
      <c r="AS15" s="1245">
        <v>4.0460455642947517</v>
      </c>
      <c r="AT15" s="1245">
        <v>5.5628122416931101</v>
      </c>
      <c r="AU15" s="1245">
        <v>3.9816739615145349</v>
      </c>
      <c r="AV15" s="1245">
        <v>5.0208402049997698</v>
      </c>
      <c r="AW15" s="1245">
        <v>5.5134869551721604</v>
      </c>
      <c r="AX15" s="1245">
        <v>4.4698606886415195</v>
      </c>
      <c r="AY15" s="1245">
        <v>5.2353079315147175</v>
      </c>
      <c r="AZ15" s="1245">
        <v>4.6553359884453371</v>
      </c>
      <c r="BA15" s="1245">
        <v>4.5982341230448283</v>
      </c>
      <c r="BB15" s="1245">
        <v>4.4924454183675664</v>
      </c>
      <c r="BC15" s="1245">
        <v>5.0647810405825044</v>
      </c>
      <c r="BD15" s="1245">
        <v>4.3230310285891136</v>
      </c>
      <c r="BE15" s="1245">
        <v>5.6960828670123158</v>
      </c>
      <c r="BG15" s="220">
        <f t="shared" si="0"/>
        <v>0.39683903722799541</v>
      </c>
    </row>
    <row r="16" spans="1:59" s="220" customFormat="1" x14ac:dyDescent="0.25">
      <c r="A16" s="1248"/>
      <c r="B16" s="1266"/>
      <c r="C16" s="1247" t="s">
        <v>606</v>
      </c>
      <c r="D16" s="1245">
        <v>5.9663844575048257</v>
      </c>
      <c r="E16" s="1245">
        <v>5.4210609965518959</v>
      </c>
      <c r="F16" s="1245">
        <v>6.1861656314031972</v>
      </c>
      <c r="G16" s="1245">
        <v>7.0145385293628246</v>
      </c>
      <c r="H16" s="1245">
        <v>5.0334249768802533</v>
      </c>
      <c r="I16" s="1245">
        <v>5.6137216449755138</v>
      </c>
      <c r="J16" s="1245">
        <v>5.238210304806092</v>
      </c>
      <c r="K16" s="1245">
        <v>4.0748806725010693</v>
      </c>
      <c r="L16" s="1245">
        <v>3.3009842280444959</v>
      </c>
      <c r="M16" s="1245">
        <v>6.2545018756730961</v>
      </c>
      <c r="N16" s="1245">
        <v>6.0543704024481988</v>
      </c>
      <c r="O16" s="1245">
        <v>5.9029378842021618</v>
      </c>
      <c r="P16" s="1245">
        <v>5.9261765429635256</v>
      </c>
      <c r="Q16" s="1245">
        <v>4.8994076967563718</v>
      </c>
      <c r="R16" s="1245">
        <v>5.3456796378982894</v>
      </c>
      <c r="S16" s="1245">
        <v>6.2794392389772691</v>
      </c>
      <c r="T16" s="1245">
        <v>6.4586095421179017</v>
      </c>
      <c r="U16" s="1245">
        <v>6.6314483853649255</v>
      </c>
      <c r="V16" s="1245">
        <v>6.1841715359583995</v>
      </c>
      <c r="W16" s="1245">
        <v>6.4635894024641756</v>
      </c>
      <c r="X16" s="1245">
        <v>5.0080656265732388</v>
      </c>
      <c r="Y16" s="1245">
        <v>4.342149864165247</v>
      </c>
      <c r="Z16" s="1245">
        <v>5.64989379166121</v>
      </c>
      <c r="AA16" s="1245">
        <v>5.6061709736138923</v>
      </c>
      <c r="AB16" s="1245">
        <v>6.9544674383701421</v>
      </c>
      <c r="AC16" s="1245">
        <v>5.7116292490386282</v>
      </c>
      <c r="AD16" s="1245">
        <v>7.079556797394698</v>
      </c>
      <c r="AE16" s="260">
        <f>'User Add-in Location'!B21</f>
        <v>0</v>
      </c>
      <c r="AF16" s="260">
        <f>'User Add-in Location'!C21</f>
        <v>0</v>
      </c>
      <c r="AG16" s="1245">
        <v>6.0657102688676847</v>
      </c>
      <c r="AH16" s="1245">
        <v>6.245225194727305</v>
      </c>
      <c r="AI16" s="1245">
        <v>5.7786999460127513</v>
      </c>
      <c r="AJ16" s="1245">
        <v>4.9241055203795208</v>
      </c>
      <c r="AK16" s="1245">
        <v>4.8681872779500921</v>
      </c>
      <c r="AL16" s="1245">
        <v>4.5737785300247582</v>
      </c>
      <c r="AM16" s="1245">
        <v>5.4841041999253735</v>
      </c>
      <c r="AN16" s="1245">
        <v>5.9837715631601256</v>
      </c>
      <c r="AO16" s="1245">
        <v>5.9259750648553062</v>
      </c>
      <c r="AP16" s="1245">
        <v>6.710986315996518</v>
      </c>
      <c r="AQ16" s="1245">
        <v>5.5919951063076638</v>
      </c>
      <c r="AR16" s="1245">
        <v>5.1228349211018411</v>
      </c>
      <c r="AS16" s="1245">
        <v>5.9234286628920838</v>
      </c>
      <c r="AT16" s="1245">
        <v>6.2953378061656835</v>
      </c>
      <c r="AU16" s="1245">
        <v>6.7181013478346179</v>
      </c>
      <c r="AV16" s="1245">
        <v>5.7902110895098611</v>
      </c>
      <c r="AW16" s="1245">
        <v>5.4769990971932225</v>
      </c>
      <c r="AX16" s="1245">
        <v>5.328985501095695</v>
      </c>
      <c r="AY16" s="1245">
        <v>6.3194585005055348</v>
      </c>
      <c r="AZ16" s="1245">
        <v>6.513734697209637</v>
      </c>
      <c r="BA16" s="1245">
        <v>5.018896626312829</v>
      </c>
      <c r="BB16" s="1245">
        <v>5.3165567427237796</v>
      </c>
      <c r="BC16" s="1245">
        <v>6.0695553151465145</v>
      </c>
      <c r="BD16" s="1245">
        <v>5.947434758800771</v>
      </c>
      <c r="BE16" s="1245">
        <v>6.6981384666109962</v>
      </c>
      <c r="BG16" s="220">
        <f t="shared" si="0"/>
        <v>0.47777200577493861</v>
      </c>
    </row>
    <row r="17" spans="1:59" s="220" customFormat="1" x14ac:dyDescent="0.25">
      <c r="A17" s="1248"/>
      <c r="B17" s="1266"/>
      <c r="C17" s="1247" t="s">
        <v>607</v>
      </c>
      <c r="D17" s="1245">
        <v>8.6761030893874125</v>
      </c>
      <c r="E17" s="1245">
        <v>7.0509573724388508</v>
      </c>
      <c r="F17" s="1245">
        <v>7.8739005379187015</v>
      </c>
      <c r="G17" s="1245">
        <v>7.7249277735744055</v>
      </c>
      <c r="H17" s="1245">
        <v>6.730931977633321</v>
      </c>
      <c r="I17" s="1245">
        <v>7.010025719784573</v>
      </c>
      <c r="J17" s="1245">
        <v>6.6360153563914706</v>
      </c>
      <c r="K17" s="1245">
        <v>7.5659203035763118</v>
      </c>
      <c r="L17" s="1245">
        <v>6.2559808361161515</v>
      </c>
      <c r="M17" s="1245">
        <v>8.2157760583184789</v>
      </c>
      <c r="N17" s="1245">
        <v>7.3991403963654943</v>
      </c>
      <c r="O17" s="1245">
        <v>8.0554225791403908</v>
      </c>
      <c r="P17" s="1245">
        <v>9.1265080327058286</v>
      </c>
      <c r="Q17" s="1245">
        <v>7.4002404480447268</v>
      </c>
      <c r="R17" s="1245">
        <v>8.5660456667570823</v>
      </c>
      <c r="S17" s="1245">
        <v>8.7196366660790545</v>
      </c>
      <c r="T17" s="1245">
        <v>7.7231574201348554</v>
      </c>
      <c r="U17" s="1245">
        <v>8.4843075925569735</v>
      </c>
      <c r="V17" s="1245">
        <v>8.1813393053821244</v>
      </c>
      <c r="W17" s="1245">
        <v>8.69431565670574</v>
      </c>
      <c r="X17" s="1245">
        <v>7.1026512424021098</v>
      </c>
      <c r="Y17" s="1245">
        <v>6.9174420910270564</v>
      </c>
      <c r="Z17" s="1245">
        <v>8.3323085599157558</v>
      </c>
      <c r="AA17" s="1245">
        <v>7.5726062032581964</v>
      </c>
      <c r="AB17" s="1245">
        <v>8.9733134484033972</v>
      </c>
      <c r="AC17" s="1245">
        <v>7.5152390937993401</v>
      </c>
      <c r="AD17" s="1245">
        <v>9.2923086146297287</v>
      </c>
      <c r="AE17" s="260">
        <f>'User Add-in Location'!B22</f>
        <v>0</v>
      </c>
      <c r="AF17" s="260">
        <f>'User Add-in Location'!C22</f>
        <v>0</v>
      </c>
      <c r="AG17" s="1245">
        <v>8.2772212872908852</v>
      </c>
      <c r="AH17" s="1245">
        <v>7.9055101310111322</v>
      </c>
      <c r="AI17" s="1245">
        <v>7.5505011107309246</v>
      </c>
      <c r="AJ17" s="1245">
        <v>6.6941554751384365</v>
      </c>
      <c r="AK17" s="1245">
        <v>7.9233361936854045</v>
      </c>
      <c r="AL17" s="1245">
        <v>6.5707528309695089</v>
      </c>
      <c r="AM17" s="1245">
        <v>8.2043953434846877</v>
      </c>
      <c r="AN17" s="1245">
        <v>7.8487056605970595</v>
      </c>
      <c r="AO17" s="1245">
        <v>8.0747577217186066</v>
      </c>
      <c r="AP17" s="1245">
        <v>8.1497098915387163</v>
      </c>
      <c r="AQ17" s="1245">
        <v>8.0605840828834872</v>
      </c>
      <c r="AR17" s="1245">
        <v>7.4360024884668716</v>
      </c>
      <c r="AS17" s="1245">
        <v>7.5192604538896362</v>
      </c>
      <c r="AT17" s="1245">
        <v>8.4649391150793889</v>
      </c>
      <c r="AU17" s="1245">
        <v>8.5460690526017888</v>
      </c>
      <c r="AV17" s="1245">
        <v>7.9970738920365525</v>
      </c>
      <c r="AW17" s="1245">
        <v>7.5038205393500457</v>
      </c>
      <c r="AX17" s="1245">
        <v>7.4449772344150045</v>
      </c>
      <c r="AY17" s="1245">
        <v>7.941773095867064</v>
      </c>
      <c r="AZ17" s="1245">
        <v>8.7269171882902548</v>
      </c>
      <c r="BA17" s="1245">
        <v>7.037438719329205</v>
      </c>
      <c r="BB17" s="1245">
        <v>5.9680754187407148</v>
      </c>
      <c r="BC17" s="1245">
        <v>8.5315296308168183</v>
      </c>
      <c r="BD17" s="1245">
        <v>8.0656572941904123</v>
      </c>
      <c r="BE17" s="1245">
        <v>8.3444100293305361</v>
      </c>
      <c r="BG17" s="220">
        <f t="shared" si="0"/>
        <v>0.31518827951246814</v>
      </c>
    </row>
    <row r="18" spans="1:59" s="220" customFormat="1" ht="15.75" x14ac:dyDescent="0.25">
      <c r="A18" s="1250" t="s">
        <v>608</v>
      </c>
      <c r="B18" s="1267"/>
      <c r="C18" s="1247" t="s">
        <v>609</v>
      </c>
      <c r="D18" s="1245">
        <v>8.6573833358453012</v>
      </c>
      <c r="E18" s="1245">
        <v>7.8686304794968169</v>
      </c>
      <c r="F18" s="1245">
        <v>8.1818339482091105</v>
      </c>
      <c r="G18" s="1245">
        <v>11.918219563562795</v>
      </c>
      <c r="H18" s="1245">
        <v>6.7706171727197866</v>
      </c>
      <c r="I18" s="1245">
        <v>9.7113620165401269</v>
      </c>
      <c r="J18" s="1245">
        <v>6.5802548402943462</v>
      </c>
      <c r="K18" s="1245">
        <v>8.5829000236516801</v>
      </c>
      <c r="L18" s="1245">
        <v>4.369121567860387</v>
      </c>
      <c r="M18" s="1245">
        <v>8.6896008749585523</v>
      </c>
      <c r="N18" s="1245">
        <v>10.183667310218059</v>
      </c>
      <c r="O18" s="1245">
        <v>8.098019677126695</v>
      </c>
      <c r="P18" s="1245">
        <v>11.166429910583274</v>
      </c>
      <c r="Q18" s="1245">
        <v>9.2436109010013325</v>
      </c>
      <c r="R18" s="1245">
        <v>11.812686777567011</v>
      </c>
      <c r="S18" s="1245">
        <v>10.931989468769988</v>
      </c>
      <c r="T18" s="1245">
        <v>11.405731706181031</v>
      </c>
      <c r="U18" s="1245">
        <v>10.062863506425654</v>
      </c>
      <c r="V18" s="1245">
        <v>10.2648566257858</v>
      </c>
      <c r="W18" s="1245">
        <v>10.414893976708209</v>
      </c>
      <c r="X18" s="1245">
        <v>5.8156384100103624</v>
      </c>
      <c r="Y18" s="1245">
        <v>6.4684425064632265</v>
      </c>
      <c r="Z18" s="1245">
        <v>9.650036194131463</v>
      </c>
      <c r="AA18" s="1245">
        <v>9.5888723370630657</v>
      </c>
      <c r="AB18" s="1245">
        <v>11.859017641330443</v>
      </c>
      <c r="AC18" s="1245">
        <v>10.395275426206581</v>
      </c>
      <c r="AD18" s="1245">
        <v>10.626711929566142</v>
      </c>
      <c r="AE18" s="260">
        <f>'User Add-in Location'!B23</f>
        <v>0</v>
      </c>
      <c r="AF18" s="260">
        <f>'User Add-in Location'!C23</f>
        <v>0</v>
      </c>
      <c r="AG18" s="1245">
        <v>11.165118230684755</v>
      </c>
      <c r="AH18" s="1245">
        <v>7.3103160051252614</v>
      </c>
      <c r="AI18" s="1245">
        <v>8.1820844758782911</v>
      </c>
      <c r="AJ18" s="1245">
        <v>8.0011388721646917</v>
      </c>
      <c r="AK18" s="1245">
        <v>6.3706094570006879</v>
      </c>
      <c r="AL18" s="1245">
        <v>6.6442355379233993</v>
      </c>
      <c r="AM18" s="1245">
        <v>10.440893004185783</v>
      </c>
      <c r="AN18" s="1245">
        <v>10.324770238084744</v>
      </c>
      <c r="AO18" s="1245">
        <v>9.0618881827979774</v>
      </c>
      <c r="AP18" s="1245">
        <v>9.0414318805363472</v>
      </c>
      <c r="AQ18" s="1245">
        <v>8.7449818513064734</v>
      </c>
      <c r="AR18" s="1245">
        <v>8.4221817367186436</v>
      </c>
      <c r="AS18" s="1245">
        <v>6.8562026903804938</v>
      </c>
      <c r="AT18" s="1245">
        <v>10.175397503558603</v>
      </c>
      <c r="AU18" s="1245">
        <v>10.569807840732654</v>
      </c>
      <c r="AV18" s="1245">
        <v>9.9890336406048323</v>
      </c>
      <c r="AW18" s="1245">
        <v>9.5401622583012262</v>
      </c>
      <c r="AX18" s="1245">
        <v>8.3704796873853642</v>
      </c>
      <c r="AY18" s="1245">
        <v>10.320112338299129</v>
      </c>
      <c r="AZ18" s="1245">
        <v>10.729227213508278</v>
      </c>
      <c r="BA18" s="1245">
        <v>7.0936845700119981</v>
      </c>
      <c r="BB18" s="1245">
        <v>7.405113600710723</v>
      </c>
      <c r="BC18" s="1245">
        <v>10.044000528225666</v>
      </c>
      <c r="BD18" s="1245">
        <v>9.2135571550053452</v>
      </c>
      <c r="BE18" s="1245">
        <v>10.038588651856047</v>
      </c>
      <c r="BG18" s="220">
        <f t="shared" si="0"/>
        <v>0.38668354312904846</v>
      </c>
    </row>
    <row r="19" spans="1:59" s="220" customFormat="1" x14ac:dyDescent="0.25">
      <c r="A19" s="1248"/>
      <c r="B19" s="1266"/>
      <c r="C19" s="1247"/>
      <c r="D19" s="1245"/>
      <c r="E19" s="1245"/>
      <c r="F19" s="1245"/>
      <c r="G19" s="1245"/>
      <c r="H19" s="1245"/>
      <c r="I19" s="1245"/>
      <c r="J19" s="1245"/>
      <c r="K19" s="1245"/>
      <c r="L19" s="1245"/>
      <c r="M19" s="1245"/>
      <c r="N19" s="1245"/>
      <c r="O19" s="1245"/>
      <c r="P19" s="1245"/>
      <c r="Q19" s="1245"/>
      <c r="R19" s="1245"/>
      <c r="S19" s="1245"/>
      <c r="T19" s="1245"/>
      <c r="U19" s="1245"/>
      <c r="V19" s="1245"/>
      <c r="W19" s="1245"/>
      <c r="X19" s="1245"/>
      <c r="Y19" s="1245"/>
      <c r="Z19" s="1245"/>
      <c r="AA19" s="1245"/>
      <c r="AB19" s="1245"/>
      <c r="AC19" s="1245"/>
      <c r="AD19" s="1245"/>
      <c r="AE19" s="260"/>
      <c r="AF19" s="260"/>
      <c r="AG19" s="1245"/>
      <c r="AH19" s="1245"/>
      <c r="AI19" s="1245"/>
      <c r="AJ19" s="1245"/>
      <c r="AK19" s="1245"/>
      <c r="AL19" s="1245"/>
      <c r="AM19" s="1245"/>
      <c r="AN19" s="1245"/>
      <c r="AO19" s="1245"/>
      <c r="AP19" s="1245"/>
      <c r="AQ19" s="1245"/>
      <c r="AR19" s="1245"/>
      <c r="AS19" s="1245"/>
      <c r="AT19" s="1245"/>
      <c r="AU19" s="1245"/>
      <c r="AV19" s="1245"/>
      <c r="AW19" s="1245"/>
      <c r="AX19" s="1245"/>
      <c r="AY19" s="1245"/>
      <c r="AZ19" s="1245"/>
      <c r="BA19" s="1245"/>
      <c r="BB19" s="1245"/>
      <c r="BC19" s="1245"/>
      <c r="BD19" s="1245"/>
      <c r="BE19" s="1245"/>
    </row>
    <row r="20" spans="1:59" s="220" customFormat="1" x14ac:dyDescent="0.25">
      <c r="A20" s="1248"/>
      <c r="B20" s="1266"/>
      <c r="C20" s="1252" t="s">
        <v>537</v>
      </c>
      <c r="D20" s="1245"/>
      <c r="E20" s="1245"/>
      <c r="F20" s="1245"/>
      <c r="G20" s="1245"/>
      <c r="H20" s="1245"/>
      <c r="I20" s="1245"/>
      <c r="J20" s="1245"/>
      <c r="K20" s="1245"/>
      <c r="L20" s="1245"/>
      <c r="M20" s="1245"/>
      <c r="N20" s="1245"/>
      <c r="O20" s="1245"/>
      <c r="P20" s="1245"/>
      <c r="Q20" s="1245"/>
      <c r="R20" s="1245"/>
      <c r="S20" s="1245"/>
      <c r="T20" s="1245"/>
      <c r="U20" s="1245"/>
      <c r="V20" s="1245"/>
      <c r="W20" s="1245"/>
      <c r="X20" s="1245"/>
      <c r="Y20" s="1245"/>
      <c r="Z20" s="1245"/>
      <c r="AA20" s="1245"/>
      <c r="AB20" s="1245"/>
      <c r="AC20" s="1245"/>
      <c r="AD20" s="1245"/>
      <c r="AE20" s="260"/>
      <c r="AF20" s="260"/>
      <c r="AG20" s="1245"/>
      <c r="AH20" s="1245"/>
      <c r="AI20" s="1245"/>
      <c r="AJ20" s="1245"/>
      <c r="AK20" s="1245"/>
      <c r="AL20" s="1245"/>
      <c r="AM20" s="1245"/>
      <c r="AN20" s="1245"/>
      <c r="AO20" s="1245"/>
      <c r="AP20" s="1245"/>
      <c r="AQ20" s="1245"/>
      <c r="AR20" s="1245"/>
      <c r="AS20" s="1245"/>
      <c r="AT20" s="1245"/>
      <c r="AU20" s="1245"/>
      <c r="AV20" s="1245"/>
      <c r="AW20" s="1245"/>
      <c r="AX20" s="1245"/>
      <c r="AY20" s="1245"/>
      <c r="AZ20" s="1245"/>
      <c r="BA20" s="1245"/>
      <c r="BB20" s="1245"/>
      <c r="BC20" s="1245"/>
      <c r="BD20" s="1245"/>
      <c r="BE20" s="1245"/>
    </row>
    <row r="21" spans="1:59" s="220" customFormat="1" ht="15" customHeight="1" x14ac:dyDescent="0.25">
      <c r="A21" s="1248"/>
      <c r="B21" s="1266"/>
      <c r="C21" s="1253" t="s">
        <v>610</v>
      </c>
      <c r="D21" s="1245" t="s">
        <v>539</v>
      </c>
      <c r="E21" s="1245" t="s">
        <v>540</v>
      </c>
      <c r="F21" s="1245" t="s">
        <v>541</v>
      </c>
      <c r="G21" s="1245" t="s">
        <v>542</v>
      </c>
      <c r="H21" s="1245" t="s">
        <v>543</v>
      </c>
      <c r="I21" s="1245" t="s">
        <v>143</v>
      </c>
      <c r="J21" s="1245" t="s">
        <v>544</v>
      </c>
      <c r="K21" s="1245" t="s">
        <v>545</v>
      </c>
      <c r="L21" s="1245" t="s">
        <v>546</v>
      </c>
      <c r="M21" s="1245" t="s">
        <v>547</v>
      </c>
      <c r="N21" s="1245" t="s">
        <v>548</v>
      </c>
      <c r="O21" s="1245" t="s">
        <v>549</v>
      </c>
      <c r="P21" s="1245" t="s">
        <v>550</v>
      </c>
      <c r="Q21" s="1245" t="s">
        <v>551</v>
      </c>
      <c r="R21" s="1245" t="s">
        <v>552</v>
      </c>
      <c r="S21" s="1245" t="s">
        <v>553</v>
      </c>
      <c r="T21" s="1245" t="s">
        <v>554</v>
      </c>
      <c r="U21" s="1245" t="s">
        <v>555</v>
      </c>
      <c r="V21" s="1245" t="s">
        <v>556</v>
      </c>
      <c r="W21" s="1245" t="s">
        <v>557</v>
      </c>
      <c r="X21" s="1245" t="s">
        <v>558</v>
      </c>
      <c r="Y21" s="1245" t="s">
        <v>559</v>
      </c>
      <c r="Z21" s="1245" t="s">
        <v>560</v>
      </c>
      <c r="AA21" s="1245" t="s">
        <v>561</v>
      </c>
      <c r="AB21" s="1245" t="s">
        <v>562</v>
      </c>
      <c r="AC21" s="1245" t="s">
        <v>563</v>
      </c>
      <c r="AD21" s="1245" t="s">
        <v>564</v>
      </c>
      <c r="AE21" s="260" t="s">
        <v>565</v>
      </c>
      <c r="AF21" s="260" t="s">
        <v>566</v>
      </c>
      <c r="AG21" s="1245" t="s">
        <v>567</v>
      </c>
      <c r="AH21" s="1245" t="s">
        <v>568</v>
      </c>
      <c r="AI21" s="1245" t="s">
        <v>569</v>
      </c>
      <c r="AJ21" s="1245" t="s">
        <v>570</v>
      </c>
      <c r="AK21" s="1245" t="s">
        <v>571</v>
      </c>
      <c r="AL21" s="1245" t="s">
        <v>572</v>
      </c>
      <c r="AM21" s="1245" t="s">
        <v>573</v>
      </c>
      <c r="AN21" s="1245" t="s">
        <v>574</v>
      </c>
      <c r="AO21" s="1245" t="s">
        <v>575</v>
      </c>
      <c r="AP21" s="1245" t="s">
        <v>576</v>
      </c>
      <c r="AQ21" s="1245" t="s">
        <v>577</v>
      </c>
      <c r="AR21" s="1245" t="s">
        <v>578</v>
      </c>
      <c r="AS21" s="1245" t="s">
        <v>579</v>
      </c>
      <c r="AT21" s="1245" t="s">
        <v>580</v>
      </c>
      <c r="AU21" s="1245" t="s">
        <v>581</v>
      </c>
      <c r="AV21" s="1245" t="s">
        <v>582</v>
      </c>
      <c r="AW21" s="1245" t="s">
        <v>583</v>
      </c>
      <c r="AX21" s="1245" t="s">
        <v>1404</v>
      </c>
      <c r="AY21" s="1245" t="s">
        <v>584</v>
      </c>
      <c r="AZ21" s="1245" t="s">
        <v>585</v>
      </c>
      <c r="BA21" s="1245" t="s">
        <v>586</v>
      </c>
      <c r="BB21" s="1245" t="s">
        <v>587</v>
      </c>
      <c r="BC21" s="1245" t="s">
        <v>588</v>
      </c>
      <c r="BD21" s="1245" t="s">
        <v>589</v>
      </c>
      <c r="BE21" s="1245" t="s">
        <v>590</v>
      </c>
    </row>
    <row r="22" spans="1:59" s="220" customFormat="1" x14ac:dyDescent="0.25">
      <c r="A22" s="1248"/>
      <c r="B22" s="1266"/>
      <c r="C22" s="1247" t="s">
        <v>592</v>
      </c>
      <c r="D22" s="1245">
        <v>1.3195139210020899</v>
      </c>
      <c r="E22" s="1245">
        <v>0.57032354145798536</v>
      </c>
      <c r="F22" s="1245">
        <v>1.1653534394962377</v>
      </c>
      <c r="G22" s="1245">
        <v>1.8343318182980095</v>
      </c>
      <c r="H22" s="1245">
        <v>0.78346690047577694</v>
      </c>
      <c r="I22" s="1245">
        <v>2.0262411450500903</v>
      </c>
      <c r="J22" s="1245">
        <v>0.47801404134830378</v>
      </c>
      <c r="K22" s="1245">
        <v>0.90705697817150732</v>
      </c>
      <c r="L22" s="1245">
        <v>0.50293721365509236</v>
      </c>
      <c r="M22" s="1245">
        <v>0.95650180460474332</v>
      </c>
      <c r="N22" s="1245">
        <v>1.3053112636561</v>
      </c>
      <c r="O22" s="1245">
        <v>1.1653477122883675</v>
      </c>
      <c r="P22" s="1245">
        <v>1.6603899698941409</v>
      </c>
      <c r="Q22" s="1245">
        <v>1.1687189922926391</v>
      </c>
      <c r="R22" s="1245">
        <v>0.90446848475723374</v>
      </c>
      <c r="S22" s="1245">
        <v>1.2108440379812528</v>
      </c>
      <c r="T22" s="1245">
        <v>1.7428415134569306</v>
      </c>
      <c r="U22" s="1245">
        <v>1.2219709801577103</v>
      </c>
      <c r="V22" s="1245">
        <v>0.72523960531645115</v>
      </c>
      <c r="W22" s="1245">
        <v>1.4573191331752422</v>
      </c>
      <c r="X22" s="1245">
        <v>0.86596692076232662</v>
      </c>
      <c r="Y22" s="1245">
        <v>0.43859285140392423</v>
      </c>
      <c r="Z22" s="1245">
        <v>1.0059357902516533</v>
      </c>
      <c r="AA22" s="1245">
        <v>1.4369928633569864</v>
      </c>
      <c r="AB22" s="1245">
        <v>1.3585006613208734</v>
      </c>
      <c r="AC22" s="1245">
        <v>1.4740024897016595</v>
      </c>
      <c r="AD22" s="1245">
        <v>1.8244932933492493</v>
      </c>
      <c r="AE22" s="260">
        <f>'User Add-in Location'!B27</f>
        <v>0</v>
      </c>
      <c r="AF22" s="260">
        <f>'User Add-in Location'!C27</f>
        <v>0</v>
      </c>
      <c r="AG22" s="1245">
        <v>1.3663291408502685</v>
      </c>
      <c r="AH22" s="1245">
        <v>0.50364043296431982</v>
      </c>
      <c r="AI22" s="1245">
        <v>0.86689472843732818</v>
      </c>
      <c r="AJ22" s="1245">
        <v>0.42555772629093896</v>
      </c>
      <c r="AK22" s="1245">
        <v>1.4835006548684087</v>
      </c>
      <c r="AL22" s="1245">
        <v>0.97451060066687722</v>
      </c>
      <c r="AM22" s="1245">
        <v>1.0091634809728889</v>
      </c>
      <c r="AN22" s="1245">
        <v>1.2513936924192355</v>
      </c>
      <c r="AO22" s="1245">
        <v>1.0615265243592218</v>
      </c>
      <c r="AP22" s="1245">
        <v>1.7231343957180907</v>
      </c>
      <c r="AQ22" s="1245">
        <v>1.6779696344522728</v>
      </c>
      <c r="AR22" s="1245">
        <v>1.1627074694601223</v>
      </c>
      <c r="AS22" s="1245">
        <v>0.48272016987265043</v>
      </c>
      <c r="AT22" s="1245">
        <v>0.96002567379013293</v>
      </c>
      <c r="AU22" s="1245">
        <v>1.4909083891624688</v>
      </c>
      <c r="AV22" s="1245">
        <v>1.2864781587469079</v>
      </c>
      <c r="AW22" s="1245">
        <v>1.5284968725883268</v>
      </c>
      <c r="AX22" s="1245">
        <v>2.5160479164897831</v>
      </c>
      <c r="AY22" s="1245">
        <v>1.2349529240547563</v>
      </c>
      <c r="AZ22" s="1245">
        <v>2.1778247921005476</v>
      </c>
      <c r="BA22" s="1245">
        <v>1.2737948478316745</v>
      </c>
      <c r="BB22" s="1245">
        <v>0.8879994894396791</v>
      </c>
      <c r="BC22" s="1245">
        <v>1.3052372190400616</v>
      </c>
      <c r="BD22" s="1245">
        <v>1.9357721240981829</v>
      </c>
      <c r="BE22" s="1245">
        <v>0.90768922101176963</v>
      </c>
    </row>
    <row r="23" spans="1:59" s="220" customFormat="1" x14ac:dyDescent="0.25">
      <c r="A23" s="1248"/>
      <c r="B23" s="1266"/>
      <c r="C23" s="1247" t="s">
        <v>593</v>
      </c>
      <c r="D23" s="1245">
        <v>1.3467413722604946</v>
      </c>
      <c r="E23" s="1245">
        <v>0.3854762229366579</v>
      </c>
      <c r="F23" s="1245">
        <v>1.7609998868859333</v>
      </c>
      <c r="G23" s="1245">
        <v>1.5724012402520664</v>
      </c>
      <c r="H23" s="1245">
        <v>1.0656654247339221</v>
      </c>
      <c r="I23" s="1245">
        <v>1.4428833947665449</v>
      </c>
      <c r="J23" s="1245">
        <v>1.6201880634694861</v>
      </c>
      <c r="K23" s="1245">
        <v>1.4929582899895268</v>
      </c>
      <c r="L23" s="1245">
        <v>1.2472158791362375</v>
      </c>
      <c r="M23" s="1245">
        <v>2.8130057238150337</v>
      </c>
      <c r="N23" s="1245">
        <v>1.640434375707654</v>
      </c>
      <c r="O23" s="1245">
        <v>1.7586293427840525</v>
      </c>
      <c r="P23" s="1245">
        <v>1.9186764316282412</v>
      </c>
      <c r="Q23" s="1245">
        <v>1.8142766261446304</v>
      </c>
      <c r="R23" s="1245">
        <v>1.6917733731477158</v>
      </c>
      <c r="S23" s="1245">
        <v>1.5867198999377266</v>
      </c>
      <c r="T23" s="1245">
        <v>2.8907508297242983</v>
      </c>
      <c r="U23" s="1245">
        <v>1.5826005244600601</v>
      </c>
      <c r="V23" s="1245">
        <v>0.98603520877119433</v>
      </c>
      <c r="W23" s="1245">
        <v>2.762200092923814</v>
      </c>
      <c r="X23" s="1245">
        <v>2.0980579403863437</v>
      </c>
      <c r="Y23" s="1245">
        <v>2.13432945030323</v>
      </c>
      <c r="Z23" s="1245">
        <v>2.2772228130395864</v>
      </c>
      <c r="AA23" s="1245">
        <v>1.5445205025050952</v>
      </c>
      <c r="AB23" s="1245">
        <v>1.6091708722321885</v>
      </c>
      <c r="AC23" s="1245">
        <v>1.8243297632189766</v>
      </c>
      <c r="AD23" s="1245">
        <v>1.8873560670493306</v>
      </c>
      <c r="AE23" s="260">
        <f>'User Add-in Location'!B28</f>
        <v>0</v>
      </c>
      <c r="AF23" s="260">
        <f>'User Add-in Location'!C28</f>
        <v>0</v>
      </c>
      <c r="AG23" s="1245">
        <v>1.6351392441901609</v>
      </c>
      <c r="AH23" s="1245">
        <v>1.0256204052247864</v>
      </c>
      <c r="AI23" s="1245">
        <v>1.8015312802964363</v>
      </c>
      <c r="AJ23" s="1245">
        <v>1.8419130021247312</v>
      </c>
      <c r="AK23" s="1245">
        <v>1.4133694275565769</v>
      </c>
      <c r="AL23" s="1245">
        <v>1.901746860448865</v>
      </c>
      <c r="AM23" s="1245">
        <v>1.5916983010112375</v>
      </c>
      <c r="AN23" s="1245">
        <v>0.98603121439615893</v>
      </c>
      <c r="AO23" s="1245">
        <v>1.9645499492037124</v>
      </c>
      <c r="AP23" s="1245">
        <v>1.8762169298918352</v>
      </c>
      <c r="AQ23" s="1245">
        <v>2.2588303607443105</v>
      </c>
      <c r="AR23" s="1245">
        <v>1.3548967112665591</v>
      </c>
      <c r="AS23" s="1245">
        <v>1.9247521110202956</v>
      </c>
      <c r="AT23" s="1245">
        <v>1.754068706346595</v>
      </c>
      <c r="AU23" s="1245">
        <v>1.9597141708152883</v>
      </c>
      <c r="AV23" s="1245">
        <v>1.6839620203211689</v>
      </c>
      <c r="AW23" s="1245">
        <v>1.0913117795750715</v>
      </c>
      <c r="AX23" s="1245">
        <v>2.0574631069017495</v>
      </c>
      <c r="AY23" s="1245">
        <v>1.717369328374448</v>
      </c>
      <c r="AZ23" s="1245">
        <v>1.5065302365068076</v>
      </c>
      <c r="BA23" s="1245">
        <v>1.5890234795169556</v>
      </c>
      <c r="BB23" s="1245">
        <v>1.7095755977907043</v>
      </c>
      <c r="BC23" s="1245">
        <v>1.5491699550462807</v>
      </c>
      <c r="BD23" s="1245">
        <v>1.4011501643968667</v>
      </c>
      <c r="BE23" s="1245">
        <v>0.88815046393353014</v>
      </c>
    </row>
    <row r="24" spans="1:59" s="220" customFormat="1" x14ac:dyDescent="0.25">
      <c r="A24" s="1248"/>
      <c r="B24" s="1266"/>
      <c r="C24" s="1247" t="s">
        <v>595</v>
      </c>
      <c r="D24" s="1245">
        <v>2.8524229298181676</v>
      </c>
      <c r="E24" s="1245">
        <v>1.9416188101673797</v>
      </c>
      <c r="F24" s="1245">
        <v>2.870700918963748</v>
      </c>
      <c r="G24" s="1245">
        <v>3.0196375131301587</v>
      </c>
      <c r="H24" s="1245">
        <v>2.9360729408600177</v>
      </c>
      <c r="I24" s="1245">
        <v>3.169258980854897</v>
      </c>
      <c r="J24" s="1245">
        <v>2.5532904285257403</v>
      </c>
      <c r="K24" s="1245">
        <v>2.6944461864664491</v>
      </c>
      <c r="L24" s="1245">
        <v>1.2707790245542459</v>
      </c>
      <c r="M24" s="1245">
        <v>3.4065510809688826</v>
      </c>
      <c r="N24" s="1245">
        <v>3.2325781999223895</v>
      </c>
      <c r="O24" s="1245">
        <v>2.2205186831806043</v>
      </c>
      <c r="P24" s="1245">
        <v>3.4000618244729539</v>
      </c>
      <c r="Q24" s="1245">
        <v>2.773124388133311</v>
      </c>
      <c r="R24" s="1245">
        <v>2.9611464935873348</v>
      </c>
      <c r="S24" s="1245">
        <v>2.9131867115807641</v>
      </c>
      <c r="T24" s="1245">
        <v>3.0551804966227052</v>
      </c>
      <c r="U24" s="1245">
        <v>2.8845992621361329</v>
      </c>
      <c r="V24" s="1245">
        <v>2.3965543652100108</v>
      </c>
      <c r="W24" s="1245">
        <v>3.5977053354368387</v>
      </c>
      <c r="X24" s="1245">
        <v>2.3654046615372093</v>
      </c>
      <c r="Y24" s="1245">
        <v>2.6301875953717082</v>
      </c>
      <c r="Z24" s="1245">
        <v>3.1454679186263195</v>
      </c>
      <c r="AA24" s="1245">
        <v>2.9770112918936849</v>
      </c>
      <c r="AB24" s="1245">
        <v>2.7897154159991882</v>
      </c>
      <c r="AC24" s="1245">
        <v>3.2617896250774279</v>
      </c>
      <c r="AD24" s="1245">
        <v>3.2151159692620102</v>
      </c>
      <c r="AE24" s="260">
        <f>'User Add-in Location'!B29</f>
        <v>0</v>
      </c>
      <c r="AF24" s="260">
        <f>'User Add-in Location'!C29</f>
        <v>0</v>
      </c>
      <c r="AG24" s="1245">
        <v>2.9174709206281144</v>
      </c>
      <c r="AH24" s="1245">
        <v>1.0288482353826274</v>
      </c>
      <c r="AI24" s="1245">
        <v>3.317632951620372</v>
      </c>
      <c r="AJ24" s="1245">
        <v>2.4576953500604719</v>
      </c>
      <c r="AK24" s="1245">
        <v>2.6965448899119422</v>
      </c>
      <c r="AL24" s="1245">
        <v>2.233649440792262</v>
      </c>
      <c r="AM24" s="1245">
        <v>3.3720401796601203</v>
      </c>
      <c r="AN24" s="1245">
        <v>2.4603203199827695</v>
      </c>
      <c r="AO24" s="1245">
        <v>3.2867209313390804</v>
      </c>
      <c r="AP24" s="1245">
        <v>3.0710648367757756</v>
      </c>
      <c r="AQ24" s="1245">
        <v>3.1264255251508732</v>
      </c>
      <c r="AR24" s="1245">
        <v>3.1122567773552601</v>
      </c>
      <c r="AS24" s="1245">
        <v>2.4861400985778865</v>
      </c>
      <c r="AT24" s="1245">
        <v>2.9830406332993493</v>
      </c>
      <c r="AU24" s="1245">
        <v>3.0952053799375672</v>
      </c>
      <c r="AV24" s="1245">
        <v>3.2808215659371864</v>
      </c>
      <c r="AW24" s="1245">
        <v>2.882276963607231</v>
      </c>
      <c r="AX24" s="1245">
        <v>4.5359339374215999</v>
      </c>
      <c r="AY24" s="1245">
        <v>3.2038248720114084</v>
      </c>
      <c r="AZ24" s="1245">
        <v>3.2296791896844503</v>
      </c>
      <c r="BA24" s="1245">
        <v>2.7259012883019555</v>
      </c>
      <c r="BB24" s="1245">
        <v>2.3126821224694067</v>
      </c>
      <c r="BC24" s="1245">
        <v>2.2884661386900418</v>
      </c>
      <c r="BD24" s="1245">
        <v>3.1684191359074583</v>
      </c>
      <c r="BE24" s="1245">
        <v>1.9101632538703219</v>
      </c>
    </row>
    <row r="25" spans="1:59" s="220" customFormat="1" x14ac:dyDescent="0.25">
      <c r="A25" s="1248"/>
      <c r="B25" s="1266"/>
      <c r="C25" s="1247" t="s">
        <v>596</v>
      </c>
      <c r="D25" s="1245">
        <v>1.7196063792779104</v>
      </c>
      <c r="E25" s="1245">
        <v>1.5137740180773516</v>
      </c>
      <c r="F25" s="1245">
        <v>1.9070028343595831</v>
      </c>
      <c r="G25" s="1245">
        <v>1.9438472919298528</v>
      </c>
      <c r="H25" s="1245">
        <v>2.1425552439571613</v>
      </c>
      <c r="I25" s="1245">
        <v>2.2069593010806581</v>
      </c>
      <c r="J25" s="1245">
        <v>1.2877870797942794</v>
      </c>
      <c r="K25" s="1245">
        <v>1.3818146461340681</v>
      </c>
      <c r="L25" s="1245">
        <v>0.66783594058428331</v>
      </c>
      <c r="M25" s="1245">
        <v>2.2369546058194216</v>
      </c>
      <c r="N25" s="1245">
        <v>1.8277816656722212</v>
      </c>
      <c r="O25" s="1245">
        <v>2.2081797751623955</v>
      </c>
      <c r="P25" s="1245">
        <v>2.1859821463507876</v>
      </c>
      <c r="Q25" s="1245">
        <v>1.8437573613825995</v>
      </c>
      <c r="R25" s="1245">
        <v>1.579410516949618</v>
      </c>
      <c r="S25" s="1245">
        <v>1.722338654650287</v>
      </c>
      <c r="T25" s="1245">
        <v>2.181515129147626</v>
      </c>
      <c r="U25" s="1245">
        <v>1.7093222780525565</v>
      </c>
      <c r="V25" s="1245">
        <v>1.6226980245167626</v>
      </c>
      <c r="W25" s="1245">
        <v>2.0997135034925263</v>
      </c>
      <c r="X25" s="1245">
        <v>1.2603738277121912</v>
      </c>
      <c r="Y25" s="1245">
        <v>1.4176902925636234</v>
      </c>
      <c r="Z25" s="1245">
        <v>1.8602474388198063</v>
      </c>
      <c r="AA25" s="1245">
        <v>2.0701627121006787</v>
      </c>
      <c r="AB25" s="1245">
        <v>1.8425147756112974</v>
      </c>
      <c r="AC25" s="1245">
        <v>1.9205750805965209</v>
      </c>
      <c r="AD25" s="1245">
        <v>2.1731459686252301</v>
      </c>
      <c r="AE25" s="260">
        <f>'User Add-in Location'!B30</f>
        <v>0</v>
      </c>
      <c r="AF25" s="260">
        <f>'User Add-in Location'!C30</f>
        <v>0</v>
      </c>
      <c r="AG25" s="1245">
        <v>1.7578243830901503</v>
      </c>
      <c r="AH25" s="1245">
        <v>1.0973042203738537</v>
      </c>
      <c r="AI25" s="1245">
        <v>1.5038100804395584</v>
      </c>
      <c r="AJ25" s="1245">
        <v>1.538768205729967</v>
      </c>
      <c r="AK25" s="1245">
        <v>2.0845118308946882</v>
      </c>
      <c r="AL25" s="1245">
        <v>1.5365315057505109</v>
      </c>
      <c r="AM25" s="1245">
        <v>1.6867017916724723</v>
      </c>
      <c r="AN25" s="1245">
        <v>1.8267692010412842</v>
      </c>
      <c r="AO25" s="1245">
        <v>1.9707020528837647</v>
      </c>
      <c r="AP25" s="1245">
        <v>2.3268712215447063</v>
      </c>
      <c r="AQ25" s="1245">
        <v>2.2100139056184394</v>
      </c>
      <c r="AR25" s="1245">
        <v>1.935594616699905</v>
      </c>
      <c r="AS25" s="1245">
        <v>1.4749821361364648</v>
      </c>
      <c r="AT25" s="1245">
        <v>1.6041364009051462</v>
      </c>
      <c r="AU25" s="1245">
        <v>1.8284340744921563</v>
      </c>
      <c r="AV25" s="1245">
        <v>1.8382150777910262</v>
      </c>
      <c r="AW25" s="1245">
        <v>2.3477599295163185</v>
      </c>
      <c r="AX25" s="1245">
        <v>4.0691216806034216</v>
      </c>
      <c r="AY25" s="1245">
        <v>2.2874798164743892</v>
      </c>
      <c r="AZ25" s="1245">
        <v>2.1960466123916524</v>
      </c>
      <c r="BA25" s="1245">
        <v>1.4400618514694348</v>
      </c>
      <c r="BB25" s="1245">
        <v>1.6559518400439828</v>
      </c>
      <c r="BC25" s="1245">
        <v>1.6329893063423357</v>
      </c>
      <c r="BD25" s="1245">
        <v>2.0627771798305607</v>
      </c>
      <c r="BE25" s="1245">
        <v>1.5745506183344513</v>
      </c>
    </row>
    <row r="26" spans="1:59" s="220" customFormat="1" x14ac:dyDescent="0.25">
      <c r="A26" s="1248"/>
      <c r="B26" s="1266"/>
      <c r="C26" s="1247" t="s">
        <v>598</v>
      </c>
      <c r="D26" s="1245">
        <v>1.5350727987725561</v>
      </c>
      <c r="E26" s="1245">
        <v>1.3472167675088091</v>
      </c>
      <c r="F26" s="1245">
        <v>1.931791671165606</v>
      </c>
      <c r="G26" s="1245">
        <v>1.4335709457717292</v>
      </c>
      <c r="H26" s="1245">
        <v>2.2314757370367282</v>
      </c>
      <c r="I26" s="1245">
        <v>1.9140012736727552</v>
      </c>
      <c r="J26" s="1245">
        <v>1.3534657708028468</v>
      </c>
      <c r="K26" s="1245">
        <v>1.2335007430576697</v>
      </c>
      <c r="L26" s="1245">
        <v>0</v>
      </c>
      <c r="M26" s="1245">
        <v>2.166902548656231</v>
      </c>
      <c r="N26" s="1245">
        <v>1.7705566439686753</v>
      </c>
      <c r="O26" s="1245">
        <v>1.722141222255986</v>
      </c>
      <c r="P26" s="1245">
        <v>1.8684941203129002</v>
      </c>
      <c r="Q26" s="1245">
        <v>1.8004963892262158</v>
      </c>
      <c r="R26" s="1245">
        <v>1.6032953291404539</v>
      </c>
      <c r="S26" s="1245">
        <v>1.5209898530710035</v>
      </c>
      <c r="T26" s="1245">
        <v>1.5880798210458058</v>
      </c>
      <c r="U26" s="1245">
        <v>1.4774118988979155</v>
      </c>
      <c r="V26" s="1245">
        <v>1.2971914032610452</v>
      </c>
      <c r="W26" s="1245">
        <v>1.732763509197933</v>
      </c>
      <c r="X26" s="1245">
        <v>1.3936610861522396</v>
      </c>
      <c r="Y26" s="1245">
        <v>1.4765990561828382</v>
      </c>
      <c r="Z26" s="1245">
        <v>1.8303083392178141</v>
      </c>
      <c r="AA26" s="1245">
        <v>1.9155843606809291</v>
      </c>
      <c r="AB26" s="1245">
        <v>1.5029968815605816</v>
      </c>
      <c r="AC26" s="1245">
        <v>1.6822440958604581</v>
      </c>
      <c r="AD26" s="1245">
        <v>1.6965238277505084</v>
      </c>
      <c r="AE26" s="260">
        <f>'User Add-in Location'!B31</f>
        <v>0</v>
      </c>
      <c r="AF26" s="260">
        <f>'User Add-in Location'!C31</f>
        <v>0</v>
      </c>
      <c r="AG26" s="1245">
        <v>1.4842283409543153</v>
      </c>
      <c r="AH26" s="1245">
        <v>1.1568305288873069</v>
      </c>
      <c r="AI26" s="1245">
        <v>1.4785960887263461</v>
      </c>
      <c r="AJ26" s="1245">
        <v>1.5026922102381544</v>
      </c>
      <c r="AK26" s="1245">
        <v>1.5779126889821959</v>
      </c>
      <c r="AL26" s="1245">
        <v>1.4691663260866956</v>
      </c>
      <c r="AM26" s="1245">
        <v>1.8727090489573595</v>
      </c>
      <c r="AN26" s="1245">
        <v>1.3907245731935269</v>
      </c>
      <c r="AO26" s="1245">
        <v>1.8648121349695252</v>
      </c>
      <c r="AP26" s="1245">
        <v>1.5381019169964443</v>
      </c>
      <c r="AQ26" s="1245">
        <v>1.8323340793935265</v>
      </c>
      <c r="AR26" s="1245">
        <v>1.8171486680100604</v>
      </c>
      <c r="AS26" s="1245">
        <v>1.679542800275291</v>
      </c>
      <c r="AT26" s="1245">
        <v>1.475785518928272</v>
      </c>
      <c r="AU26" s="1245">
        <v>1.4753792133273149</v>
      </c>
      <c r="AV26" s="1245">
        <v>1.6621813966733654</v>
      </c>
      <c r="AW26" s="1245">
        <v>1.9939217011376125</v>
      </c>
      <c r="AX26" s="1245">
        <v>3.9193400464406829</v>
      </c>
      <c r="AY26" s="1245">
        <v>2.2051672757398793</v>
      </c>
      <c r="AZ26" s="1245">
        <v>1.5924609761412551</v>
      </c>
      <c r="BA26" s="1245">
        <v>1.3316338480245777</v>
      </c>
      <c r="BB26" s="1245">
        <v>1.5403302311897278</v>
      </c>
      <c r="BC26" s="1245">
        <v>1.2967117079874364</v>
      </c>
      <c r="BD26" s="1245">
        <v>1.7808918545885783</v>
      </c>
      <c r="BE26" s="1245">
        <v>1.1075969396567926</v>
      </c>
    </row>
    <row r="27" spans="1:59" s="220" customFormat="1" x14ac:dyDescent="0.25">
      <c r="A27" s="1248"/>
      <c r="B27" s="1266"/>
      <c r="C27" s="1247" t="s">
        <v>599</v>
      </c>
      <c r="D27" s="1245">
        <v>1.782071680878289</v>
      </c>
      <c r="E27" s="1245">
        <v>1.3724407239351422</v>
      </c>
      <c r="F27" s="1245">
        <v>1.8208202242385596</v>
      </c>
      <c r="G27" s="1245">
        <v>1.7626156406477094</v>
      </c>
      <c r="H27" s="1245">
        <v>2.1732648452743888</v>
      </c>
      <c r="I27" s="1245">
        <v>2.2188616353087127</v>
      </c>
      <c r="J27" s="1245">
        <v>1.4587514041922987</v>
      </c>
      <c r="K27" s="1245">
        <v>1.2291525106411427</v>
      </c>
      <c r="L27" s="1245">
        <v>1.0605147699825466</v>
      </c>
      <c r="M27" s="1245">
        <v>2.3882860718294978</v>
      </c>
      <c r="N27" s="1245">
        <v>1.8684619824634865</v>
      </c>
      <c r="O27" s="1245">
        <v>2.103107777191326</v>
      </c>
      <c r="P27" s="1245">
        <v>2.0572034120559692</v>
      </c>
      <c r="Q27" s="1245">
        <v>1.7693511871621013</v>
      </c>
      <c r="R27" s="1245">
        <v>1.8066850011236966</v>
      </c>
      <c r="S27" s="1245">
        <v>1.529336059698835</v>
      </c>
      <c r="T27" s="1245">
        <v>1.8906857343390584</v>
      </c>
      <c r="U27" s="1245">
        <v>1.6992855791468173</v>
      </c>
      <c r="V27" s="1245">
        <v>1.5099613817874342</v>
      </c>
      <c r="W27" s="1245">
        <v>1.8850409768056124</v>
      </c>
      <c r="X27" s="1245">
        <v>1.6448956232052296</v>
      </c>
      <c r="Y27" s="1245">
        <v>1.5923566890414804</v>
      </c>
      <c r="Z27" s="1245">
        <v>1.8781136891338974</v>
      </c>
      <c r="AA27" s="1245">
        <v>2.2405931509565562</v>
      </c>
      <c r="AB27" s="1245">
        <v>1.6511377728311345</v>
      </c>
      <c r="AC27" s="1245">
        <v>2.1562412017956376</v>
      </c>
      <c r="AD27" s="1245">
        <v>2.0803293455392122</v>
      </c>
      <c r="AE27" s="260">
        <f>'User Add-in Location'!B32</f>
        <v>0</v>
      </c>
      <c r="AF27" s="260">
        <f>'User Add-in Location'!C32</f>
        <v>0</v>
      </c>
      <c r="AG27" s="1245">
        <v>1.5884725378127769</v>
      </c>
      <c r="AH27" s="1245">
        <v>1.2288776661735028</v>
      </c>
      <c r="AI27" s="1245">
        <v>1.2354379529133439</v>
      </c>
      <c r="AJ27" s="1245">
        <v>1.517498712753877</v>
      </c>
      <c r="AK27" s="1245">
        <v>1.6786485665943474</v>
      </c>
      <c r="AL27" s="1245">
        <v>1.5102791707031429</v>
      </c>
      <c r="AM27" s="1245">
        <v>1.7303462538402528</v>
      </c>
      <c r="AN27" s="1245">
        <v>1.6018982490058988</v>
      </c>
      <c r="AO27" s="1245">
        <v>1.993967364076525</v>
      </c>
      <c r="AP27" s="1245">
        <v>1.5896976152434945</v>
      </c>
      <c r="AQ27" s="1245">
        <v>2.0040470063686371</v>
      </c>
      <c r="AR27" s="1245">
        <v>1.8811527632642537</v>
      </c>
      <c r="AS27" s="1245">
        <v>1.436684921849519</v>
      </c>
      <c r="AT27" s="1245">
        <v>1.5757030642125756</v>
      </c>
      <c r="AU27" s="1245">
        <v>1.77649656299036</v>
      </c>
      <c r="AV27" s="1245">
        <v>1.8492206644732505</v>
      </c>
      <c r="AW27" s="1245">
        <v>1.9986162746790797</v>
      </c>
      <c r="AX27" s="1245">
        <v>4.1365373749285936</v>
      </c>
      <c r="AY27" s="1245">
        <v>2.2577574665192515</v>
      </c>
      <c r="AZ27" s="1245">
        <v>1.4435093749780208</v>
      </c>
      <c r="BA27" s="1245">
        <v>1.5095256697386503</v>
      </c>
      <c r="BB27" s="1245">
        <v>1.7010848354548216</v>
      </c>
      <c r="BC27" s="1245">
        <v>1.2458342234604061</v>
      </c>
      <c r="BD27" s="1245">
        <v>2.0101678669452667</v>
      </c>
      <c r="BE27" s="1245">
        <v>1.3789334602188319</v>
      </c>
    </row>
    <row r="28" spans="1:59" s="220" customFormat="1" x14ac:dyDescent="0.25">
      <c r="A28" s="1248"/>
      <c r="B28" s="1266"/>
      <c r="C28" s="1247" t="s">
        <v>601</v>
      </c>
      <c r="D28" s="1245">
        <v>2.0019834400505148</v>
      </c>
      <c r="E28" s="1245">
        <v>0</v>
      </c>
      <c r="F28" s="1245">
        <v>2.4190030661962365</v>
      </c>
      <c r="G28" s="1245">
        <v>1.9636231186569377</v>
      </c>
      <c r="H28" s="1245">
        <v>2.4681934695090018</v>
      </c>
      <c r="I28" s="1245">
        <v>2.4386219311785955</v>
      </c>
      <c r="J28" s="1245">
        <v>1.7857004775795886</v>
      </c>
      <c r="K28" s="1245">
        <v>1.4769086504495272</v>
      </c>
      <c r="L28" s="1245">
        <v>0.66183697215972415</v>
      </c>
      <c r="M28" s="1245">
        <v>2.7434737015795965</v>
      </c>
      <c r="N28" s="1245">
        <v>2.2515174112012311</v>
      </c>
      <c r="O28" s="1245">
        <v>1.9519902813819148</v>
      </c>
      <c r="P28" s="1245">
        <v>2.2755275182826544</v>
      </c>
      <c r="Q28" s="1245">
        <v>2.0878442025953725</v>
      </c>
      <c r="R28" s="1245">
        <v>1.7846105406361241</v>
      </c>
      <c r="S28" s="1245">
        <v>1.8882310698109288</v>
      </c>
      <c r="T28" s="1245">
        <v>1.7679703389444659</v>
      </c>
      <c r="U28" s="1245">
        <v>1.9887523240940546</v>
      </c>
      <c r="V28" s="1245">
        <v>1.5611928304036458</v>
      </c>
      <c r="W28" s="1245">
        <v>2.0580461384147726</v>
      </c>
      <c r="X28" s="1245">
        <v>1.7869455532361103</v>
      </c>
      <c r="Y28" s="1245">
        <v>2.1120938998396679</v>
      </c>
      <c r="Z28" s="1245">
        <v>2.3712453047434487</v>
      </c>
      <c r="AA28" s="1245">
        <v>2.7171017533989361</v>
      </c>
      <c r="AB28" s="1245">
        <v>2.0425831246119674</v>
      </c>
      <c r="AC28" s="1245">
        <v>1.6765104686060259</v>
      </c>
      <c r="AD28" s="1245">
        <v>2.4242581859711678</v>
      </c>
      <c r="AE28" s="260">
        <f>'User Add-in Location'!B33</f>
        <v>0</v>
      </c>
      <c r="AF28" s="260">
        <f>'User Add-in Location'!C33</f>
        <v>0</v>
      </c>
      <c r="AG28" s="1245">
        <v>1.8507539892709384</v>
      </c>
      <c r="AH28" s="1245">
        <v>1.1000424226125081</v>
      </c>
      <c r="AI28" s="1245">
        <v>2.0561217184989684</v>
      </c>
      <c r="AJ28" s="1245">
        <v>1.9696268702066073</v>
      </c>
      <c r="AK28" s="1245">
        <v>1.4379032786174488</v>
      </c>
      <c r="AL28" s="1245">
        <v>2.0641963968994799</v>
      </c>
      <c r="AM28" s="1245">
        <v>2.266683445181898</v>
      </c>
      <c r="AN28" s="1245">
        <v>2.0335874121676207</v>
      </c>
      <c r="AO28" s="1245">
        <v>2.3400579908842682</v>
      </c>
      <c r="AP28" s="1245">
        <v>2.0245016492823118</v>
      </c>
      <c r="AQ28" s="1245">
        <v>1.1016717290365567</v>
      </c>
      <c r="AR28" s="1245">
        <v>2.0718441522249611</v>
      </c>
      <c r="AS28" s="1245">
        <v>2.1737614216343051</v>
      </c>
      <c r="AT28" s="1245">
        <v>1.6759982775616389</v>
      </c>
      <c r="AU28" s="1245">
        <v>2.1394741330095517</v>
      </c>
      <c r="AV28" s="1245">
        <v>1.9398917946764218</v>
      </c>
      <c r="AW28" s="1245">
        <v>2.2382921275272163</v>
      </c>
      <c r="AX28" s="1245">
        <v>3.5845567180264379</v>
      </c>
      <c r="AY28" s="1245">
        <v>2.796452522277832</v>
      </c>
      <c r="AZ28" s="1245">
        <v>2.5631668234384191</v>
      </c>
      <c r="BA28" s="1245">
        <v>1.9617404578834452</v>
      </c>
      <c r="BB28" s="1245">
        <v>1.9049834846168436</v>
      </c>
      <c r="BC28" s="1245">
        <v>1.7920285040332424</v>
      </c>
      <c r="BD28" s="1245">
        <v>2.3065498951942689</v>
      </c>
      <c r="BE28" s="1245">
        <v>1.5879177483179236</v>
      </c>
    </row>
    <row r="29" spans="1:59" s="220" customFormat="1" x14ac:dyDescent="0.25">
      <c r="A29" s="1248"/>
      <c r="B29" s="1266"/>
      <c r="C29" s="1247" t="s">
        <v>602</v>
      </c>
      <c r="D29" s="1245">
        <v>2.423218054349038</v>
      </c>
      <c r="E29" s="1245">
        <v>1.2342512621145068</v>
      </c>
      <c r="F29" s="1245">
        <v>2.4174778826166325</v>
      </c>
      <c r="G29" s="1245">
        <v>2.3862633884949687</v>
      </c>
      <c r="H29" s="1245">
        <v>2.3183814552236561</v>
      </c>
      <c r="I29" s="1245">
        <v>2.5179594728455599</v>
      </c>
      <c r="J29" s="1245">
        <v>1.8577201032248394</v>
      </c>
      <c r="K29" s="1245">
        <v>1.9645218289394641</v>
      </c>
      <c r="L29" s="1245">
        <v>1.2280234248983355</v>
      </c>
      <c r="M29" s="1245">
        <v>2.761678793471888</v>
      </c>
      <c r="N29" s="1245">
        <v>2.462624134690004</v>
      </c>
      <c r="O29" s="1245">
        <v>2.0061166640152415</v>
      </c>
      <c r="P29" s="1245">
        <v>2.5991948074990852</v>
      </c>
      <c r="Q29" s="1245">
        <v>2.5640599328994069</v>
      </c>
      <c r="R29" s="1245">
        <v>2.4222971380329437</v>
      </c>
      <c r="S29" s="1245">
        <v>2.2455372271780356</v>
      </c>
      <c r="T29" s="1245">
        <v>2.3143201017668136</v>
      </c>
      <c r="U29" s="1245">
        <v>2.3146077876666058</v>
      </c>
      <c r="V29" s="1245">
        <v>2.2749381291828135</v>
      </c>
      <c r="W29" s="1245">
        <v>2.3370009091179464</v>
      </c>
      <c r="X29" s="1245">
        <v>1.9731850088045546</v>
      </c>
      <c r="Y29" s="1245">
        <v>2.0891658203833385</v>
      </c>
      <c r="Z29" s="1245">
        <v>2.470016261768782</v>
      </c>
      <c r="AA29" s="1245">
        <v>2.7437910674009318</v>
      </c>
      <c r="AB29" s="1245">
        <v>2.4216232688263273</v>
      </c>
      <c r="AC29" s="1245">
        <v>2.4284108651994769</v>
      </c>
      <c r="AD29" s="1245">
        <v>2.5005747953032902</v>
      </c>
      <c r="AE29" s="260">
        <f>'User Add-in Location'!B34</f>
        <v>0</v>
      </c>
      <c r="AF29" s="260">
        <f>'User Add-in Location'!C34</f>
        <v>0</v>
      </c>
      <c r="AG29" s="1245">
        <v>1.5781557623579254</v>
      </c>
      <c r="AH29" s="1245">
        <v>0</v>
      </c>
      <c r="AI29" s="1245">
        <v>2.0714392718875252</v>
      </c>
      <c r="AJ29" s="1245">
        <v>1.9463964692641305</v>
      </c>
      <c r="AK29" s="1245">
        <v>2.1838647633080632</v>
      </c>
      <c r="AL29" s="1245">
        <v>2.214101171289971</v>
      </c>
      <c r="AM29" s="1245">
        <v>2.3058488655667082</v>
      </c>
      <c r="AN29" s="1245">
        <v>2.1097568296020626</v>
      </c>
      <c r="AO29" s="1245">
        <v>2.2944220183625927</v>
      </c>
      <c r="AP29" s="1245">
        <v>2.3235311017092415</v>
      </c>
      <c r="AQ29" s="1245">
        <v>2.2540041010221183</v>
      </c>
      <c r="AR29" s="1245">
        <v>2.3446589103164048</v>
      </c>
      <c r="AS29" s="1245">
        <v>2.0356201961853886</v>
      </c>
      <c r="AT29" s="1245">
        <v>2.2625905952602889</v>
      </c>
      <c r="AU29" s="1245">
        <v>2.3969038636266271</v>
      </c>
      <c r="AV29" s="1245">
        <v>2.5896155328692934</v>
      </c>
      <c r="AW29" s="1245">
        <v>2.4465504599313044</v>
      </c>
      <c r="AX29" s="1245">
        <v>3.7249664440141457</v>
      </c>
      <c r="AY29" s="1245">
        <v>2.9207918262278127</v>
      </c>
      <c r="AZ29" s="1245">
        <v>2.5111654477372198</v>
      </c>
      <c r="BA29" s="1245">
        <v>2.0534900136368845</v>
      </c>
      <c r="BB29" s="1245">
        <v>1.9283872860176035</v>
      </c>
      <c r="BC29" s="1245">
        <v>2.1991013249058349</v>
      </c>
      <c r="BD29" s="1245">
        <v>2.3566935025937443</v>
      </c>
      <c r="BE29" s="1245">
        <v>1.7122121109143138</v>
      </c>
    </row>
    <row r="30" spans="1:59" s="220" customFormat="1" x14ac:dyDescent="0.25">
      <c r="A30" s="1248"/>
      <c r="B30" s="1266"/>
      <c r="C30" s="1247" t="s">
        <v>603</v>
      </c>
      <c r="D30" s="1245">
        <v>2.1567287382251488</v>
      </c>
      <c r="E30" s="1245">
        <v>1.5377772588215903</v>
      </c>
      <c r="F30" s="1245">
        <v>2.4744670102696218</v>
      </c>
      <c r="G30" s="1245">
        <v>1.8527234791281695</v>
      </c>
      <c r="H30" s="1245">
        <v>2.0756591268642222</v>
      </c>
      <c r="I30" s="1245">
        <v>2.3889636502294485</v>
      </c>
      <c r="J30" s="1245">
        <v>1.6162892295928772</v>
      </c>
      <c r="K30" s="1245">
        <v>1.6304765292984285</v>
      </c>
      <c r="L30" s="1245">
        <v>1.2026884672884457</v>
      </c>
      <c r="M30" s="1245">
        <v>2.6623472385063858</v>
      </c>
      <c r="N30" s="1245">
        <v>2.1436852420875412</v>
      </c>
      <c r="O30" s="1245">
        <v>2.3754275835916667</v>
      </c>
      <c r="P30" s="1245">
        <v>2.60957299763571</v>
      </c>
      <c r="Q30" s="1245">
        <v>2.100241179095057</v>
      </c>
      <c r="R30" s="1245">
        <v>2.1693799795504818</v>
      </c>
      <c r="S30" s="1245">
        <v>2.1390981537139346</v>
      </c>
      <c r="T30" s="1245">
        <v>2.0936273043741012</v>
      </c>
      <c r="U30" s="1245">
        <v>1.9905105567977814</v>
      </c>
      <c r="V30" s="1245">
        <v>1.9160468358479574</v>
      </c>
      <c r="W30" s="1245">
        <v>2.4326763135944298</v>
      </c>
      <c r="X30" s="1245">
        <v>1.8865818663271603</v>
      </c>
      <c r="Y30" s="1245">
        <v>1.9212755351723312</v>
      </c>
      <c r="Z30" s="1245">
        <v>2.191256579096446</v>
      </c>
      <c r="AA30" s="1245">
        <v>2.3142219115160185</v>
      </c>
      <c r="AB30" s="1245">
        <v>2.1145777239770949</v>
      </c>
      <c r="AC30" s="1245">
        <v>2.3605951925951563</v>
      </c>
      <c r="AD30" s="1245">
        <v>2.4139131854394238</v>
      </c>
      <c r="AE30" s="260">
        <f>'User Add-in Location'!B35</f>
        <v>0</v>
      </c>
      <c r="AF30" s="260">
        <f>'User Add-in Location'!C35</f>
        <v>0</v>
      </c>
      <c r="AG30" s="1245">
        <v>2.2989604150463721</v>
      </c>
      <c r="AH30" s="1245">
        <v>1.7487345992448089</v>
      </c>
      <c r="AI30" s="1245">
        <v>2.1041236009426463</v>
      </c>
      <c r="AJ30" s="1245">
        <v>1.7726787255909628</v>
      </c>
      <c r="AK30" s="1245">
        <v>2.1587841861976123</v>
      </c>
      <c r="AL30" s="1245">
        <v>1.6503455867310486</v>
      </c>
      <c r="AM30" s="1245">
        <v>2.3417194651986311</v>
      </c>
      <c r="AN30" s="1245">
        <v>1.7903041919548355</v>
      </c>
      <c r="AO30" s="1245">
        <v>2.3147537893877774</v>
      </c>
      <c r="AP30" s="1245">
        <v>2.1874179685901027</v>
      </c>
      <c r="AQ30" s="1245">
        <v>2.3533757386807199</v>
      </c>
      <c r="AR30" s="1245">
        <v>2.0401328378094887</v>
      </c>
      <c r="AS30" s="1245">
        <v>2.224922114503598</v>
      </c>
      <c r="AT30" s="1245">
        <v>2.1134906294816984</v>
      </c>
      <c r="AU30" s="1245">
        <v>2.1240675880523501</v>
      </c>
      <c r="AV30" s="1245">
        <v>2.2467958478870509</v>
      </c>
      <c r="AW30" s="1245">
        <v>2.0266690394121731</v>
      </c>
      <c r="AX30" s="1245">
        <v>2.7373629004655484</v>
      </c>
      <c r="AY30" s="1245">
        <v>2.7819280424517787</v>
      </c>
      <c r="AZ30" s="1245">
        <v>2.4686765430930131</v>
      </c>
      <c r="BA30" s="1245">
        <v>1.910644119513963</v>
      </c>
      <c r="BB30" s="1245">
        <v>1.7368695053511751</v>
      </c>
      <c r="BC30" s="1245">
        <v>1.8573490559697865</v>
      </c>
      <c r="BD30" s="1245">
        <v>2.3402429820534714</v>
      </c>
      <c r="BE30" s="1245">
        <v>1.5095844560040685</v>
      </c>
    </row>
    <row r="31" spans="1:59" s="220" customFormat="1" x14ac:dyDescent="0.25">
      <c r="A31" s="1248"/>
      <c r="B31" s="1266"/>
      <c r="C31" s="1247" t="s">
        <v>604</v>
      </c>
      <c r="D31" s="1245">
        <v>2.0260876585124379</v>
      </c>
      <c r="E31" s="1245">
        <v>1.6484070434337887</v>
      </c>
      <c r="F31" s="1245">
        <v>2.3893890380859375</v>
      </c>
      <c r="G31" s="1245">
        <v>2.0948806938467732</v>
      </c>
      <c r="H31" s="1245">
        <v>1.916296427974425</v>
      </c>
      <c r="I31" s="1245">
        <v>2.5153631775413681</v>
      </c>
      <c r="J31" s="1245">
        <v>1.8060475623253549</v>
      </c>
      <c r="K31" s="1245">
        <v>1.9619050058624896</v>
      </c>
      <c r="L31" s="1245">
        <v>1.3182962995763055</v>
      </c>
      <c r="M31" s="1245">
        <v>2.7943701399071745</v>
      </c>
      <c r="N31" s="1245">
        <v>2.3761489647359042</v>
      </c>
      <c r="O31" s="1245">
        <v>1.8191524049478547</v>
      </c>
      <c r="P31" s="1245">
        <v>2.5091927158678207</v>
      </c>
      <c r="Q31" s="1245">
        <v>2.308811226966085</v>
      </c>
      <c r="R31" s="1245">
        <v>2.2328223049050511</v>
      </c>
      <c r="S31" s="1245">
        <v>2.3169770135465506</v>
      </c>
      <c r="T31" s="1245">
        <v>2.1737336415147746</v>
      </c>
      <c r="U31" s="1245">
        <v>2.2698047743983971</v>
      </c>
      <c r="V31" s="1245">
        <v>1.8928513603181396</v>
      </c>
      <c r="W31" s="1245">
        <v>2.4582375986196574</v>
      </c>
      <c r="X31" s="1245">
        <v>1.9474335268809426</v>
      </c>
      <c r="Y31" s="1245">
        <v>2.1405304678505099</v>
      </c>
      <c r="Z31" s="1245">
        <v>2.2323216825428576</v>
      </c>
      <c r="AA31" s="1245">
        <v>2.456390937956253</v>
      </c>
      <c r="AB31" s="1245">
        <v>2.0450620520505303</v>
      </c>
      <c r="AC31" s="1245">
        <v>2.5019054812324564</v>
      </c>
      <c r="AD31" s="1245">
        <v>2.6541591602159835</v>
      </c>
      <c r="AE31" s="260">
        <f>'User Add-in Location'!B36</f>
        <v>0</v>
      </c>
      <c r="AF31" s="260">
        <f>'User Add-in Location'!C36</f>
        <v>0</v>
      </c>
      <c r="AG31" s="1245">
        <v>2.3971410723742146</v>
      </c>
      <c r="AH31" s="1245">
        <v>1.7168158802110915</v>
      </c>
      <c r="AI31" s="1245">
        <v>2.2364314428650509</v>
      </c>
      <c r="AJ31" s="1245">
        <v>1.9007825081528187</v>
      </c>
      <c r="AK31" s="1245">
        <v>1.9502115779856373</v>
      </c>
      <c r="AL31" s="1245">
        <v>1.6927752600130197</v>
      </c>
      <c r="AM31" s="1245">
        <v>2.5087306029181033</v>
      </c>
      <c r="AN31" s="1245">
        <v>1.9920292176641041</v>
      </c>
      <c r="AO31" s="1245">
        <v>2.3373744642108067</v>
      </c>
      <c r="AP31" s="1245">
        <v>2.2377031490445045</v>
      </c>
      <c r="AQ31" s="1245">
        <v>2.6191173859979031</v>
      </c>
      <c r="AR31" s="1245">
        <v>2.3902093781284584</v>
      </c>
      <c r="AS31" s="1245">
        <v>2.1908560009830707</v>
      </c>
      <c r="AT31" s="1245">
        <v>2.1944687212139979</v>
      </c>
      <c r="AU31" s="1245">
        <v>2.1709090208880157</v>
      </c>
      <c r="AV31" s="1245">
        <v>2.2466122568425386</v>
      </c>
      <c r="AW31" s="1245">
        <v>2.1837416109199843</v>
      </c>
      <c r="AX31" s="1245">
        <v>2.8524127801864636</v>
      </c>
      <c r="AY31" s="1245">
        <v>2.6908460923577664</v>
      </c>
      <c r="AZ31" s="1245">
        <v>2.2477218652624988</v>
      </c>
      <c r="BA31" s="1245">
        <v>2.051322070497279</v>
      </c>
      <c r="BB31" s="1245">
        <v>1.519347673141584</v>
      </c>
      <c r="BC31" s="1245">
        <v>1.8483201504116828</v>
      </c>
      <c r="BD31" s="1245">
        <v>2.4125063279523071</v>
      </c>
      <c r="BE31" s="1245">
        <v>1.710030163505653</v>
      </c>
    </row>
    <row r="32" spans="1:59" s="220" customFormat="1" x14ac:dyDescent="0.25">
      <c r="A32" s="1248"/>
      <c r="B32" s="1266"/>
      <c r="C32" s="1247" t="s">
        <v>605</v>
      </c>
      <c r="D32" s="1245">
        <v>2.672926329158182</v>
      </c>
      <c r="E32" s="1245">
        <v>1.515002522887648</v>
      </c>
      <c r="F32" s="1245">
        <v>3.4035654464931229</v>
      </c>
      <c r="G32" s="1245">
        <v>2.4859414340515751</v>
      </c>
      <c r="H32" s="1245">
        <v>2.1522716907496626</v>
      </c>
      <c r="I32" s="1245">
        <v>3.3813058603707535</v>
      </c>
      <c r="J32" s="1245">
        <v>1.8894723238527358</v>
      </c>
      <c r="K32" s="1245">
        <v>1.1910611308537575</v>
      </c>
      <c r="L32" s="1245">
        <v>1.021411763344916</v>
      </c>
      <c r="M32" s="1245">
        <v>3.8782614463666718</v>
      </c>
      <c r="N32" s="1245">
        <v>2.5206457322205904</v>
      </c>
      <c r="O32" s="1245">
        <v>1.9102455392154354</v>
      </c>
      <c r="P32" s="1245">
        <v>3.4774914441595612</v>
      </c>
      <c r="Q32" s="1245">
        <v>2.3360898510943997</v>
      </c>
      <c r="R32" s="1245">
        <v>2.3221651436528621</v>
      </c>
      <c r="S32" s="1245">
        <v>2.1954857347477059</v>
      </c>
      <c r="T32" s="1245">
        <v>2.7300851174584939</v>
      </c>
      <c r="U32" s="1245">
        <v>2.498029581053852</v>
      </c>
      <c r="V32" s="1245">
        <v>2.4292389397160883</v>
      </c>
      <c r="W32" s="1245">
        <v>2.4981425160870621</v>
      </c>
      <c r="X32" s="1245">
        <v>1.9629087845808639</v>
      </c>
      <c r="Y32" s="1245">
        <v>1.9163497232987663</v>
      </c>
      <c r="Z32" s="1245">
        <v>2.6916940369150035</v>
      </c>
      <c r="AA32" s="1245">
        <v>2.743977492692943</v>
      </c>
      <c r="AB32" s="1245">
        <v>2.6416492449405373</v>
      </c>
      <c r="AC32" s="1245">
        <v>2.6072714565247948</v>
      </c>
      <c r="AD32" s="1245">
        <v>2.8128259676969072</v>
      </c>
      <c r="AE32" s="260">
        <f>'User Add-in Location'!B37</f>
        <v>0</v>
      </c>
      <c r="AF32" s="260">
        <f>'User Add-in Location'!C37</f>
        <v>0</v>
      </c>
      <c r="AG32" s="1245">
        <v>2.5270443215417053</v>
      </c>
      <c r="AH32" s="1245">
        <v>0</v>
      </c>
      <c r="AI32" s="1245">
        <v>2.2711025702299086</v>
      </c>
      <c r="AJ32" s="1245">
        <v>2.2535448156313107</v>
      </c>
      <c r="AK32" s="1245">
        <v>2.0640985743371991</v>
      </c>
      <c r="AL32" s="1245">
        <v>1.1866969659716209</v>
      </c>
      <c r="AM32" s="1245">
        <v>2.0492375990396932</v>
      </c>
      <c r="AN32" s="1245">
        <v>2.2722765481154563</v>
      </c>
      <c r="AO32" s="1245">
        <v>2.2647062578247859</v>
      </c>
      <c r="AP32" s="1245">
        <v>2.9818195834000121</v>
      </c>
      <c r="AQ32" s="1245">
        <v>2.590588948433576</v>
      </c>
      <c r="AR32" s="1245">
        <v>2.4778246839227909</v>
      </c>
      <c r="AS32" s="1245">
        <v>2.1973099998406096</v>
      </c>
      <c r="AT32" s="1245">
        <v>2.6919936790595695</v>
      </c>
      <c r="AU32" s="1245">
        <v>1.7575095590794156</v>
      </c>
      <c r="AV32" s="1245">
        <v>2.5297829960970524</v>
      </c>
      <c r="AW32" s="1245">
        <v>3.3186301046214837</v>
      </c>
      <c r="AX32" s="1245">
        <v>3.0308916768626357</v>
      </c>
      <c r="AY32" s="1245">
        <v>3.2499555859993192</v>
      </c>
      <c r="AZ32" s="1245">
        <v>2.3562123238665453</v>
      </c>
      <c r="BA32" s="1245">
        <v>2.0671701340105977</v>
      </c>
      <c r="BB32" s="1245">
        <v>1.9623932908002433</v>
      </c>
      <c r="BC32" s="1245">
        <v>1.8575954999627611</v>
      </c>
      <c r="BD32" s="1245">
        <v>2.4726620046022103</v>
      </c>
      <c r="BE32" s="1245">
        <v>2.2930242620190442</v>
      </c>
    </row>
    <row r="33" spans="1:57" s="220" customFormat="1" x14ac:dyDescent="0.25">
      <c r="A33" s="1248"/>
      <c r="B33" s="1266"/>
      <c r="C33" s="1247" t="s">
        <v>606</v>
      </c>
      <c r="D33" s="1245">
        <v>2.3910457932758997</v>
      </c>
      <c r="E33" s="1245">
        <v>1.6872993097759461</v>
      </c>
      <c r="F33" s="1245">
        <v>2.8167665536667048</v>
      </c>
      <c r="G33" s="1245">
        <v>2.4472002656843692</v>
      </c>
      <c r="H33" s="1245">
        <v>2.129539620189739</v>
      </c>
      <c r="I33" s="1245">
        <v>2.6459747610962085</v>
      </c>
      <c r="J33" s="1245">
        <v>2.0079742663516553</v>
      </c>
      <c r="K33" s="1245">
        <v>1.6015925083606635</v>
      </c>
      <c r="L33" s="1245">
        <v>0.9365368547555214</v>
      </c>
      <c r="M33" s="1245">
        <v>2.9490561693554245</v>
      </c>
      <c r="N33" s="1245">
        <v>2.3509603377079729</v>
      </c>
      <c r="O33" s="1245">
        <v>2.1721938182092746</v>
      </c>
      <c r="P33" s="1245">
        <v>2.8476026333302009</v>
      </c>
      <c r="Q33" s="1245">
        <v>2.0516714342086049</v>
      </c>
      <c r="R33" s="1245">
        <v>2.1106139168250611</v>
      </c>
      <c r="S33" s="1245">
        <v>2.326551285582847</v>
      </c>
      <c r="T33" s="1245">
        <v>2.5336463717801196</v>
      </c>
      <c r="U33" s="1245">
        <v>2.364222313554126</v>
      </c>
      <c r="V33" s="1245">
        <v>2.0196868879569845</v>
      </c>
      <c r="W33" s="1245">
        <v>2.8377173809322729</v>
      </c>
      <c r="X33" s="1245">
        <v>2.0633253086037349</v>
      </c>
      <c r="Y33" s="1245">
        <v>2.0242493121406437</v>
      </c>
      <c r="Z33" s="1245">
        <v>2.5871981772916537</v>
      </c>
      <c r="AA33" s="1245">
        <v>2.5074699387960355</v>
      </c>
      <c r="AB33" s="1245">
        <v>2.3919638218634534</v>
      </c>
      <c r="AC33" s="1245">
        <v>2.4531672446470925</v>
      </c>
      <c r="AD33" s="1245">
        <v>2.7195597789985051</v>
      </c>
      <c r="AE33" s="260">
        <f>'User Add-in Location'!B38</f>
        <v>0</v>
      </c>
      <c r="AF33" s="260">
        <f>'User Add-in Location'!C38</f>
        <v>0</v>
      </c>
      <c r="AG33" s="1245">
        <v>2.4200230615631551</v>
      </c>
      <c r="AH33" s="1245">
        <v>1.7997112690671078</v>
      </c>
      <c r="AI33" s="1245">
        <v>2.3975191566420326</v>
      </c>
      <c r="AJ33" s="1245">
        <v>1.9498563132417308</v>
      </c>
      <c r="AK33" s="1245">
        <v>2.216516933453772</v>
      </c>
      <c r="AL33" s="1245">
        <v>1.5855553474017079</v>
      </c>
      <c r="AM33" s="1245">
        <v>2.4285385110528406</v>
      </c>
      <c r="AN33" s="1245">
        <v>1.9981663782375814</v>
      </c>
      <c r="AO33" s="1245">
        <v>2.5512655702869815</v>
      </c>
      <c r="AP33" s="1245">
        <v>2.4298677701117906</v>
      </c>
      <c r="AQ33" s="1245">
        <v>2.2140313472644877</v>
      </c>
      <c r="AR33" s="1245">
        <v>2.2509576922895764</v>
      </c>
      <c r="AS33" s="1245">
        <v>2.5592845644792068</v>
      </c>
      <c r="AT33" s="1245">
        <v>2.4844873682256119</v>
      </c>
      <c r="AU33" s="1245">
        <v>2.529309421044057</v>
      </c>
      <c r="AV33" s="1245">
        <v>2.3233081913521887</v>
      </c>
      <c r="AW33" s="1245">
        <v>2.2408511035715306</v>
      </c>
      <c r="AX33" s="1245">
        <v>2.8962941414795997</v>
      </c>
      <c r="AY33" s="1245">
        <v>3.1976797411852416</v>
      </c>
      <c r="AZ33" s="1245">
        <v>2.7487790692432723</v>
      </c>
      <c r="BA33" s="1245">
        <v>1.8316755433940817</v>
      </c>
      <c r="BB33" s="1245">
        <v>2.0190344629535724</v>
      </c>
      <c r="BC33" s="1245">
        <v>2.0028649139152943</v>
      </c>
      <c r="BD33" s="1245">
        <v>2.5271572873295671</v>
      </c>
      <c r="BE33" s="1245">
        <v>1.8427419456872172</v>
      </c>
    </row>
    <row r="34" spans="1:57" s="220" customFormat="1" x14ac:dyDescent="0.25">
      <c r="A34" s="1248"/>
      <c r="B34" s="1266"/>
      <c r="C34" s="1247" t="s">
        <v>607</v>
      </c>
      <c r="D34" s="1245">
        <v>2.2485344625336445</v>
      </c>
      <c r="E34" s="1245">
        <v>1.6940804869606547</v>
      </c>
      <c r="F34" s="1245">
        <v>2.786096653557967</v>
      </c>
      <c r="G34" s="1245">
        <v>2.0681908550518697</v>
      </c>
      <c r="H34" s="1245">
        <v>2.2641617732642918</v>
      </c>
      <c r="I34" s="1245">
        <v>2.5583183852149558</v>
      </c>
      <c r="J34" s="1245">
        <v>1.8679940626367952</v>
      </c>
      <c r="K34" s="1245">
        <v>1.7764663393404252</v>
      </c>
      <c r="L34" s="1245">
        <v>1.2540107138619863</v>
      </c>
      <c r="M34" s="1245">
        <v>3.0291206831753157</v>
      </c>
      <c r="N34" s="1245">
        <v>2.6050512113029556</v>
      </c>
      <c r="O34" s="1245">
        <v>2.0911396809105098</v>
      </c>
      <c r="P34" s="1245">
        <v>2.7547447302282393</v>
      </c>
      <c r="Q34" s="1245">
        <v>2.3779036032183081</v>
      </c>
      <c r="R34" s="1245">
        <v>2.2654415631171574</v>
      </c>
      <c r="S34" s="1245">
        <v>2.2164816053739065</v>
      </c>
      <c r="T34" s="1245">
        <v>2.3124545825485163</v>
      </c>
      <c r="U34" s="1245">
        <v>2.2762393676835759</v>
      </c>
      <c r="V34" s="1245">
        <v>2.0546406689293053</v>
      </c>
      <c r="W34" s="1245">
        <v>2.600950117737137</v>
      </c>
      <c r="X34" s="1245">
        <v>2.0279425678346907</v>
      </c>
      <c r="Y34" s="1245">
        <v>2.0759849149020226</v>
      </c>
      <c r="Z34" s="1245">
        <v>2.4961478969454305</v>
      </c>
      <c r="AA34" s="1245">
        <v>2.4734324153823848</v>
      </c>
      <c r="AB34" s="1245">
        <v>2.2973736938845803</v>
      </c>
      <c r="AC34" s="1245">
        <v>2.561215368158912</v>
      </c>
      <c r="AD34" s="1245">
        <v>2.6549661688660153</v>
      </c>
      <c r="AE34" s="260">
        <f>'User Add-in Location'!B39</f>
        <v>0</v>
      </c>
      <c r="AF34" s="260">
        <f>'User Add-in Location'!C39</f>
        <v>0</v>
      </c>
      <c r="AG34" s="1245">
        <v>2.4141143133671177</v>
      </c>
      <c r="AH34" s="1245">
        <v>1.6149578509463047</v>
      </c>
      <c r="AI34" s="1245">
        <v>2.146222899290863</v>
      </c>
      <c r="AJ34" s="1245">
        <v>2.0144635562269992</v>
      </c>
      <c r="AK34" s="1245">
        <v>2.3229893116928744</v>
      </c>
      <c r="AL34" s="1245">
        <v>1.8177502607961602</v>
      </c>
      <c r="AM34" s="1245">
        <v>2.5125792995054921</v>
      </c>
      <c r="AN34" s="1245">
        <v>1.9185261663098254</v>
      </c>
      <c r="AO34" s="1245">
        <v>2.4354135121785232</v>
      </c>
      <c r="AP34" s="1245">
        <v>2.375861164924435</v>
      </c>
      <c r="AQ34" s="1245">
        <v>2.5052645414516959</v>
      </c>
      <c r="AR34" s="1245">
        <v>2.2132499220214039</v>
      </c>
      <c r="AS34" s="1245">
        <v>2.2941113784623859</v>
      </c>
      <c r="AT34" s="1245">
        <v>2.4325773429023374</v>
      </c>
      <c r="AU34" s="1245">
        <v>2.255512267820829</v>
      </c>
      <c r="AV34" s="1245">
        <v>2.3744448821727948</v>
      </c>
      <c r="AW34" s="1245">
        <v>2.4684056026516106</v>
      </c>
      <c r="AX34" s="1245">
        <v>3.1505160258361928</v>
      </c>
      <c r="AY34" s="1245">
        <v>2.9228301041738702</v>
      </c>
      <c r="AZ34" s="1245">
        <v>2.4796083811982212</v>
      </c>
      <c r="BA34" s="1245">
        <v>2.0037824238083783</v>
      </c>
      <c r="BB34" s="1245">
        <v>1.8942858383363781</v>
      </c>
      <c r="BC34" s="1245">
        <v>1.9035416785710964</v>
      </c>
      <c r="BD34" s="1245">
        <v>2.3251632876977779</v>
      </c>
      <c r="BE34" s="1245">
        <v>1.7216079062950178</v>
      </c>
    </row>
    <row r="35" spans="1:57" s="220" customFormat="1" x14ac:dyDescent="0.25">
      <c r="A35" s="1248"/>
      <c r="B35" s="1266"/>
      <c r="C35" s="1247" t="s">
        <v>609</v>
      </c>
      <c r="D35" s="1245">
        <v>0.53413935215433173</v>
      </c>
      <c r="E35" s="1245">
        <v>0.17361487688416552</v>
      </c>
      <c r="F35" s="1245">
        <v>0.83888631524351021</v>
      </c>
      <c r="G35" s="1245">
        <v>0.4782421611504864</v>
      </c>
      <c r="H35" s="1245">
        <v>0.48384951293077194</v>
      </c>
      <c r="I35" s="1245">
        <v>0.38169486117484708</v>
      </c>
      <c r="J35" s="1245">
        <v>0.74524362029862345</v>
      </c>
      <c r="K35" s="1245">
        <v>9.2231681623396261E-2</v>
      </c>
      <c r="L35" s="1245">
        <v>3.4680529287659627E-2</v>
      </c>
      <c r="M35" s="1245">
        <v>0.50946477031638204</v>
      </c>
      <c r="N35" s="1245">
        <v>9.0149270105674958E-2</v>
      </c>
      <c r="O35" s="1245">
        <v>0.27260681628137501</v>
      </c>
      <c r="P35" s="1245">
        <v>0.70450853936260061</v>
      </c>
      <c r="Q35" s="1245">
        <v>0.23166070168771333</v>
      </c>
      <c r="R35" s="1245">
        <v>0.3189855515739502</v>
      </c>
      <c r="S35" s="1245">
        <v>0.42979218436365663</v>
      </c>
      <c r="T35" s="1245">
        <v>0.50659168070898186</v>
      </c>
      <c r="U35" s="1245">
        <v>0.48332452182783686</v>
      </c>
      <c r="V35" s="1245">
        <v>0.62630162006047063</v>
      </c>
      <c r="W35" s="1245">
        <v>0.5674986272376441</v>
      </c>
      <c r="X35" s="1245">
        <v>0.12214300982018268</v>
      </c>
      <c r="Y35" s="1245">
        <v>0.16498842733259361</v>
      </c>
      <c r="Z35" s="1245">
        <v>0.38246958208814491</v>
      </c>
      <c r="AA35" s="1245">
        <v>0.76995929186575429</v>
      </c>
      <c r="AB35" s="1245">
        <v>0.40165649096866668</v>
      </c>
      <c r="AC35" s="1245">
        <v>0.47691213049912956</v>
      </c>
      <c r="AD35" s="1245">
        <v>0.58833550815596192</v>
      </c>
      <c r="AE35" s="260">
        <f>'User Add-in Location'!B40</f>
        <v>0</v>
      </c>
      <c r="AF35" s="260">
        <f>'User Add-in Location'!C40</f>
        <v>0</v>
      </c>
      <c r="AG35" s="1245">
        <v>0.43485140713525461</v>
      </c>
      <c r="AH35" s="1245">
        <v>0.76419077260402068</v>
      </c>
      <c r="AI35" s="1245">
        <v>0.3241086030510722</v>
      </c>
      <c r="AJ35" s="1245">
        <v>0.24885775067352361</v>
      </c>
      <c r="AK35" s="1245">
        <v>0.58543090312520918</v>
      </c>
      <c r="AL35" s="1245">
        <v>0.44448076522237273</v>
      </c>
      <c r="AM35" s="1245">
        <v>0.26270778191341787</v>
      </c>
      <c r="AN35" s="1245">
        <v>1.0879323605983298</v>
      </c>
      <c r="AO35" s="1245">
        <v>0.35099086024133413</v>
      </c>
      <c r="AP35" s="1245">
        <v>1.1407282743725264</v>
      </c>
      <c r="AQ35" s="1245">
        <v>0.59224820780458454</v>
      </c>
      <c r="AR35" s="1245">
        <v>0.46991171722078218</v>
      </c>
      <c r="AS35" s="1245">
        <v>0.21282245711111658</v>
      </c>
      <c r="AT35" s="1245">
        <v>0.49516075740844817</v>
      </c>
      <c r="AU35" s="1245">
        <v>1.2162974724188762</v>
      </c>
      <c r="AV35" s="1245">
        <v>0.6544891742786989</v>
      </c>
      <c r="AW35" s="1245">
        <v>0.43773407104848339</v>
      </c>
      <c r="AX35" s="1245">
        <v>0.61062130068967502</v>
      </c>
      <c r="AY35" s="1245">
        <v>0.36677889055270163</v>
      </c>
      <c r="AZ35" s="1245">
        <v>0.24207674857041506</v>
      </c>
      <c r="BA35" s="1245">
        <v>0.36115877303131128</v>
      </c>
      <c r="BB35" s="1245">
        <v>0.71864739549499113</v>
      </c>
      <c r="BC35" s="1245">
        <v>0.44306536367737753</v>
      </c>
      <c r="BD35" s="1245">
        <v>0.59835102991150035</v>
      </c>
      <c r="BE35" s="1245">
        <v>0.40770426081706795</v>
      </c>
    </row>
    <row r="36" spans="1:57" s="220" customFormat="1" x14ac:dyDescent="0.25">
      <c r="A36" s="1248"/>
      <c r="B36" s="1266"/>
      <c r="C36" s="1247"/>
      <c r="D36" s="1245"/>
      <c r="E36" s="1245"/>
      <c r="F36" s="1245"/>
      <c r="G36" s="1245"/>
      <c r="H36" s="1245"/>
      <c r="I36" s="1245"/>
      <c r="J36" s="1245"/>
      <c r="K36" s="1245"/>
      <c r="L36" s="1245"/>
      <c r="M36" s="1245"/>
      <c r="N36" s="1245"/>
      <c r="O36" s="1245"/>
      <c r="P36" s="1245"/>
      <c r="Q36" s="1245"/>
      <c r="R36" s="1245"/>
      <c r="S36" s="1245"/>
      <c r="T36" s="1245"/>
      <c r="U36" s="1245"/>
      <c r="V36" s="1245"/>
      <c r="W36" s="1245"/>
      <c r="X36" s="1245"/>
      <c r="Y36" s="1245"/>
      <c r="Z36" s="1245"/>
      <c r="AA36" s="1245"/>
      <c r="AB36" s="1245"/>
      <c r="AC36" s="1245"/>
      <c r="AD36" s="1245"/>
      <c r="AE36" s="260"/>
      <c r="AF36" s="260"/>
      <c r="AG36" s="1245"/>
      <c r="AH36" s="1245"/>
      <c r="AI36" s="1245"/>
      <c r="AJ36" s="1245"/>
      <c r="AK36" s="1245"/>
      <c r="AL36" s="1245"/>
      <c r="AM36" s="1245"/>
      <c r="AN36" s="1245"/>
      <c r="AO36" s="1245"/>
      <c r="AP36" s="1245"/>
      <c r="AQ36" s="1245"/>
      <c r="AR36" s="1245"/>
      <c r="AS36" s="1245"/>
      <c r="AT36" s="1245"/>
      <c r="AU36" s="1245"/>
      <c r="AV36" s="1245"/>
      <c r="AW36" s="1245"/>
      <c r="AX36" s="1245"/>
      <c r="AY36" s="1245"/>
      <c r="AZ36" s="1245"/>
      <c r="BA36" s="1245"/>
      <c r="BB36" s="1245"/>
      <c r="BC36" s="1245"/>
      <c r="BD36" s="1245"/>
      <c r="BE36" s="1245"/>
    </row>
    <row r="37" spans="1:57" s="220" customFormat="1" x14ac:dyDescent="0.25">
      <c r="A37" s="1248"/>
      <c r="B37" s="1266"/>
      <c r="C37" s="1252" t="s">
        <v>537</v>
      </c>
      <c r="D37" s="1245"/>
      <c r="E37" s="1245"/>
      <c r="F37" s="1245"/>
      <c r="G37" s="1245"/>
      <c r="H37" s="1245"/>
      <c r="I37" s="1245"/>
      <c r="J37" s="1245"/>
      <c r="K37" s="1245"/>
      <c r="L37" s="1245"/>
      <c r="M37" s="1245"/>
      <c r="N37" s="1245"/>
      <c r="O37" s="1245"/>
      <c r="P37" s="1245"/>
      <c r="Q37" s="1245"/>
      <c r="R37" s="1245"/>
      <c r="S37" s="1245"/>
      <c r="T37" s="1245"/>
      <c r="U37" s="1245"/>
      <c r="V37" s="1245"/>
      <c r="W37" s="1245"/>
      <c r="X37" s="1245"/>
      <c r="Y37" s="1245"/>
      <c r="Z37" s="1245"/>
      <c r="AA37" s="1245"/>
      <c r="AB37" s="1245"/>
      <c r="AC37" s="1245"/>
      <c r="AD37" s="1245"/>
      <c r="AE37" s="260"/>
      <c r="AF37" s="260"/>
      <c r="AG37" s="1245"/>
      <c r="AH37" s="1245"/>
      <c r="AI37" s="1245"/>
      <c r="AJ37" s="1245"/>
      <c r="AK37" s="1245"/>
      <c r="AL37" s="1245"/>
      <c r="AM37" s="1245"/>
      <c r="AN37" s="1245"/>
      <c r="AO37" s="1245"/>
      <c r="AP37" s="1245"/>
      <c r="AQ37" s="1245"/>
      <c r="AR37" s="1245"/>
      <c r="AS37" s="1245"/>
      <c r="AT37" s="1245"/>
      <c r="AU37" s="1245"/>
      <c r="AV37" s="1245"/>
      <c r="AW37" s="1245"/>
      <c r="AX37" s="1245"/>
      <c r="AY37" s="1245"/>
      <c r="AZ37" s="1245"/>
      <c r="BA37" s="1245"/>
      <c r="BB37" s="1245"/>
      <c r="BC37" s="1245"/>
      <c r="BD37" s="1245"/>
      <c r="BE37" s="1245"/>
    </row>
    <row r="38" spans="1:57" s="220" customFormat="1" ht="15" customHeight="1" x14ac:dyDescent="0.25">
      <c r="A38" s="1248"/>
      <c r="B38" s="1266"/>
      <c r="C38" s="1253" t="s">
        <v>611</v>
      </c>
      <c r="D38" s="1245" t="s">
        <v>539</v>
      </c>
      <c r="E38" s="1245" t="s">
        <v>540</v>
      </c>
      <c r="F38" s="1245" t="s">
        <v>541</v>
      </c>
      <c r="G38" s="1245" t="s">
        <v>542</v>
      </c>
      <c r="H38" s="1245" t="s">
        <v>543</v>
      </c>
      <c r="I38" s="1245" t="s">
        <v>143</v>
      </c>
      <c r="J38" s="1245" t="s">
        <v>544</v>
      </c>
      <c r="K38" s="1245" t="s">
        <v>545</v>
      </c>
      <c r="L38" s="1245" t="s">
        <v>546</v>
      </c>
      <c r="M38" s="1245" t="s">
        <v>547</v>
      </c>
      <c r="N38" s="1245" t="s">
        <v>548</v>
      </c>
      <c r="O38" s="1245" t="s">
        <v>549</v>
      </c>
      <c r="P38" s="1245" t="s">
        <v>550</v>
      </c>
      <c r="Q38" s="1245" t="s">
        <v>551</v>
      </c>
      <c r="R38" s="1245" t="s">
        <v>552</v>
      </c>
      <c r="S38" s="1245" t="s">
        <v>553</v>
      </c>
      <c r="T38" s="1245" t="s">
        <v>554</v>
      </c>
      <c r="U38" s="1245" t="s">
        <v>555</v>
      </c>
      <c r="V38" s="1245" t="s">
        <v>556</v>
      </c>
      <c r="W38" s="1245" t="s">
        <v>557</v>
      </c>
      <c r="X38" s="1245" t="s">
        <v>558</v>
      </c>
      <c r="Y38" s="1245" t="s">
        <v>559</v>
      </c>
      <c r="Z38" s="1245" t="s">
        <v>560</v>
      </c>
      <c r="AA38" s="1245" t="s">
        <v>561</v>
      </c>
      <c r="AB38" s="1245" t="s">
        <v>562</v>
      </c>
      <c r="AC38" s="1245" t="s">
        <v>563</v>
      </c>
      <c r="AD38" s="1245" t="s">
        <v>564</v>
      </c>
      <c r="AE38" s="260" t="s">
        <v>565</v>
      </c>
      <c r="AF38" s="260" t="s">
        <v>566</v>
      </c>
      <c r="AG38" s="1245" t="s">
        <v>567</v>
      </c>
      <c r="AH38" s="1245" t="s">
        <v>568</v>
      </c>
      <c r="AI38" s="1245" t="s">
        <v>569</v>
      </c>
      <c r="AJ38" s="1245" t="s">
        <v>570</v>
      </c>
      <c r="AK38" s="1245" t="s">
        <v>571</v>
      </c>
      <c r="AL38" s="1245" t="s">
        <v>572</v>
      </c>
      <c r="AM38" s="1245" t="s">
        <v>573</v>
      </c>
      <c r="AN38" s="1245" t="s">
        <v>574</v>
      </c>
      <c r="AO38" s="1245" t="s">
        <v>575</v>
      </c>
      <c r="AP38" s="1245" t="s">
        <v>576</v>
      </c>
      <c r="AQ38" s="1245" t="s">
        <v>577</v>
      </c>
      <c r="AR38" s="1245" t="s">
        <v>578</v>
      </c>
      <c r="AS38" s="1245" t="s">
        <v>579</v>
      </c>
      <c r="AT38" s="1245" t="s">
        <v>580</v>
      </c>
      <c r="AU38" s="1245" t="s">
        <v>581</v>
      </c>
      <c r="AV38" s="1245" t="s">
        <v>582</v>
      </c>
      <c r="AW38" s="1245" t="s">
        <v>583</v>
      </c>
      <c r="AX38" s="1245" t="s">
        <v>1404</v>
      </c>
      <c r="AY38" s="1245" t="s">
        <v>584</v>
      </c>
      <c r="AZ38" s="1245" t="s">
        <v>585</v>
      </c>
      <c r="BA38" s="1245" t="s">
        <v>586</v>
      </c>
      <c r="BB38" s="1245" t="s">
        <v>587</v>
      </c>
      <c r="BC38" s="1245" t="s">
        <v>588</v>
      </c>
      <c r="BD38" s="1245" t="s">
        <v>589</v>
      </c>
      <c r="BE38" s="1245" t="s">
        <v>590</v>
      </c>
    </row>
    <row r="39" spans="1:57" s="220" customFormat="1" x14ac:dyDescent="0.25">
      <c r="A39" s="1248"/>
      <c r="B39" s="1266"/>
      <c r="C39" s="1247" t="s">
        <v>592</v>
      </c>
      <c r="D39" s="1245">
        <v>1.7947073124742314</v>
      </c>
      <c r="E39" s="1245">
        <v>1.6491502221769507</v>
      </c>
      <c r="F39" s="1245">
        <v>2.02684945634318</v>
      </c>
      <c r="G39" s="1245">
        <v>1.6601505521508451</v>
      </c>
      <c r="H39" s="1245">
        <v>2.3698010044588287</v>
      </c>
      <c r="I39" s="1245">
        <v>1.697127758408109</v>
      </c>
      <c r="J39" s="1245">
        <v>1.2502609325197296</v>
      </c>
      <c r="K39" s="1245">
        <v>1.0384184678610671</v>
      </c>
      <c r="L39" s="1245">
        <v>0.49342820770201729</v>
      </c>
      <c r="M39" s="1245">
        <v>2.7813724800440229</v>
      </c>
      <c r="N39" s="1245">
        <v>2.7812697993886326</v>
      </c>
      <c r="O39" s="1245">
        <v>2.351654959950944</v>
      </c>
      <c r="P39" s="1245">
        <v>2.4720465965942053</v>
      </c>
      <c r="Q39" s="1245">
        <v>3.2094080419114541</v>
      </c>
      <c r="R39" s="1245">
        <v>2.22321986894001</v>
      </c>
      <c r="S39" s="1245">
        <v>1.6693300391082351</v>
      </c>
      <c r="T39" s="1245">
        <v>1.631726010403872</v>
      </c>
      <c r="U39" s="1245">
        <v>1.7397758209011713</v>
      </c>
      <c r="V39" s="1245">
        <v>1.9559177823253833</v>
      </c>
      <c r="W39" s="1245">
        <v>2.486824429244892</v>
      </c>
      <c r="X39" s="1245">
        <v>1.3239496434976994</v>
      </c>
      <c r="Y39" s="1245">
        <v>1.9815114470392829</v>
      </c>
      <c r="Z39" s="1245">
        <v>1.9281983007758816</v>
      </c>
      <c r="AA39" s="1245">
        <v>1.9249339968329031</v>
      </c>
      <c r="AB39" s="1245">
        <v>1.9874802203559101</v>
      </c>
      <c r="AC39" s="1245">
        <v>1.8448929941541288</v>
      </c>
      <c r="AD39" s="1245">
        <v>1.4061278151562475</v>
      </c>
      <c r="AE39" s="260">
        <f>'User Add-in Location'!B44</f>
        <v>0</v>
      </c>
      <c r="AF39" s="260">
        <f>'User Add-in Location'!C44</f>
        <v>0</v>
      </c>
      <c r="AG39" s="1245">
        <v>1.7628566731619415</v>
      </c>
      <c r="AH39" s="1245">
        <v>0.97457411131129701</v>
      </c>
      <c r="AI39" s="1245">
        <v>1.6511368474069887</v>
      </c>
      <c r="AJ39" s="1245">
        <v>2.2999859314326181</v>
      </c>
      <c r="AK39" s="1245">
        <v>2.1487103263483318</v>
      </c>
      <c r="AL39" s="1245">
        <v>1.3860389176499053</v>
      </c>
      <c r="AM39" s="1245">
        <v>1.8795810558799155</v>
      </c>
      <c r="AN39" s="1245">
        <v>0.91384494675673722</v>
      </c>
      <c r="AO39" s="1245">
        <v>1.8597209398736811</v>
      </c>
      <c r="AP39" s="1245">
        <v>1.0157849514436013</v>
      </c>
      <c r="AQ39" s="1245">
        <v>2.5277993288672502</v>
      </c>
      <c r="AR39" s="1245">
        <v>1.4654693590610695</v>
      </c>
      <c r="AS39" s="1245">
        <v>1.6927369331313407</v>
      </c>
      <c r="AT39" s="1245">
        <v>1.8118807543598427</v>
      </c>
      <c r="AU39" s="1245">
        <v>1.9153419463657075</v>
      </c>
      <c r="AV39" s="1245">
        <v>1.5337669265447675</v>
      </c>
      <c r="AW39" s="1245">
        <v>1.4060796452471949</v>
      </c>
      <c r="AX39" s="1245">
        <v>3.6344423423116683</v>
      </c>
      <c r="AY39" s="1245">
        <v>1.2551701723803363</v>
      </c>
      <c r="AZ39" s="1245">
        <v>1.5894559436302547</v>
      </c>
      <c r="BA39" s="1245">
        <v>1.059209868775653</v>
      </c>
      <c r="BB39" s="1245">
        <v>2.0604728710344906</v>
      </c>
      <c r="BC39" s="1245">
        <v>0.41430570598545513</v>
      </c>
      <c r="BD39" s="1245">
        <v>1.9861913940419365</v>
      </c>
      <c r="BE39" s="1245">
        <v>0.66903145774614181</v>
      </c>
    </row>
    <row r="40" spans="1:57" s="220" customFormat="1" x14ac:dyDescent="0.25">
      <c r="A40" s="1248"/>
      <c r="B40" s="1266"/>
      <c r="C40" s="1247" t="s">
        <v>593</v>
      </c>
      <c r="D40" s="1245">
        <v>1.0996796428293423</v>
      </c>
      <c r="E40" s="1245">
        <v>0.68857304255167651</v>
      </c>
      <c r="F40" s="1245">
        <v>1.7076393832331118</v>
      </c>
      <c r="G40" s="1245">
        <v>1.4410644268644031</v>
      </c>
      <c r="H40" s="1245">
        <v>1.5157225857610288</v>
      </c>
      <c r="I40" s="1245">
        <v>2.7193033246026523</v>
      </c>
      <c r="J40" s="1245">
        <v>1.4962161727573562</v>
      </c>
      <c r="K40" s="1245">
        <v>2.4153802567634033</v>
      </c>
      <c r="L40" s="1245">
        <v>0.51360191124072974</v>
      </c>
      <c r="M40" s="1245">
        <v>1.6920703666797583</v>
      </c>
      <c r="N40" s="1245">
        <v>1.992067903712176</v>
      </c>
      <c r="O40" s="1245">
        <v>1.2556379014167234</v>
      </c>
      <c r="P40" s="1245">
        <v>1.6592180417931599</v>
      </c>
      <c r="Q40" s="1245">
        <v>1.5999781705331113</v>
      </c>
      <c r="R40" s="1245">
        <v>1.7354963896931082</v>
      </c>
      <c r="S40" s="1245">
        <v>1.2912213214929553</v>
      </c>
      <c r="T40" s="1245">
        <v>2.1900451079658843</v>
      </c>
      <c r="U40" s="1245">
        <v>1.2247926325037861</v>
      </c>
      <c r="V40" s="1245">
        <v>1.431481098783189</v>
      </c>
      <c r="W40" s="1245">
        <v>1.4599095358364824</v>
      </c>
      <c r="X40" s="1245">
        <v>1.3134437920390696</v>
      </c>
      <c r="Y40" s="1245">
        <v>2.1135309744572295</v>
      </c>
      <c r="Z40" s="1245">
        <v>2.1388470884682476</v>
      </c>
      <c r="AA40" s="1245">
        <v>1.8233520811882573</v>
      </c>
      <c r="AB40" s="1245">
        <v>1.9010893158290698</v>
      </c>
      <c r="AC40" s="1245">
        <v>1.5815147593401482</v>
      </c>
      <c r="AD40" s="1245">
        <v>1.9660557111104331</v>
      </c>
      <c r="AE40" s="260">
        <f>'User Add-in Location'!B45</f>
        <v>0</v>
      </c>
      <c r="AF40" s="260">
        <f>'User Add-in Location'!C45</f>
        <v>0</v>
      </c>
      <c r="AG40" s="1245">
        <v>1.6118601439655691</v>
      </c>
      <c r="AH40" s="1245">
        <v>1.0223827292953713</v>
      </c>
      <c r="AI40" s="1245">
        <v>1.4890356962231623</v>
      </c>
      <c r="AJ40" s="1245">
        <v>2.5550872830377109</v>
      </c>
      <c r="AK40" s="1245">
        <v>1.4709518681401792</v>
      </c>
      <c r="AL40" s="1245">
        <v>2.1420602107393569</v>
      </c>
      <c r="AM40" s="1245">
        <v>1.1184051555135976</v>
      </c>
      <c r="AN40" s="1245">
        <v>1.3933503247689509</v>
      </c>
      <c r="AO40" s="1245">
        <v>2.0752735552580459</v>
      </c>
      <c r="AP40" s="1245">
        <v>2.4984703063964844</v>
      </c>
      <c r="AQ40" s="1245">
        <v>1.700408507084501</v>
      </c>
      <c r="AR40" s="1245">
        <v>1.8275771901227427</v>
      </c>
      <c r="AS40" s="1245">
        <v>1.8017882125965063</v>
      </c>
      <c r="AT40" s="1245">
        <v>1.175511678059896</v>
      </c>
      <c r="AU40" s="1245">
        <v>1.2790713724882707</v>
      </c>
      <c r="AV40" s="1245">
        <v>1.4423165459563767</v>
      </c>
      <c r="AW40" s="1245">
        <v>2.1524512249490488</v>
      </c>
      <c r="AX40" s="1245">
        <v>3.4712566431017891</v>
      </c>
      <c r="AY40" s="1245">
        <v>2.0673195797464121</v>
      </c>
      <c r="AZ40" s="1245">
        <v>1.1956712888634724</v>
      </c>
      <c r="BA40" s="1245">
        <v>1.6940641472305078</v>
      </c>
      <c r="BB40" s="1245">
        <v>1.014519214630127</v>
      </c>
      <c r="BC40" s="1245">
        <v>1.2518468870632891</v>
      </c>
      <c r="BD40" s="1245">
        <v>1.551024519878885</v>
      </c>
      <c r="BE40" s="1245">
        <v>0.79348066233206493</v>
      </c>
    </row>
    <row r="41" spans="1:57" s="220" customFormat="1" x14ac:dyDescent="0.25">
      <c r="A41" s="1248"/>
      <c r="B41" s="1266"/>
      <c r="C41" s="1247" t="s">
        <v>595</v>
      </c>
      <c r="D41" s="1245">
        <v>2.2048804339577495</v>
      </c>
      <c r="E41" s="1245">
        <v>1.8046295557321455</v>
      </c>
      <c r="F41" s="1245">
        <v>2.8358066793361738</v>
      </c>
      <c r="G41" s="1245">
        <v>1.9048106057150558</v>
      </c>
      <c r="H41" s="1245">
        <v>2.6419363354048158</v>
      </c>
      <c r="I41" s="1245">
        <v>2.8614471728491675</v>
      </c>
      <c r="J41" s="1245">
        <v>2.3583991367186132</v>
      </c>
      <c r="K41" s="1245">
        <v>2.0671083694998078</v>
      </c>
      <c r="L41" s="1245">
        <v>0.61886739214401376</v>
      </c>
      <c r="M41" s="1245">
        <v>2.8695018221597346</v>
      </c>
      <c r="N41" s="1245">
        <v>2.5988470178472163</v>
      </c>
      <c r="O41" s="1245">
        <v>2.2064078792328257</v>
      </c>
      <c r="P41" s="1245">
        <v>2.2220004550697405</v>
      </c>
      <c r="Q41" s="1245">
        <v>2.7923303877673495</v>
      </c>
      <c r="R41" s="1245">
        <v>2.4260598269889631</v>
      </c>
      <c r="S41" s="1245">
        <v>2.2481988001373776</v>
      </c>
      <c r="T41" s="1245">
        <v>2.2255427556340317</v>
      </c>
      <c r="U41" s="1245">
        <v>2.0898346283128824</v>
      </c>
      <c r="V41" s="1245">
        <v>2.0664937102512089</v>
      </c>
      <c r="W41" s="1245">
        <v>2.5934882344610029</v>
      </c>
      <c r="X41" s="1245">
        <v>2.3806282145941893</v>
      </c>
      <c r="Y41" s="1245">
        <v>2.5295973027615419</v>
      </c>
      <c r="Z41" s="1245">
        <v>2.7353245485752993</v>
      </c>
      <c r="AA41" s="1245">
        <v>2.8111339616974069</v>
      </c>
      <c r="AB41" s="1245">
        <v>1.8571133888699471</v>
      </c>
      <c r="AC41" s="1245">
        <v>2.7539172523453934</v>
      </c>
      <c r="AD41" s="1245">
        <v>2.1852724630812816</v>
      </c>
      <c r="AE41" s="260">
        <f>'User Add-in Location'!B46</f>
        <v>0</v>
      </c>
      <c r="AF41" s="260">
        <f>'User Add-in Location'!C46</f>
        <v>0</v>
      </c>
      <c r="AG41" s="1245">
        <v>2.3270581047325698</v>
      </c>
      <c r="AH41" s="1245">
        <v>1.3857808610439912</v>
      </c>
      <c r="AI41" s="1245">
        <v>2.8844033892073746</v>
      </c>
      <c r="AJ41" s="1245">
        <v>2.5688839132857582</v>
      </c>
      <c r="AK41" s="1245">
        <v>1.8088188959305902</v>
      </c>
      <c r="AL41" s="1245">
        <v>1.9202916112410418</v>
      </c>
      <c r="AM41" s="1245">
        <v>2.5972575385703403</v>
      </c>
      <c r="AN41" s="1245">
        <v>1.8803687545445238</v>
      </c>
      <c r="AO41" s="1245">
        <v>2.8968569991070821</v>
      </c>
      <c r="AP41" s="1245">
        <v>2.3345703541812495</v>
      </c>
      <c r="AQ41" s="1245">
        <v>2.7443796949918111</v>
      </c>
      <c r="AR41" s="1245">
        <v>2.9037527714609563</v>
      </c>
      <c r="AS41" s="1245">
        <v>2.3651424372219108</v>
      </c>
      <c r="AT41" s="1245">
        <v>2.1455647939294673</v>
      </c>
      <c r="AU41" s="1245">
        <v>2.0434106991200931</v>
      </c>
      <c r="AV41" s="1245">
        <v>2.956966583466087</v>
      </c>
      <c r="AW41" s="1245">
        <v>2.6930155415018731</v>
      </c>
      <c r="AX41" s="1245">
        <v>4.8574795735180185</v>
      </c>
      <c r="AY41" s="1245">
        <v>2.9139170312942562</v>
      </c>
      <c r="AZ41" s="1245">
        <v>2.4192474483298154</v>
      </c>
      <c r="BA41" s="1245">
        <v>2.2141768994581845</v>
      </c>
      <c r="BB41" s="1245">
        <v>2.0591280246529342</v>
      </c>
      <c r="BC41" s="1245">
        <v>1.9243731304363589</v>
      </c>
      <c r="BD41" s="1245">
        <v>2.6460780707557259</v>
      </c>
      <c r="BE41" s="1245">
        <v>1.2087551345243277</v>
      </c>
    </row>
    <row r="42" spans="1:57" s="220" customFormat="1" x14ac:dyDescent="0.25">
      <c r="A42" s="1248"/>
      <c r="B42" s="1266"/>
      <c r="C42" s="1247" t="s">
        <v>596</v>
      </c>
      <c r="D42" s="1245">
        <v>1.1088404815041355</v>
      </c>
      <c r="E42" s="1245">
        <v>0.76150424895753865</v>
      </c>
      <c r="F42" s="1245">
        <v>1.9623782555183102</v>
      </c>
      <c r="G42" s="1245">
        <v>1.1091717009364783</v>
      </c>
      <c r="H42" s="1245">
        <v>1.7716435052012987</v>
      </c>
      <c r="I42" s="1245">
        <v>1.9077254534927746</v>
      </c>
      <c r="J42" s="1245">
        <v>1.528411842591294</v>
      </c>
      <c r="K42" s="1245">
        <v>0.95629375884289247</v>
      </c>
      <c r="L42" s="1245">
        <v>0.378119351709433</v>
      </c>
      <c r="M42" s="1245">
        <v>2.0152550557562448</v>
      </c>
      <c r="N42" s="1245">
        <v>1.5830523350164534</v>
      </c>
      <c r="O42" s="1245">
        <v>1.0273935547043185</v>
      </c>
      <c r="P42" s="1245">
        <v>1.2956194049669387</v>
      </c>
      <c r="Q42" s="1245">
        <v>1.6813500789311666</v>
      </c>
      <c r="R42" s="1245">
        <v>1.2081934317177583</v>
      </c>
      <c r="S42" s="1245">
        <v>1.23059667644676</v>
      </c>
      <c r="T42" s="1245">
        <v>1.3086447858093888</v>
      </c>
      <c r="U42" s="1245">
        <v>1.0525418403171982</v>
      </c>
      <c r="V42" s="1245">
        <v>0.75060341395778429</v>
      </c>
      <c r="W42" s="1245">
        <v>1.6493957240880974</v>
      </c>
      <c r="X42" s="1245">
        <v>1.2946345229590666</v>
      </c>
      <c r="Y42" s="1245">
        <v>1.601032443988079</v>
      </c>
      <c r="Z42" s="1245">
        <v>1.5835129192305271</v>
      </c>
      <c r="AA42" s="1245">
        <v>1.8974720122905797</v>
      </c>
      <c r="AB42" s="1245">
        <v>0.97887195946612904</v>
      </c>
      <c r="AC42" s="1245">
        <v>1.45923280029967</v>
      </c>
      <c r="AD42" s="1245">
        <v>0.92641636411884276</v>
      </c>
      <c r="AE42" s="260">
        <f>'User Add-in Location'!B47</f>
        <v>0</v>
      </c>
      <c r="AF42" s="260">
        <f>'User Add-in Location'!C47</f>
        <v>0</v>
      </c>
      <c r="AG42" s="1245">
        <v>1.1913738445149273</v>
      </c>
      <c r="AH42" s="1245">
        <v>0.91516972053074408</v>
      </c>
      <c r="AI42" s="1245">
        <v>1.7886339450982391</v>
      </c>
      <c r="AJ42" s="1245">
        <v>1.4432359047219774</v>
      </c>
      <c r="AK42" s="1245">
        <v>0.95484498726529032</v>
      </c>
      <c r="AL42" s="1245">
        <v>1.1571221535127716</v>
      </c>
      <c r="AM42" s="1245">
        <v>1.3963035016879031</v>
      </c>
      <c r="AN42" s="1245">
        <v>0.85309172196721172</v>
      </c>
      <c r="AO42" s="1245">
        <v>1.606435104797608</v>
      </c>
      <c r="AP42" s="1245">
        <v>1.4023150318049256</v>
      </c>
      <c r="AQ42" s="1245">
        <v>1.6836936900694452</v>
      </c>
      <c r="AR42" s="1245">
        <v>1.6342970874045188</v>
      </c>
      <c r="AS42" s="1245">
        <v>1.6002881690764479</v>
      </c>
      <c r="AT42" s="1245">
        <v>1.2051862419369812</v>
      </c>
      <c r="AU42" s="1245">
        <v>1.2181175911098916</v>
      </c>
      <c r="AV42" s="1245">
        <v>1.4426062914582942</v>
      </c>
      <c r="AW42" s="1245">
        <v>1.4478178115286495</v>
      </c>
      <c r="AX42" s="1245">
        <v>3.5459857763072837</v>
      </c>
      <c r="AY42" s="1245">
        <v>1.6304778059322607</v>
      </c>
      <c r="AZ42" s="1245">
        <v>1.4425241134780054</v>
      </c>
      <c r="BA42" s="1245">
        <v>1.1930241288097982</v>
      </c>
      <c r="BB42" s="1245">
        <v>1.1656871278633731</v>
      </c>
      <c r="BC42" s="1245">
        <v>0.89499736291435417</v>
      </c>
      <c r="BD42" s="1245">
        <v>1.6643279532110358</v>
      </c>
      <c r="BE42" s="1245">
        <v>0.44892631015635548</v>
      </c>
    </row>
    <row r="43" spans="1:57" s="220" customFormat="1" x14ac:dyDescent="0.25">
      <c r="A43" s="1248"/>
      <c r="B43" s="1266"/>
      <c r="C43" s="1247" t="s">
        <v>598</v>
      </c>
      <c r="D43" s="1245">
        <v>1.6437198425211559</v>
      </c>
      <c r="E43" s="1245">
        <v>1.3288223521738518</v>
      </c>
      <c r="F43" s="1245">
        <v>2.4894425200253001</v>
      </c>
      <c r="G43" s="1245">
        <v>1.500710110293656</v>
      </c>
      <c r="H43" s="1245">
        <v>2.3662379285911235</v>
      </c>
      <c r="I43" s="1245">
        <v>2.2368130414951137</v>
      </c>
      <c r="J43" s="1245">
        <v>1.9218265343366601</v>
      </c>
      <c r="K43" s="1245">
        <v>1.6197452654198903</v>
      </c>
      <c r="L43" s="1245">
        <v>0</v>
      </c>
      <c r="M43" s="1245">
        <v>2.6262772174143212</v>
      </c>
      <c r="N43" s="1245">
        <v>2.1214620710873024</v>
      </c>
      <c r="O43" s="1245">
        <v>1.7352446357651454</v>
      </c>
      <c r="P43" s="1245">
        <v>1.8352835570893637</v>
      </c>
      <c r="Q43" s="1245">
        <v>2.4698655354540522</v>
      </c>
      <c r="R43" s="1245">
        <v>1.8387563702900236</v>
      </c>
      <c r="S43" s="1245">
        <v>1.709404988623247</v>
      </c>
      <c r="T43" s="1245">
        <v>1.6812722036024419</v>
      </c>
      <c r="U43" s="1245">
        <v>1.8325310970951871</v>
      </c>
      <c r="V43" s="1245">
        <v>1.5936080081070343</v>
      </c>
      <c r="W43" s="1245">
        <v>2.1079528150035114</v>
      </c>
      <c r="X43" s="1245">
        <v>1.8493391842376896</v>
      </c>
      <c r="Y43" s="1245">
        <v>2.1241568843039071</v>
      </c>
      <c r="Z43" s="1245">
        <v>2.4403520059294816</v>
      </c>
      <c r="AA43" s="1245">
        <v>2.6784836671701293</v>
      </c>
      <c r="AB43" s="1245">
        <v>1.5088254569507227</v>
      </c>
      <c r="AC43" s="1245">
        <v>2.2156967259034879</v>
      </c>
      <c r="AD43" s="1245">
        <v>1.8013796119428263</v>
      </c>
      <c r="AE43" s="260">
        <f>'User Add-in Location'!B48</f>
        <v>0</v>
      </c>
      <c r="AF43" s="260">
        <f>'User Add-in Location'!C48</f>
        <v>0</v>
      </c>
      <c r="AG43" s="1245">
        <v>1.7074631719690998</v>
      </c>
      <c r="AH43" s="1245">
        <v>1.174136369330127</v>
      </c>
      <c r="AI43" s="1245">
        <v>2.130581837601778</v>
      </c>
      <c r="AJ43" s="1245">
        <v>2.2007060170900532</v>
      </c>
      <c r="AK43" s="1245">
        <v>1.3105100082551562</v>
      </c>
      <c r="AL43" s="1245">
        <v>1.6196422420623826</v>
      </c>
      <c r="AM43" s="1245">
        <v>2.1131461182745492</v>
      </c>
      <c r="AN43" s="1245">
        <v>1.2958810387588129</v>
      </c>
      <c r="AO43" s="1245">
        <v>2.4273439758434527</v>
      </c>
      <c r="AP43" s="1245">
        <v>1.8502824846200827</v>
      </c>
      <c r="AQ43" s="1245">
        <v>2.2360064496354362</v>
      </c>
      <c r="AR43" s="1245">
        <v>2.3392265933315928</v>
      </c>
      <c r="AS43" s="1245">
        <v>2.1248704078720837</v>
      </c>
      <c r="AT43" s="1245">
        <v>1.8966728606965484</v>
      </c>
      <c r="AU43" s="1245">
        <v>1.4337668059075752</v>
      </c>
      <c r="AV43" s="1245">
        <v>2.357901139593706</v>
      </c>
      <c r="AW43" s="1245">
        <v>2.2165510094747312</v>
      </c>
      <c r="AX43" s="1245">
        <v>4.5566277191406348</v>
      </c>
      <c r="AY43" s="1245">
        <v>2.3333239337293112</v>
      </c>
      <c r="AZ43" s="1245">
        <v>2.0383851931589407</v>
      </c>
      <c r="BA43" s="1245">
        <v>1.9523266572050932</v>
      </c>
      <c r="BB43" s="1245">
        <v>1.6498401244965997</v>
      </c>
      <c r="BC43" s="1245">
        <v>1.3764705392645626</v>
      </c>
      <c r="BD43" s="1245">
        <v>2.2972185299163912</v>
      </c>
      <c r="BE43" s="1245">
        <v>0.87421384490117793</v>
      </c>
    </row>
    <row r="44" spans="1:57" s="220" customFormat="1" x14ac:dyDescent="0.25">
      <c r="A44" s="1248"/>
      <c r="B44" s="1266"/>
      <c r="C44" s="1247" t="s">
        <v>599</v>
      </c>
      <c r="D44" s="1245">
        <v>1.1510360953398049</v>
      </c>
      <c r="E44" s="1245">
        <v>0.86079482437344268</v>
      </c>
      <c r="F44" s="1245">
        <v>1.7713277924340218</v>
      </c>
      <c r="G44" s="1245">
        <v>1.1323204406071454</v>
      </c>
      <c r="H44" s="1245">
        <v>1.9580052189994603</v>
      </c>
      <c r="I44" s="1245">
        <v>1.7370202853344381</v>
      </c>
      <c r="J44" s="1245">
        <v>1.588572934968397</v>
      </c>
      <c r="K44" s="1245">
        <v>1.4268733921926469</v>
      </c>
      <c r="L44" s="1245">
        <v>0.40388319076737389</v>
      </c>
      <c r="M44" s="1245">
        <v>2.0795252397656441</v>
      </c>
      <c r="N44" s="1245">
        <v>1.5946922866860405</v>
      </c>
      <c r="O44" s="1245">
        <v>1.1556519271107391</v>
      </c>
      <c r="P44" s="1245">
        <v>1.2284438111819327</v>
      </c>
      <c r="Q44" s="1245">
        <v>1.7007534668082371</v>
      </c>
      <c r="R44" s="1245">
        <v>1.3153618652140722</v>
      </c>
      <c r="S44" s="1245">
        <v>1.1229881477775052</v>
      </c>
      <c r="T44" s="1245">
        <v>1.2342653373489156</v>
      </c>
      <c r="U44" s="1245">
        <v>1.3156063003698364</v>
      </c>
      <c r="V44" s="1245">
        <v>1.1562821659026667</v>
      </c>
      <c r="W44" s="1245">
        <v>1.8823842243291438</v>
      </c>
      <c r="X44" s="1245">
        <v>1.208707935642451</v>
      </c>
      <c r="Y44" s="1245">
        <v>1.907682218356058</v>
      </c>
      <c r="Z44" s="1245">
        <v>2.0054597626440227</v>
      </c>
      <c r="AA44" s="1245">
        <v>2.0363881220109761</v>
      </c>
      <c r="AB44" s="1245">
        <v>0.85538759606424719</v>
      </c>
      <c r="AC44" s="1245">
        <v>1.4168194005033001</v>
      </c>
      <c r="AD44" s="1245">
        <v>1.0192193887196481</v>
      </c>
      <c r="AE44" s="260">
        <f>'User Add-in Location'!B49</f>
        <v>0</v>
      </c>
      <c r="AF44" s="260">
        <f>'User Add-in Location'!C49</f>
        <v>0</v>
      </c>
      <c r="AG44" s="1245">
        <v>1.057085481705144</v>
      </c>
      <c r="AH44" s="1245">
        <v>0.91057922039180994</v>
      </c>
      <c r="AI44" s="1245">
        <v>2.6936294543556869</v>
      </c>
      <c r="AJ44" s="1245">
        <v>1.9467080435715616</v>
      </c>
      <c r="AK44" s="1245">
        <v>0.94983363774372265</v>
      </c>
      <c r="AL44" s="1245">
        <v>1.2682646890170872</v>
      </c>
      <c r="AM44" s="1245">
        <v>1.6297761597670615</v>
      </c>
      <c r="AN44" s="1245">
        <v>0.81804646993987262</v>
      </c>
      <c r="AO44" s="1245">
        <v>2.006768059451133</v>
      </c>
      <c r="AP44" s="1245">
        <v>1.4854310487862676</v>
      </c>
      <c r="AQ44" s="1245">
        <v>1.7784703826764598</v>
      </c>
      <c r="AR44" s="1245">
        <v>1.8583602876169607</v>
      </c>
      <c r="AS44" s="1245">
        <v>1.8785020462237298</v>
      </c>
      <c r="AT44" s="1245">
        <v>1.5191380300093442</v>
      </c>
      <c r="AU44" s="1245">
        <v>1.0323230165522546</v>
      </c>
      <c r="AV44" s="1245">
        <v>1.5468966248445213</v>
      </c>
      <c r="AW44" s="1245">
        <v>1.7269914799835533</v>
      </c>
      <c r="AX44" s="1245">
        <v>3.8123592538759112</v>
      </c>
      <c r="AY44" s="1245">
        <v>1.6853774973424152</v>
      </c>
      <c r="AZ44" s="1245">
        <v>2.02433141018264</v>
      </c>
      <c r="BA44" s="1245">
        <v>1.5078659248538315</v>
      </c>
      <c r="BB44" s="1245">
        <v>1.4073958797380328</v>
      </c>
      <c r="BC44" s="1245">
        <v>1.4252929204376414</v>
      </c>
      <c r="BD44" s="1245">
        <v>1.5412844818783924</v>
      </c>
      <c r="BE44" s="1245">
        <v>0.58963934285566211</v>
      </c>
    </row>
    <row r="45" spans="1:57" s="220" customFormat="1" x14ac:dyDescent="0.25">
      <c r="A45" s="1248"/>
      <c r="B45" s="1266"/>
      <c r="C45" s="1247" t="s">
        <v>601</v>
      </c>
      <c r="D45" s="1245">
        <v>1.756674490949159</v>
      </c>
      <c r="E45" s="1245">
        <v>0</v>
      </c>
      <c r="F45" s="1245">
        <v>2.2296862448415449</v>
      </c>
      <c r="G45" s="1245">
        <v>1.4229424243332238</v>
      </c>
      <c r="H45" s="1245">
        <v>2.2608492964057514</v>
      </c>
      <c r="I45" s="1245">
        <v>1.8897166687955138</v>
      </c>
      <c r="J45" s="1245">
        <v>1.6516310015032369</v>
      </c>
      <c r="K45" s="1245">
        <v>1.658727256200647</v>
      </c>
      <c r="L45" s="1245">
        <v>0.24626022352967211</v>
      </c>
      <c r="M45" s="1245">
        <v>2.2981213138949488</v>
      </c>
      <c r="N45" s="1245">
        <v>1.7332359475474204</v>
      </c>
      <c r="O45" s="1245">
        <v>0.89446088191001649</v>
      </c>
      <c r="P45" s="1245">
        <v>1.7480628926266906</v>
      </c>
      <c r="Q45" s="1245">
        <v>2.2122596181848997</v>
      </c>
      <c r="R45" s="1245">
        <v>1.7919482518267889</v>
      </c>
      <c r="S45" s="1245">
        <v>1.5008316232312111</v>
      </c>
      <c r="T45" s="1245">
        <v>1.5840467458130212</v>
      </c>
      <c r="U45" s="1245">
        <v>1.7172549104177823</v>
      </c>
      <c r="V45" s="1245">
        <v>1.4939852235137776</v>
      </c>
      <c r="W45" s="1245">
        <v>1.5339036974855649</v>
      </c>
      <c r="X45" s="1245">
        <v>1.597986250795344</v>
      </c>
      <c r="Y45" s="1245">
        <v>1.773177400712044</v>
      </c>
      <c r="Z45" s="1245">
        <v>2.3083224424751858</v>
      </c>
      <c r="AA45" s="1245">
        <v>2.2058128464606499</v>
      </c>
      <c r="AB45" s="1245">
        <v>1.1370414892832439</v>
      </c>
      <c r="AC45" s="1245">
        <v>1.8449779300279514</v>
      </c>
      <c r="AD45" s="1245">
        <v>1.1143464452476912</v>
      </c>
      <c r="AE45" s="260">
        <f>'User Add-in Location'!B50</f>
        <v>0</v>
      </c>
      <c r="AF45" s="260">
        <f>'User Add-in Location'!C50</f>
        <v>0</v>
      </c>
      <c r="AG45" s="1245">
        <v>1.7993165241774693</v>
      </c>
      <c r="AH45" s="1245">
        <v>1.0332094815469557</v>
      </c>
      <c r="AI45" s="1245">
        <v>2.097090469893589</v>
      </c>
      <c r="AJ45" s="1245">
        <v>1.8640676903468307</v>
      </c>
      <c r="AK45" s="1245">
        <v>1.0081573788837721</v>
      </c>
      <c r="AL45" s="1245">
        <v>1.3729519485145487</v>
      </c>
      <c r="AM45" s="1245">
        <v>1.6310075841924196</v>
      </c>
      <c r="AN45" s="1245">
        <v>1.1549539450676212</v>
      </c>
      <c r="AO45" s="1245">
        <v>2.0359084272897374</v>
      </c>
      <c r="AP45" s="1245">
        <v>1.7048232837389874</v>
      </c>
      <c r="AQ45" s="1245">
        <v>0.98681542437563663</v>
      </c>
      <c r="AR45" s="1245">
        <v>2.0010987994491414</v>
      </c>
      <c r="AS45" s="1245">
        <v>1.4005609238019554</v>
      </c>
      <c r="AT45" s="1245">
        <v>1.9476670436961676</v>
      </c>
      <c r="AU45" s="1245">
        <v>1.3281408894446589</v>
      </c>
      <c r="AV45" s="1245">
        <v>2.0108321789772279</v>
      </c>
      <c r="AW45" s="1245">
        <v>1.8048358463471936</v>
      </c>
      <c r="AX45" s="1245">
        <v>3.5976256965309061</v>
      </c>
      <c r="AY45" s="1245">
        <v>1.8415630120103077</v>
      </c>
      <c r="AZ45" s="1245">
        <v>1.6790485612807735</v>
      </c>
      <c r="BA45" s="1245">
        <v>1.5494022882112892</v>
      </c>
      <c r="BB45" s="1245">
        <v>1.2185199914440032</v>
      </c>
      <c r="BC45" s="1245">
        <v>1.0319777034944104</v>
      </c>
      <c r="BD45" s="1245">
        <v>2.1060712516948743</v>
      </c>
      <c r="BE45" s="1245">
        <v>0.72902288295889417</v>
      </c>
    </row>
    <row r="46" spans="1:57" s="220" customFormat="1" x14ac:dyDescent="0.25">
      <c r="A46" s="1248"/>
      <c r="B46" s="1266"/>
      <c r="C46" s="1247" t="s">
        <v>602</v>
      </c>
      <c r="D46" s="1245">
        <v>1.67756099863775</v>
      </c>
      <c r="E46" s="1245">
        <v>0.84060138116227223</v>
      </c>
      <c r="F46" s="1245">
        <v>2.2971328782339784</v>
      </c>
      <c r="G46" s="1245">
        <v>1.775493824961176</v>
      </c>
      <c r="H46" s="1245">
        <v>2.3315642655256252</v>
      </c>
      <c r="I46" s="1245">
        <v>2.5533948908154116</v>
      </c>
      <c r="J46" s="1245">
        <v>1.7296537286825597</v>
      </c>
      <c r="K46" s="1245">
        <v>1.6247557121763361</v>
      </c>
      <c r="L46" s="1245">
        <v>0.62921016083116499</v>
      </c>
      <c r="M46" s="1245">
        <v>2.35161847535591</v>
      </c>
      <c r="N46" s="1245">
        <v>2.259518119034416</v>
      </c>
      <c r="O46" s="1245">
        <v>1.4673861294444113</v>
      </c>
      <c r="P46" s="1245">
        <v>1.9551792695233083</v>
      </c>
      <c r="Q46" s="1245">
        <v>2.5697486747502856</v>
      </c>
      <c r="R46" s="1245">
        <v>1.9570725320370244</v>
      </c>
      <c r="S46" s="1245">
        <v>1.7367337177080515</v>
      </c>
      <c r="T46" s="1245">
        <v>1.7460002802903436</v>
      </c>
      <c r="U46" s="1245">
        <v>1.7295680887459095</v>
      </c>
      <c r="V46" s="1245">
        <v>1.5931463100358032</v>
      </c>
      <c r="W46" s="1245">
        <v>2.0503178920155527</v>
      </c>
      <c r="X46" s="1245">
        <v>1.6709094388931935</v>
      </c>
      <c r="Y46" s="1245">
        <v>1.9768004835563722</v>
      </c>
      <c r="Z46" s="1245">
        <v>2.2596689647137165</v>
      </c>
      <c r="AA46" s="1245">
        <v>2.4447327350560815</v>
      </c>
      <c r="AB46" s="1245">
        <v>1.5040203917285209</v>
      </c>
      <c r="AC46" s="1245">
        <v>2.1750195124784595</v>
      </c>
      <c r="AD46" s="1245">
        <v>1.9062874756093466</v>
      </c>
      <c r="AE46" s="260">
        <f>'User Add-in Location'!B51</f>
        <v>0</v>
      </c>
      <c r="AF46" s="260">
        <f>'User Add-in Location'!C51</f>
        <v>0</v>
      </c>
      <c r="AG46" s="1245">
        <v>1.9640761798321245</v>
      </c>
      <c r="AH46" s="1245">
        <v>0</v>
      </c>
      <c r="AI46" s="1245">
        <v>1.9034487298271996</v>
      </c>
      <c r="AJ46" s="1245">
        <v>2.043650375231862</v>
      </c>
      <c r="AK46" s="1245">
        <v>1.5048338563278534</v>
      </c>
      <c r="AL46" s="1245">
        <v>1.7490435976101724</v>
      </c>
      <c r="AM46" s="1245">
        <v>2.098604351631987</v>
      </c>
      <c r="AN46" s="1245">
        <v>1.5309601213447734</v>
      </c>
      <c r="AO46" s="1245">
        <v>2.2288989717109651</v>
      </c>
      <c r="AP46" s="1245">
        <v>2.2344325055265206</v>
      </c>
      <c r="AQ46" s="1245">
        <v>2.0420934733272404</v>
      </c>
      <c r="AR46" s="1245">
        <v>2.498420480221287</v>
      </c>
      <c r="AS46" s="1245">
        <v>1.9304493028300802</v>
      </c>
      <c r="AT46" s="1245">
        <v>1.6429575278809043</v>
      </c>
      <c r="AU46" s="1245">
        <v>1.6401682603999583</v>
      </c>
      <c r="AV46" s="1245">
        <v>2.3215698782806502</v>
      </c>
      <c r="AW46" s="1245">
        <v>2.5009263093596203</v>
      </c>
      <c r="AX46" s="1245">
        <v>4.1547579280170668</v>
      </c>
      <c r="AY46" s="1245">
        <v>2.6895208329078946</v>
      </c>
      <c r="AZ46" s="1245">
        <v>2.0023204958850229</v>
      </c>
      <c r="BA46" s="1245">
        <v>1.905419251962049</v>
      </c>
      <c r="BB46" s="1245">
        <v>1.5933210338743842</v>
      </c>
      <c r="BC46" s="1245">
        <v>1.6203621308687359</v>
      </c>
      <c r="BD46" s="1245">
        <v>2.1530568866872226</v>
      </c>
      <c r="BE46" s="1245">
        <v>0.97912529888037725</v>
      </c>
    </row>
    <row r="47" spans="1:57" s="220" customFormat="1" x14ac:dyDescent="0.25">
      <c r="A47" s="1248"/>
      <c r="B47" s="1266"/>
      <c r="C47" s="1247" t="s">
        <v>603</v>
      </c>
      <c r="D47" s="1245">
        <v>2.0576285079567733</v>
      </c>
      <c r="E47" s="1245">
        <v>1.2240348267698002</v>
      </c>
      <c r="F47" s="1245">
        <v>2.9906137443588166</v>
      </c>
      <c r="G47" s="1245">
        <v>1.7330859661102296</v>
      </c>
      <c r="H47" s="1245">
        <v>2.3488607138216855</v>
      </c>
      <c r="I47" s="1245">
        <v>2.9266895171411025</v>
      </c>
      <c r="J47" s="1245">
        <v>2.072876697243331</v>
      </c>
      <c r="K47" s="1245">
        <v>2.0119316412303263</v>
      </c>
      <c r="L47" s="1245">
        <v>0.62792103262004739</v>
      </c>
      <c r="M47" s="1245">
        <v>3.0513665627576634</v>
      </c>
      <c r="N47" s="1245">
        <v>2.6361155050243448</v>
      </c>
      <c r="O47" s="1245">
        <v>2.0063843884153996</v>
      </c>
      <c r="P47" s="1245">
        <v>2.2548413707824526</v>
      </c>
      <c r="Q47" s="1245">
        <v>2.7575533775512331</v>
      </c>
      <c r="R47" s="1245">
        <v>2.2406313465027039</v>
      </c>
      <c r="S47" s="1245">
        <v>2.1345081991778163</v>
      </c>
      <c r="T47" s="1245">
        <v>2.0752246985178511</v>
      </c>
      <c r="U47" s="1245">
        <v>1.9185811376857187</v>
      </c>
      <c r="V47" s="1245">
        <v>1.8198262799999672</v>
      </c>
      <c r="W47" s="1245">
        <v>2.5610674963739819</v>
      </c>
      <c r="X47" s="1245">
        <v>2.142257688430969</v>
      </c>
      <c r="Y47" s="1245">
        <v>2.547726942964657</v>
      </c>
      <c r="Z47" s="1245">
        <v>2.6715158876544702</v>
      </c>
      <c r="AA47" s="1245">
        <v>3.0528401797403122</v>
      </c>
      <c r="AB47" s="1245">
        <v>1.7291853236581038</v>
      </c>
      <c r="AC47" s="1245">
        <v>2.6404872217578088</v>
      </c>
      <c r="AD47" s="1245">
        <v>2.144447846041468</v>
      </c>
      <c r="AE47" s="260">
        <f>'User Add-in Location'!B52</f>
        <v>0</v>
      </c>
      <c r="AF47" s="260">
        <f>'User Add-in Location'!C52</f>
        <v>0</v>
      </c>
      <c r="AG47" s="1245">
        <v>2.1532406184487716</v>
      </c>
      <c r="AH47" s="1245">
        <v>1.4726870152764693</v>
      </c>
      <c r="AI47" s="1245">
        <v>2.8268383522947391</v>
      </c>
      <c r="AJ47" s="1245">
        <v>2.3262331796977334</v>
      </c>
      <c r="AK47" s="1245">
        <v>1.6420476368087495</v>
      </c>
      <c r="AL47" s="1245">
        <v>1.8192389214110232</v>
      </c>
      <c r="AM47" s="1245">
        <v>2.7076143855820161</v>
      </c>
      <c r="AN47" s="1245">
        <v>1.5606054243213403</v>
      </c>
      <c r="AO47" s="1245">
        <v>2.7286563176594809</v>
      </c>
      <c r="AP47" s="1245">
        <v>1.9661297501204258</v>
      </c>
      <c r="AQ47" s="1245">
        <v>2.6172358878358395</v>
      </c>
      <c r="AR47" s="1245">
        <v>2.632539557839582</v>
      </c>
      <c r="AS47" s="1245">
        <v>2.5359887791250997</v>
      </c>
      <c r="AT47" s="1245">
        <v>2.1119111692120218</v>
      </c>
      <c r="AU47" s="1245">
        <v>1.9438807541738727</v>
      </c>
      <c r="AV47" s="1245">
        <v>2.5426524022382178</v>
      </c>
      <c r="AW47" s="1245">
        <v>2.3714604052240977</v>
      </c>
      <c r="AX47" s="1245">
        <v>4.0664958120106229</v>
      </c>
      <c r="AY47" s="1245">
        <v>2.8186184029379291</v>
      </c>
      <c r="AZ47" s="1245">
        <v>2.2871516207734981</v>
      </c>
      <c r="BA47" s="1245">
        <v>2.2566429586467631</v>
      </c>
      <c r="BB47" s="1245">
        <v>1.8363693605639979</v>
      </c>
      <c r="BC47" s="1245">
        <v>1.7123921704149532</v>
      </c>
      <c r="BD47" s="1245">
        <v>2.5584654302654153</v>
      </c>
      <c r="BE47" s="1245">
        <v>1.1013043149502693</v>
      </c>
    </row>
    <row r="48" spans="1:57" s="220" customFormat="1" x14ac:dyDescent="0.25">
      <c r="A48" s="1248"/>
      <c r="B48" s="1266"/>
      <c r="C48" s="1247" t="s">
        <v>604</v>
      </c>
      <c r="D48" s="1245">
        <v>2.4479159566163111</v>
      </c>
      <c r="E48" s="1245">
        <v>2.060249313541886</v>
      </c>
      <c r="F48" s="1245">
        <v>3.5433871682509155</v>
      </c>
      <c r="G48" s="1245">
        <v>2.4234300153634973</v>
      </c>
      <c r="H48" s="1245">
        <v>2.8755052180482701</v>
      </c>
      <c r="I48" s="1245">
        <v>3.3354338780669703</v>
      </c>
      <c r="J48" s="1245">
        <v>2.7275932514295267</v>
      </c>
      <c r="K48" s="1245">
        <v>2.5431145826370227</v>
      </c>
      <c r="L48" s="1245">
        <v>0.69731982128364112</v>
      </c>
      <c r="M48" s="1245">
        <v>3.8255183186498383</v>
      </c>
      <c r="N48" s="1245">
        <v>3.249956639777225</v>
      </c>
      <c r="O48" s="1245">
        <v>2.3745917963418721</v>
      </c>
      <c r="P48" s="1245">
        <v>2.9015539249934408</v>
      </c>
      <c r="Q48" s="1245">
        <v>3.2624426450969062</v>
      </c>
      <c r="R48" s="1245">
        <v>2.7183489774077882</v>
      </c>
      <c r="S48" s="1245">
        <v>2.6139351833166282</v>
      </c>
      <c r="T48" s="1245">
        <v>2.4065816996211962</v>
      </c>
      <c r="U48" s="1245">
        <v>2.7609558361500888</v>
      </c>
      <c r="V48" s="1245">
        <v>2.2569435261990036</v>
      </c>
      <c r="W48" s="1245">
        <v>3.241743835890829</v>
      </c>
      <c r="X48" s="1245">
        <v>2.6146030529527744</v>
      </c>
      <c r="Y48" s="1245">
        <v>3.1266786069790098</v>
      </c>
      <c r="Z48" s="1245">
        <v>3.0659790411307806</v>
      </c>
      <c r="AA48" s="1245">
        <v>3.3523583170664919</v>
      </c>
      <c r="AB48" s="1245">
        <v>2.2901173700200448</v>
      </c>
      <c r="AC48" s="1245">
        <v>3.2166128619790348</v>
      </c>
      <c r="AD48" s="1245">
        <v>3.1442221071732837</v>
      </c>
      <c r="AE48" s="260">
        <f>'User Add-in Location'!B53</f>
        <v>0</v>
      </c>
      <c r="AF48" s="260">
        <f>'User Add-in Location'!C53</f>
        <v>0</v>
      </c>
      <c r="AG48" s="1245">
        <v>2.5808105957208474</v>
      </c>
      <c r="AH48" s="1245">
        <v>1.172302639039527</v>
      </c>
      <c r="AI48" s="1245">
        <v>3.5353496717480604</v>
      </c>
      <c r="AJ48" s="1245">
        <v>2.9312426669853657</v>
      </c>
      <c r="AK48" s="1245">
        <v>2.3004298324541383</v>
      </c>
      <c r="AL48" s="1245">
        <v>2.3284268470002965</v>
      </c>
      <c r="AM48" s="1245">
        <v>3.4661144498460454</v>
      </c>
      <c r="AN48" s="1245">
        <v>1.9610687694927253</v>
      </c>
      <c r="AO48" s="1245">
        <v>3.2464137738293939</v>
      </c>
      <c r="AP48" s="1245">
        <v>2.7275652649379012</v>
      </c>
      <c r="AQ48" s="1245">
        <v>3.5552666503240928</v>
      </c>
      <c r="AR48" s="1245">
        <v>3.3301477895287821</v>
      </c>
      <c r="AS48" s="1245">
        <v>3.1866321649064751</v>
      </c>
      <c r="AT48" s="1245">
        <v>2.7220893160405271</v>
      </c>
      <c r="AU48" s="1245">
        <v>2.4515047204104072</v>
      </c>
      <c r="AV48" s="1245">
        <v>3.292049890425218</v>
      </c>
      <c r="AW48" s="1245">
        <v>2.8408510007662167</v>
      </c>
      <c r="AX48" s="1245">
        <v>4.9252490743098143</v>
      </c>
      <c r="AY48" s="1245">
        <v>3.4725146246428538</v>
      </c>
      <c r="AZ48" s="1245">
        <v>3.0393092579634611</v>
      </c>
      <c r="BA48" s="1245">
        <v>2.6135021763182014</v>
      </c>
      <c r="BB48" s="1245">
        <v>2.1691657982976582</v>
      </c>
      <c r="BC48" s="1245">
        <v>2.2514042158845902</v>
      </c>
      <c r="BD48" s="1245">
        <v>2.9846189515970178</v>
      </c>
      <c r="BE48" s="1245">
        <v>1.4664371956965438</v>
      </c>
    </row>
    <row r="49" spans="1:57" s="220" customFormat="1" x14ac:dyDescent="0.25">
      <c r="A49" s="1254"/>
      <c r="B49" s="1249"/>
      <c r="C49" s="1247" t="s">
        <v>605</v>
      </c>
      <c r="D49" s="1245">
        <v>1.8621149505155619</v>
      </c>
      <c r="E49" s="1245">
        <v>1.1781465771921333</v>
      </c>
      <c r="F49" s="1245">
        <v>2.7196502391581103</v>
      </c>
      <c r="G49" s="1245">
        <v>1.509702090149543</v>
      </c>
      <c r="H49" s="1245">
        <v>2.0670464974722242</v>
      </c>
      <c r="I49" s="1245">
        <v>2.4412476223502395</v>
      </c>
      <c r="J49" s="1245">
        <v>2.1965538360396195</v>
      </c>
      <c r="K49" s="1245">
        <v>1.3050174747322283</v>
      </c>
      <c r="L49" s="1245">
        <v>0.49829344491000049</v>
      </c>
      <c r="M49" s="1245">
        <v>2.8160195700674842</v>
      </c>
      <c r="N49" s="1245">
        <v>2.2239105263019958</v>
      </c>
      <c r="O49" s="1245">
        <v>1.5429361836624329</v>
      </c>
      <c r="P49" s="1245">
        <v>1.77054296775583</v>
      </c>
      <c r="Q49" s="1245">
        <v>2.391852889891529</v>
      </c>
      <c r="R49" s="1245">
        <v>1.7247229934047812</v>
      </c>
      <c r="S49" s="1245">
        <v>1.7639738374269038</v>
      </c>
      <c r="T49" s="1245">
        <v>1.8368439153019869</v>
      </c>
      <c r="U49" s="1245">
        <v>1.8580905014994527</v>
      </c>
      <c r="V49" s="1245">
        <v>1.5594144523891569</v>
      </c>
      <c r="W49" s="1245">
        <v>2.0970225518919596</v>
      </c>
      <c r="X49" s="1245">
        <v>1.7074567978989768</v>
      </c>
      <c r="Y49" s="1245">
        <v>2.4177698861720747</v>
      </c>
      <c r="Z49" s="1245">
        <v>2.2257140714593704</v>
      </c>
      <c r="AA49" s="1245">
        <v>2.8697056060965824</v>
      </c>
      <c r="AB49" s="1245">
        <v>1.5250150332714891</v>
      </c>
      <c r="AC49" s="1245">
        <v>2.1710660384235925</v>
      </c>
      <c r="AD49" s="1245">
        <v>1.6844482202609927</v>
      </c>
      <c r="AE49" s="260">
        <f>'User Add-in Location'!B54</f>
        <v>0</v>
      </c>
      <c r="AF49" s="260">
        <f>'User Add-in Location'!C54</f>
        <v>0</v>
      </c>
      <c r="AG49" s="1245">
        <v>1.8112528595457165</v>
      </c>
      <c r="AH49" s="1245">
        <v>0</v>
      </c>
      <c r="AI49" s="1245">
        <v>2.2210675689942083</v>
      </c>
      <c r="AJ49" s="1245">
        <v>2.0370078278627051</v>
      </c>
      <c r="AK49" s="1245">
        <v>1.1637868649502969</v>
      </c>
      <c r="AL49" s="1245">
        <v>1.8710541227007076</v>
      </c>
      <c r="AM49" s="1245">
        <v>2.5544130794588398</v>
      </c>
      <c r="AN49" s="1245">
        <v>1.3648556239262921</v>
      </c>
      <c r="AO49" s="1245">
        <v>2.1771882101432616</v>
      </c>
      <c r="AP49" s="1245">
        <v>1.8264502491810615</v>
      </c>
      <c r="AQ49" s="1245">
        <v>1.9048829466707446</v>
      </c>
      <c r="AR49" s="1245">
        <v>2.3619171368848551</v>
      </c>
      <c r="AS49" s="1245">
        <v>2.2714313568991735</v>
      </c>
      <c r="AT49" s="1245">
        <v>2.1423812230630004</v>
      </c>
      <c r="AU49" s="1245">
        <v>1.5042785901020626</v>
      </c>
      <c r="AV49" s="1245">
        <v>2.3804906237075469</v>
      </c>
      <c r="AW49" s="1245">
        <v>2.387698884355467</v>
      </c>
      <c r="AX49" s="1245">
        <v>3.7305057645802622</v>
      </c>
      <c r="AY49" s="1245">
        <v>2.0964772305118418</v>
      </c>
      <c r="AZ49" s="1245">
        <v>1.847419051627486</v>
      </c>
      <c r="BA49" s="1245">
        <v>1.7633199071539609</v>
      </c>
      <c r="BB49" s="1245">
        <v>1.4226672040415509</v>
      </c>
      <c r="BC49" s="1245">
        <v>1.3891182130469477</v>
      </c>
      <c r="BD49" s="1245">
        <v>1.9828035657537955</v>
      </c>
      <c r="BE49" s="1245">
        <v>0.8558435969832876</v>
      </c>
    </row>
    <row r="50" spans="1:57" s="220" customFormat="1" x14ac:dyDescent="0.25">
      <c r="A50" s="1254"/>
      <c r="B50" s="1249"/>
      <c r="C50" s="1247" t="s">
        <v>606</v>
      </c>
      <c r="D50" s="1245">
        <v>2.9555047099566845</v>
      </c>
      <c r="E50" s="1245">
        <v>2.2104293572250402</v>
      </c>
      <c r="F50" s="1245">
        <v>4.1357597444903682</v>
      </c>
      <c r="G50" s="1245">
        <v>2.5691342375808173</v>
      </c>
      <c r="H50" s="1245">
        <v>3.5036120439901226</v>
      </c>
      <c r="I50" s="1245">
        <v>3.9176570032101599</v>
      </c>
      <c r="J50" s="1245">
        <v>3.0016256139471098</v>
      </c>
      <c r="K50" s="1245">
        <v>2.6701175890680715</v>
      </c>
      <c r="L50" s="1245">
        <v>0.86150156681551948</v>
      </c>
      <c r="M50" s="1245">
        <v>4.3548235404839097</v>
      </c>
      <c r="N50" s="1245">
        <v>3.7903530398461842</v>
      </c>
      <c r="O50" s="1245">
        <v>2.7323037864843083</v>
      </c>
      <c r="P50" s="1245">
        <v>2.9285405679006304</v>
      </c>
      <c r="Q50" s="1245">
        <v>3.8574100842996271</v>
      </c>
      <c r="R50" s="1245">
        <v>2.6421555718641221</v>
      </c>
      <c r="S50" s="1245">
        <v>2.7025278457372637</v>
      </c>
      <c r="T50" s="1245">
        <v>2.8930396701483745</v>
      </c>
      <c r="U50" s="1245">
        <v>2.8849029746793757</v>
      </c>
      <c r="V50" s="1245">
        <v>2.7021108232873972</v>
      </c>
      <c r="W50" s="1245">
        <v>3.5256918933446642</v>
      </c>
      <c r="X50" s="1245">
        <v>2.9761115350723872</v>
      </c>
      <c r="Y50" s="1245">
        <v>3.2900595223675109</v>
      </c>
      <c r="Z50" s="1245">
        <v>3.8362859113926961</v>
      </c>
      <c r="AA50" s="1245">
        <v>3.8969548173060704</v>
      </c>
      <c r="AB50" s="1245">
        <v>2.4444192885930964</v>
      </c>
      <c r="AC50" s="1245">
        <v>3.5105119451993234</v>
      </c>
      <c r="AD50" s="1245">
        <v>2.9631135079593838</v>
      </c>
      <c r="AE50" s="260">
        <f>'User Add-in Location'!B55</f>
        <v>0</v>
      </c>
      <c r="AF50" s="260">
        <f>'User Add-in Location'!C55</f>
        <v>0</v>
      </c>
      <c r="AG50" s="1245">
        <v>2.7704021797241505</v>
      </c>
      <c r="AH50" s="1245">
        <v>2.1533214837890733</v>
      </c>
      <c r="AI50" s="1245">
        <v>3.4041130938422741</v>
      </c>
      <c r="AJ50" s="1245">
        <v>3.3034716759411453</v>
      </c>
      <c r="AK50" s="1245">
        <v>2.3702774133321487</v>
      </c>
      <c r="AL50" s="1245">
        <v>2.6063696260285747</v>
      </c>
      <c r="AM50" s="1245">
        <v>3.4179681269125179</v>
      </c>
      <c r="AN50" s="1245">
        <v>2.1740253245441545</v>
      </c>
      <c r="AO50" s="1245">
        <v>3.7361070243437013</v>
      </c>
      <c r="AP50" s="1245">
        <v>2.8663107237894918</v>
      </c>
      <c r="AQ50" s="1245">
        <v>3.0452903053533502</v>
      </c>
      <c r="AR50" s="1245">
        <v>3.5789764404210658</v>
      </c>
      <c r="AS50" s="1245">
        <v>3.3089337184950773</v>
      </c>
      <c r="AT50" s="1245">
        <v>3.1317999163559009</v>
      </c>
      <c r="AU50" s="1245">
        <v>2.4416852678987082</v>
      </c>
      <c r="AV50" s="1245">
        <v>3.6071730327530647</v>
      </c>
      <c r="AW50" s="1245">
        <v>3.462260420557298</v>
      </c>
      <c r="AX50" s="1245">
        <v>5.6359388469623521</v>
      </c>
      <c r="AY50" s="1245">
        <v>3.775688577784706</v>
      </c>
      <c r="AZ50" s="1245">
        <v>3.1120800913716606</v>
      </c>
      <c r="BA50" s="1245">
        <v>3.2622015539196543</v>
      </c>
      <c r="BB50" s="1245">
        <v>2.5384688144258232</v>
      </c>
      <c r="BC50" s="1245">
        <v>2.4165815920698863</v>
      </c>
      <c r="BD50" s="1245">
        <v>3.3035440756720251</v>
      </c>
      <c r="BE50" s="1245">
        <v>1.5988519716904963</v>
      </c>
    </row>
    <row r="51" spans="1:57" s="220" customFormat="1" x14ac:dyDescent="0.25">
      <c r="A51" s="1254"/>
      <c r="B51" s="1249"/>
      <c r="C51" s="1247" t="s">
        <v>607</v>
      </c>
      <c r="D51" s="1245">
        <v>2.3601020912469508</v>
      </c>
      <c r="E51" s="1245">
        <v>1.7588513226168985</v>
      </c>
      <c r="F51" s="1245">
        <v>3.4485602078080575</v>
      </c>
      <c r="G51" s="1245">
        <v>2.0632541366437187</v>
      </c>
      <c r="H51" s="1245">
        <v>2.891375248080545</v>
      </c>
      <c r="I51" s="1245">
        <v>3.1283694899205141</v>
      </c>
      <c r="J51" s="1245">
        <v>2.550723208581994</v>
      </c>
      <c r="K51" s="1245">
        <v>2.399505293717922</v>
      </c>
      <c r="L51" s="1245">
        <v>0.79212144723876232</v>
      </c>
      <c r="M51" s="1245">
        <v>3.6067451166405995</v>
      </c>
      <c r="N51" s="1245">
        <v>3.0031223897316788</v>
      </c>
      <c r="O51" s="1245">
        <v>2.4020862708252766</v>
      </c>
      <c r="P51" s="1245">
        <v>2.5922024094820149</v>
      </c>
      <c r="Q51" s="1245">
        <v>3.1899498603768555</v>
      </c>
      <c r="R51" s="1245">
        <v>2.6116452147757645</v>
      </c>
      <c r="S51" s="1245">
        <v>2.3208666894518664</v>
      </c>
      <c r="T51" s="1245">
        <v>2.3500642322918615</v>
      </c>
      <c r="U51" s="1245">
        <v>2.4868407029468171</v>
      </c>
      <c r="V51" s="1245">
        <v>2.1268400067216575</v>
      </c>
      <c r="W51" s="1245">
        <v>3.1166777244378645</v>
      </c>
      <c r="X51" s="1245">
        <v>2.5088649358195347</v>
      </c>
      <c r="Y51" s="1245">
        <v>2.9452656176293637</v>
      </c>
      <c r="Z51" s="1245">
        <v>3.1413320358237669</v>
      </c>
      <c r="AA51" s="1245">
        <v>3.3590186138539209</v>
      </c>
      <c r="AB51" s="1245">
        <v>2.039285443052981</v>
      </c>
      <c r="AC51" s="1245">
        <v>2.9887904101245497</v>
      </c>
      <c r="AD51" s="1245">
        <v>2.5181881215604136</v>
      </c>
      <c r="AE51" s="260">
        <f>'User Add-in Location'!B56</f>
        <v>0</v>
      </c>
      <c r="AF51" s="260">
        <f>'User Add-in Location'!C56</f>
        <v>0</v>
      </c>
      <c r="AG51" s="1245">
        <v>2.5108465604456369</v>
      </c>
      <c r="AH51" s="1245">
        <v>1.6709430261140215</v>
      </c>
      <c r="AI51" s="1245">
        <v>3.0306315649657107</v>
      </c>
      <c r="AJ51" s="1245">
        <v>2.8083069312069022</v>
      </c>
      <c r="AK51" s="1245">
        <v>1.9108663470003813</v>
      </c>
      <c r="AL51" s="1245">
        <v>2.2469882187216199</v>
      </c>
      <c r="AM51" s="1245">
        <v>3.0903113956863111</v>
      </c>
      <c r="AN51" s="1245">
        <v>1.7495848962992719</v>
      </c>
      <c r="AO51" s="1245">
        <v>3.2431467288772802</v>
      </c>
      <c r="AP51" s="1245">
        <v>2.3277780501761165</v>
      </c>
      <c r="AQ51" s="1245">
        <v>3.0790223518257887</v>
      </c>
      <c r="AR51" s="1245">
        <v>3.2141973958961128</v>
      </c>
      <c r="AS51" s="1245">
        <v>2.9676308575132109</v>
      </c>
      <c r="AT51" s="1245">
        <v>2.472816395451447</v>
      </c>
      <c r="AU51" s="1245">
        <v>2.2776707412342554</v>
      </c>
      <c r="AV51" s="1245">
        <v>3.2309098927427593</v>
      </c>
      <c r="AW51" s="1245">
        <v>2.7756339998717081</v>
      </c>
      <c r="AX51" s="1245">
        <v>4.864449697730147</v>
      </c>
      <c r="AY51" s="1245">
        <v>3.0861472360946558</v>
      </c>
      <c r="AZ51" s="1245">
        <v>2.7506220140249913</v>
      </c>
      <c r="BA51" s="1245">
        <v>2.6358267562037003</v>
      </c>
      <c r="BB51" s="1245">
        <v>2.0956817861855703</v>
      </c>
      <c r="BC51" s="1245">
        <v>2.1586338427038534</v>
      </c>
      <c r="BD51" s="1245">
        <v>2.8641638345827833</v>
      </c>
      <c r="BE51" s="1245">
        <v>1.2425691853604237</v>
      </c>
    </row>
    <row r="52" spans="1:57" s="220" customFormat="1" x14ac:dyDescent="0.25">
      <c r="A52" s="1254"/>
      <c r="B52" s="1249"/>
      <c r="C52" s="1247" t="s">
        <v>609</v>
      </c>
      <c r="D52" s="1245">
        <v>3.1878123987686191</v>
      </c>
      <c r="E52" s="1245">
        <v>2.7832528984868379</v>
      </c>
      <c r="F52" s="1245">
        <v>4.2843179518423486</v>
      </c>
      <c r="G52" s="1245">
        <v>3.4685033200693165</v>
      </c>
      <c r="H52" s="1245">
        <v>3.7169836835214292</v>
      </c>
      <c r="I52" s="1245">
        <v>4.3067369867988434</v>
      </c>
      <c r="J52" s="1245">
        <v>2.9042487867899309</v>
      </c>
      <c r="K52" s="1245">
        <v>2.9235543771697863</v>
      </c>
      <c r="L52" s="1245">
        <v>0.75406474740204366</v>
      </c>
      <c r="M52" s="1245">
        <v>4.820780668877755</v>
      </c>
      <c r="N52" s="1245">
        <v>4.4803295236360761</v>
      </c>
      <c r="O52" s="1245">
        <v>3.5229228765402807</v>
      </c>
      <c r="P52" s="1245">
        <v>3.8683865698126438</v>
      </c>
      <c r="Q52" s="1245">
        <v>4.4886655525775137</v>
      </c>
      <c r="R52" s="1245">
        <v>3.9973313260652303</v>
      </c>
      <c r="S52" s="1245">
        <v>3.578899055567212</v>
      </c>
      <c r="T52" s="1245">
        <v>3.6314436438134079</v>
      </c>
      <c r="U52" s="1245">
        <v>3.6933921950303406</v>
      </c>
      <c r="V52" s="1245">
        <v>3.3567911175199878</v>
      </c>
      <c r="W52" s="1245">
        <v>4.5381308047115843</v>
      </c>
      <c r="X52" s="1245">
        <v>2.9283253734430024</v>
      </c>
      <c r="Y52" s="1245">
        <v>2.8794060562058665</v>
      </c>
      <c r="Z52" s="1245">
        <v>4.4402582612375028</v>
      </c>
      <c r="AA52" s="1245">
        <v>4.2252971435619218</v>
      </c>
      <c r="AB52" s="1245">
        <v>3.4012298590940424</v>
      </c>
      <c r="AC52" s="1245">
        <v>4.2869265512512342</v>
      </c>
      <c r="AD52" s="1245">
        <v>3.7990067615550771</v>
      </c>
      <c r="AE52" s="260">
        <f>'User Add-in Location'!B57</f>
        <v>0</v>
      </c>
      <c r="AF52" s="260">
        <f>'User Add-in Location'!C57</f>
        <v>0</v>
      </c>
      <c r="AG52" s="1245">
        <v>3.8552538136510757</v>
      </c>
      <c r="AH52" s="1245">
        <v>2.4492931325969516</v>
      </c>
      <c r="AI52" s="1245">
        <v>3.3154741980401727</v>
      </c>
      <c r="AJ52" s="1245">
        <v>3.7763216406824291</v>
      </c>
      <c r="AK52" s="1245">
        <v>2.27341512917255</v>
      </c>
      <c r="AL52" s="1245">
        <v>2.8129386321025378</v>
      </c>
      <c r="AM52" s="1245">
        <v>4.5085210671483988</v>
      </c>
      <c r="AN52" s="1245">
        <v>2.648063899651659</v>
      </c>
      <c r="AO52" s="1245">
        <v>4.3361117549398189</v>
      </c>
      <c r="AP52" s="1245">
        <v>3.2409727345584169</v>
      </c>
      <c r="AQ52" s="1245">
        <v>4.1528619349568014</v>
      </c>
      <c r="AR52" s="1245">
        <v>4.0872927004190194</v>
      </c>
      <c r="AS52" s="1245">
        <v>3.4364764692138183</v>
      </c>
      <c r="AT52" s="1245">
        <v>3.8876053930459276</v>
      </c>
      <c r="AU52" s="1245">
        <v>3.2626505586720138</v>
      </c>
      <c r="AV52" s="1245">
        <v>4.1155995345306948</v>
      </c>
      <c r="AW52" s="1245">
        <v>3.7686159202080414</v>
      </c>
      <c r="AX52" s="1245">
        <v>5.890527433413471</v>
      </c>
      <c r="AY52" s="1245">
        <v>4.3149006782353663</v>
      </c>
      <c r="AZ52" s="1245">
        <v>4.1488155939559883</v>
      </c>
      <c r="BA52" s="1245">
        <v>3.181387042234102</v>
      </c>
      <c r="BB52" s="1245">
        <v>2.8340844838485326</v>
      </c>
      <c r="BC52" s="1245">
        <v>3.0344655294647884</v>
      </c>
      <c r="BD52" s="1245">
        <v>4.0313616004153641</v>
      </c>
      <c r="BE52" s="1245">
        <v>2.1940858219767208</v>
      </c>
    </row>
    <row r="53" spans="1:57" s="220" customFormat="1" x14ac:dyDescent="0.25">
      <c r="A53" s="1254"/>
      <c r="B53" s="1249"/>
      <c r="C53" s="1247"/>
      <c r="D53" s="1245"/>
      <c r="E53" s="1245"/>
      <c r="F53" s="1245"/>
      <c r="G53" s="1245"/>
      <c r="H53" s="1245"/>
      <c r="I53" s="1245"/>
      <c r="J53" s="1245"/>
      <c r="K53" s="1245"/>
      <c r="L53" s="1245"/>
      <c r="M53" s="1245"/>
      <c r="N53" s="1245"/>
      <c r="O53" s="1245"/>
      <c r="P53" s="1245"/>
      <c r="Q53" s="1245"/>
      <c r="R53" s="1245"/>
      <c r="S53" s="1245"/>
      <c r="T53" s="1245"/>
      <c r="U53" s="1245"/>
      <c r="V53" s="1245"/>
      <c r="W53" s="1245"/>
      <c r="X53" s="1245"/>
      <c r="Y53" s="1245"/>
      <c r="Z53" s="1245"/>
      <c r="AA53" s="1245"/>
      <c r="AB53" s="1245"/>
      <c r="AC53" s="1245"/>
      <c r="AD53" s="1245"/>
      <c r="AE53" s="260"/>
      <c r="AF53" s="260"/>
      <c r="AG53" s="1245"/>
      <c r="AH53" s="1245"/>
      <c r="AI53" s="1245"/>
      <c r="AJ53" s="1245"/>
      <c r="AK53" s="1245"/>
      <c r="AL53" s="1245"/>
      <c r="AM53" s="1245"/>
      <c r="AN53" s="1245"/>
      <c r="AO53" s="1245"/>
      <c r="AP53" s="1245"/>
      <c r="AQ53" s="1245"/>
      <c r="AR53" s="1245"/>
      <c r="AS53" s="1245"/>
      <c r="AT53" s="1245"/>
      <c r="AU53" s="1245"/>
      <c r="AV53" s="1245"/>
      <c r="AW53" s="1245"/>
      <c r="AX53" s="1245"/>
      <c r="AY53" s="1245"/>
      <c r="AZ53" s="1245"/>
      <c r="BA53" s="1245"/>
      <c r="BB53" s="1245"/>
      <c r="BC53" s="1245"/>
      <c r="BD53" s="1245"/>
      <c r="BE53" s="1245"/>
    </row>
    <row r="54" spans="1:57" s="220" customFormat="1" x14ac:dyDescent="0.25">
      <c r="A54" s="1254"/>
      <c r="B54" s="1249"/>
      <c r="C54" s="1252" t="s">
        <v>612</v>
      </c>
      <c r="D54" s="1245"/>
      <c r="E54" s="1245"/>
      <c r="F54" s="1245"/>
      <c r="G54" s="1245"/>
      <c r="H54" s="1245"/>
      <c r="I54" s="1245"/>
      <c r="J54" s="1245"/>
      <c r="K54" s="1245"/>
      <c r="L54" s="1245"/>
      <c r="M54" s="1245"/>
      <c r="N54" s="1245"/>
      <c r="O54" s="1245"/>
      <c r="P54" s="1245"/>
      <c r="Q54" s="1245"/>
      <c r="R54" s="1245"/>
      <c r="S54" s="1245"/>
      <c r="T54" s="1245"/>
      <c r="U54" s="1245"/>
      <c r="V54" s="1245"/>
      <c r="W54" s="1245"/>
      <c r="X54" s="1245"/>
      <c r="Y54" s="1245"/>
      <c r="Z54" s="1245"/>
      <c r="AA54" s="1245"/>
      <c r="AB54" s="1245"/>
      <c r="AC54" s="1245"/>
      <c r="AD54" s="1245"/>
      <c r="AE54" s="260"/>
      <c r="AF54" s="260"/>
      <c r="AG54" s="1245"/>
      <c r="AH54" s="1245"/>
      <c r="AI54" s="1245"/>
      <c r="AJ54" s="1245"/>
      <c r="AK54" s="1245"/>
      <c r="AL54" s="1245"/>
      <c r="AM54" s="1245"/>
      <c r="AN54" s="1245"/>
      <c r="AO54" s="1245"/>
      <c r="AP54" s="1245"/>
      <c r="AQ54" s="1245"/>
      <c r="AR54" s="1245"/>
      <c r="AS54" s="1245"/>
      <c r="AT54" s="1245"/>
      <c r="AU54" s="1245"/>
      <c r="AV54" s="1245"/>
      <c r="AW54" s="1245"/>
      <c r="AX54" s="1245"/>
      <c r="AY54" s="1245"/>
      <c r="AZ54" s="1245"/>
      <c r="BA54" s="1245"/>
      <c r="BB54" s="1245"/>
      <c r="BC54" s="1245"/>
      <c r="BD54" s="1245"/>
      <c r="BE54" s="1245"/>
    </row>
    <row r="55" spans="1:57" s="220" customFormat="1" ht="15" customHeight="1" x14ac:dyDescent="0.25">
      <c r="A55" s="1254"/>
      <c r="B55" s="1249"/>
      <c r="C55" s="1255" t="s">
        <v>613</v>
      </c>
      <c r="D55" s="1245" t="s">
        <v>539</v>
      </c>
      <c r="E55" s="1245" t="s">
        <v>540</v>
      </c>
      <c r="F55" s="1245" t="s">
        <v>541</v>
      </c>
      <c r="G55" s="1245" t="s">
        <v>542</v>
      </c>
      <c r="H55" s="1245" t="s">
        <v>543</v>
      </c>
      <c r="I55" s="1245" t="s">
        <v>143</v>
      </c>
      <c r="J55" s="1245" t="s">
        <v>544</v>
      </c>
      <c r="K55" s="1245" t="s">
        <v>545</v>
      </c>
      <c r="L55" s="1245" t="s">
        <v>546</v>
      </c>
      <c r="M55" s="1245" t="s">
        <v>547</v>
      </c>
      <c r="N55" s="1245" t="s">
        <v>548</v>
      </c>
      <c r="O55" s="1245" t="s">
        <v>549</v>
      </c>
      <c r="P55" s="1245" t="s">
        <v>550</v>
      </c>
      <c r="Q55" s="1245" t="s">
        <v>551</v>
      </c>
      <c r="R55" s="1245" t="s">
        <v>552</v>
      </c>
      <c r="S55" s="1245" t="s">
        <v>553</v>
      </c>
      <c r="T55" s="1245" t="s">
        <v>554</v>
      </c>
      <c r="U55" s="1245" t="s">
        <v>555</v>
      </c>
      <c r="V55" s="1245" t="s">
        <v>556</v>
      </c>
      <c r="W55" s="1245" t="s">
        <v>557</v>
      </c>
      <c r="X55" s="1245" t="s">
        <v>558</v>
      </c>
      <c r="Y55" s="1245" t="s">
        <v>559</v>
      </c>
      <c r="Z55" s="1245" t="s">
        <v>560</v>
      </c>
      <c r="AA55" s="1245" t="s">
        <v>561</v>
      </c>
      <c r="AB55" s="1245" t="s">
        <v>562</v>
      </c>
      <c r="AC55" s="1245" t="s">
        <v>563</v>
      </c>
      <c r="AD55" s="1245" t="s">
        <v>564</v>
      </c>
      <c r="AE55" s="260" t="s">
        <v>565</v>
      </c>
      <c r="AF55" s="260" t="s">
        <v>566</v>
      </c>
      <c r="AG55" s="1245" t="s">
        <v>567</v>
      </c>
      <c r="AH55" s="1245" t="s">
        <v>568</v>
      </c>
      <c r="AI55" s="1245" t="s">
        <v>569</v>
      </c>
      <c r="AJ55" s="1245" t="s">
        <v>570</v>
      </c>
      <c r="AK55" s="1245" t="s">
        <v>571</v>
      </c>
      <c r="AL55" s="1245" t="s">
        <v>572</v>
      </c>
      <c r="AM55" s="1245" t="s">
        <v>573</v>
      </c>
      <c r="AN55" s="1245" t="s">
        <v>574</v>
      </c>
      <c r="AO55" s="1245" t="s">
        <v>575</v>
      </c>
      <c r="AP55" s="1245" t="s">
        <v>576</v>
      </c>
      <c r="AQ55" s="1245" t="s">
        <v>577</v>
      </c>
      <c r="AR55" s="1245" t="s">
        <v>578</v>
      </c>
      <c r="AS55" s="1245" t="s">
        <v>579</v>
      </c>
      <c r="AT55" s="1245" t="s">
        <v>580</v>
      </c>
      <c r="AU55" s="1245" t="s">
        <v>581</v>
      </c>
      <c r="AV55" s="1245" t="s">
        <v>582</v>
      </c>
      <c r="AW55" s="1245" t="s">
        <v>583</v>
      </c>
      <c r="AX55" s="1245" t="s">
        <v>1404</v>
      </c>
      <c r="AY55" s="1245" t="s">
        <v>584</v>
      </c>
      <c r="AZ55" s="1245" t="s">
        <v>585</v>
      </c>
      <c r="BA55" s="1245" t="s">
        <v>586</v>
      </c>
      <c r="BB55" s="1245" t="s">
        <v>587</v>
      </c>
      <c r="BC55" s="1245" t="s">
        <v>588</v>
      </c>
      <c r="BD55" s="1245" t="s">
        <v>589</v>
      </c>
      <c r="BE55" s="1245" t="s">
        <v>590</v>
      </c>
    </row>
    <row r="56" spans="1:57" s="220" customFormat="1" x14ac:dyDescent="0.25">
      <c r="A56" s="1254"/>
      <c r="B56" s="1249"/>
      <c r="C56" s="1247" t="s">
        <v>592</v>
      </c>
      <c r="D56" s="1245">
        <v>0.31032046675682068</v>
      </c>
      <c r="E56" s="1245">
        <v>0.45057016611099243</v>
      </c>
      <c r="F56" s="1245">
        <v>0.27041628956794739</v>
      </c>
      <c r="G56" s="1245">
        <v>0.26651883125305176</v>
      </c>
      <c r="H56" s="1245">
        <v>0.43417537212371826</v>
      </c>
      <c r="I56" s="1245">
        <v>0.20264269411563873</v>
      </c>
      <c r="J56" s="1245">
        <v>0.26130279898643494</v>
      </c>
      <c r="K56" s="1245">
        <v>0.1723911315202713</v>
      </c>
      <c r="L56" s="1245">
        <v>0.19533370435237885</v>
      </c>
      <c r="M56" s="1245">
        <v>0.38660275936126709</v>
      </c>
      <c r="N56" s="1245">
        <v>0.40934967994689941</v>
      </c>
      <c r="O56" s="1245">
        <v>0.47207099199295044</v>
      </c>
      <c r="P56" s="1245">
        <v>0.36470335721969604</v>
      </c>
      <c r="Q56" s="1245">
        <v>0.50389683246612549</v>
      </c>
      <c r="R56" s="1245">
        <v>0.38238194584846497</v>
      </c>
      <c r="S56" s="1245">
        <v>0.2701869010925293</v>
      </c>
      <c r="T56" s="1245">
        <v>0.24202048778533936</v>
      </c>
      <c r="U56" s="1245">
        <v>0.30583181977272034</v>
      </c>
      <c r="V56" s="1245">
        <v>0.42874276638031006</v>
      </c>
      <c r="W56" s="1245">
        <v>0.3682408332824707</v>
      </c>
      <c r="X56" s="1245">
        <v>0.24517486989498138</v>
      </c>
      <c r="Y56" s="1245">
        <v>0.40936082601547241</v>
      </c>
      <c r="Z56" s="1245">
        <v>0.28662571310997009</v>
      </c>
      <c r="AA56" s="1245">
        <v>0.24508363008499146</v>
      </c>
      <c r="AB56" s="1245">
        <v>0.36351531744003296</v>
      </c>
      <c r="AC56" s="1245">
        <v>0.26675727963447571</v>
      </c>
      <c r="AD56" s="1245">
        <v>0.2006334513425827</v>
      </c>
      <c r="AE56" s="260">
        <f>'User Add-in Location'!B61</f>
        <v>0</v>
      </c>
      <c r="AF56" s="260">
        <f>'User Add-in Location'!C61</f>
        <v>0</v>
      </c>
      <c r="AG56" s="1245">
        <v>0.2579934298992157</v>
      </c>
      <c r="AH56" s="1245">
        <v>0.26385286450386047</v>
      </c>
      <c r="AI56" s="1245">
        <v>0.27641800045967102</v>
      </c>
      <c r="AJ56" s="1245">
        <v>0.47454649209976196</v>
      </c>
      <c r="AK56" s="1245">
        <v>0.41970589756965637</v>
      </c>
      <c r="AL56" s="1245">
        <v>0.30550473928451538</v>
      </c>
      <c r="AM56" s="1245">
        <v>0.27077579498291016</v>
      </c>
      <c r="AN56" s="1245">
        <v>0.18508340418338776</v>
      </c>
      <c r="AO56" s="1245">
        <v>0.26801368594169617</v>
      </c>
      <c r="AP56" s="1245">
        <v>0.15793138742446899</v>
      </c>
      <c r="AQ56" s="1245">
        <v>0.38706052303314209</v>
      </c>
      <c r="AR56" s="1245">
        <v>0.21677544713020325</v>
      </c>
      <c r="AS56" s="1245">
        <v>0.30154457688331604</v>
      </c>
      <c r="AT56" s="1245">
        <v>0.31018808484077454</v>
      </c>
      <c r="AU56" s="1245">
        <v>0.31343108415603638</v>
      </c>
      <c r="AV56" s="1245">
        <v>0.22844129800796509</v>
      </c>
      <c r="AW56" s="1245">
        <v>0.20893400907516479</v>
      </c>
      <c r="AX56" s="1245">
        <v>0.3127923309803009</v>
      </c>
      <c r="AY56" s="1245">
        <v>0.16026535630226135</v>
      </c>
      <c r="AZ56" s="1245">
        <v>0.23238518834114075</v>
      </c>
      <c r="BA56" s="1245">
        <v>0.1767638623714447</v>
      </c>
      <c r="BB56" s="1245">
        <v>0.46234482526779175</v>
      </c>
      <c r="BC56" s="1245">
        <v>6.5075986087322235E-2</v>
      </c>
      <c r="BD56" s="1245">
        <v>0.27112287282943726</v>
      </c>
      <c r="BE56" s="1245">
        <v>0.19510716199874878</v>
      </c>
    </row>
    <row r="57" spans="1:57" s="220" customFormat="1" x14ac:dyDescent="0.25">
      <c r="A57" s="1254"/>
      <c r="B57" s="1249"/>
      <c r="C57" s="1247" t="s">
        <v>593</v>
      </c>
      <c r="D57" s="1245">
        <v>0.13383303582668304</v>
      </c>
      <c r="E57" s="1245">
        <v>0.15009030699729919</v>
      </c>
      <c r="F57" s="1245">
        <v>0.14707055687904358</v>
      </c>
      <c r="G57" s="1245">
        <v>0.20257328450679779</v>
      </c>
      <c r="H57" s="1245">
        <v>0.19753266870975494</v>
      </c>
      <c r="I57" s="1245">
        <v>0.33065205812454224</v>
      </c>
      <c r="J57" s="1245">
        <v>0.20116519927978516</v>
      </c>
      <c r="K57" s="1245">
        <v>0.39228817820549011</v>
      </c>
      <c r="L57" s="1245">
        <v>0.14347924292087555</v>
      </c>
      <c r="M57" s="1245">
        <v>9.5506131649017334E-2</v>
      </c>
      <c r="N57" s="1245">
        <v>0.22085162997245789</v>
      </c>
      <c r="O57" s="1245">
        <v>0.14957243204116821</v>
      </c>
      <c r="P57" s="1245">
        <v>0.1952044665813446</v>
      </c>
      <c r="Q57" s="1245">
        <v>0.14429479837417603</v>
      </c>
      <c r="R57" s="1245">
        <v>0.2131534218788147</v>
      </c>
      <c r="S57" s="1245">
        <v>0.16391342878341675</v>
      </c>
      <c r="T57" s="1245">
        <v>0.2662663459777832</v>
      </c>
      <c r="U57" s="1245">
        <v>0.14395907521247864</v>
      </c>
      <c r="V57" s="1245">
        <v>0.23087531328201294</v>
      </c>
      <c r="W57" s="1245">
        <v>9.4611369073390961E-2</v>
      </c>
      <c r="X57" s="1245">
        <v>0.12728747725486755</v>
      </c>
      <c r="Y57" s="1245">
        <v>0.25049674510955811</v>
      </c>
      <c r="Z57" s="1245">
        <v>0.20748674869537354</v>
      </c>
      <c r="AA57" s="1245">
        <v>0.18858632445335388</v>
      </c>
      <c r="AB57" s="1245">
        <v>0.2901008129119873</v>
      </c>
      <c r="AC57" s="1245">
        <v>0.1536700427532196</v>
      </c>
      <c r="AD57" s="1245">
        <v>0.2437688410282135</v>
      </c>
      <c r="AE57" s="260">
        <f>'User Add-in Location'!B62</f>
        <v>0</v>
      </c>
      <c r="AF57" s="260">
        <f>'User Add-in Location'!C62</f>
        <v>0</v>
      </c>
      <c r="AG57" s="1245">
        <v>0.21380917727947235</v>
      </c>
      <c r="AH57" s="1245">
        <v>0.20507539808750153</v>
      </c>
      <c r="AI57" s="1245">
        <v>0.1477106511592865</v>
      </c>
      <c r="AJ57" s="1245">
        <v>0.36051160097122192</v>
      </c>
      <c r="AK57" s="1245">
        <v>0.21677447855472565</v>
      </c>
      <c r="AL57" s="1245">
        <v>0.35822781920433044</v>
      </c>
      <c r="AM57" s="1245">
        <v>9.0057864785194397E-2</v>
      </c>
      <c r="AN57" s="1245">
        <v>0.28356510400772095</v>
      </c>
      <c r="AO57" s="1245">
        <v>0.20844560861587524</v>
      </c>
      <c r="AP57" s="1245">
        <v>0.34159326553344727</v>
      </c>
      <c r="AQ57" s="1245">
        <v>0.15522894263267517</v>
      </c>
      <c r="AR57" s="1245">
        <v>0.21459084749221802</v>
      </c>
      <c r="AS57" s="1245">
        <v>0.19740894436836243</v>
      </c>
      <c r="AT57" s="1245">
        <v>0.12003126740455627</v>
      </c>
      <c r="AU57" s="1245">
        <v>0.16040363907814026</v>
      </c>
      <c r="AV57" s="1245">
        <v>0.13667060434818268</v>
      </c>
      <c r="AW57" s="1245">
        <v>0.29566863179206848</v>
      </c>
      <c r="AX57" s="1245">
        <v>0.25342559814453125</v>
      </c>
      <c r="AY57" s="1245">
        <v>0.21589186787605286</v>
      </c>
      <c r="AZ57" s="1245">
        <v>0.13078249990940094</v>
      </c>
      <c r="BA57" s="1245">
        <v>0.22198532521724701</v>
      </c>
      <c r="BB57" s="1245">
        <v>0.11458542943000793</v>
      </c>
      <c r="BC57" s="1245">
        <v>0.16743282973766327</v>
      </c>
      <c r="BD57" s="1245">
        <v>0.1791878342628479</v>
      </c>
      <c r="BE57" s="1245">
        <v>0.18649187684059143</v>
      </c>
    </row>
    <row r="58" spans="1:57" s="220" customFormat="1" x14ac:dyDescent="0.25">
      <c r="A58" s="1254"/>
      <c r="B58" s="1249"/>
      <c r="C58" s="1247" t="s">
        <v>595</v>
      </c>
      <c r="D58" s="1245">
        <v>0.29887735843658447</v>
      </c>
      <c r="E58" s="1245">
        <v>0.38731285929679871</v>
      </c>
      <c r="F58" s="1245">
        <v>0.27832630276679993</v>
      </c>
      <c r="G58" s="1245">
        <v>0.25795885920524597</v>
      </c>
      <c r="H58" s="1245">
        <v>0.31438863277435303</v>
      </c>
      <c r="I58" s="1245">
        <v>0.30604159832000732</v>
      </c>
      <c r="J58" s="1245">
        <v>0.35746568441390991</v>
      </c>
      <c r="K58" s="1245">
        <v>0.31822109222412109</v>
      </c>
      <c r="L58" s="1245">
        <v>0.3712247908115387</v>
      </c>
      <c r="M58" s="1245">
        <v>0.2458796352148056</v>
      </c>
      <c r="N58" s="1245">
        <v>0.26645529270172119</v>
      </c>
      <c r="O58" s="1245">
        <v>0.33890807628631592</v>
      </c>
      <c r="P58" s="1245">
        <v>0.25086641311645508</v>
      </c>
      <c r="Q58" s="1245">
        <v>0.31914177536964417</v>
      </c>
      <c r="R58" s="1245">
        <v>0.30834564566612244</v>
      </c>
      <c r="S58" s="1245">
        <v>0.31963843107223511</v>
      </c>
      <c r="T58" s="1245">
        <v>0.30468523502349854</v>
      </c>
      <c r="U58" s="1245">
        <v>0.27313140034675598</v>
      </c>
      <c r="V58" s="1245">
        <v>0.33333873748779297</v>
      </c>
      <c r="W58" s="1245">
        <v>0.25475150346755981</v>
      </c>
      <c r="X58" s="1245">
        <v>0.36102104187011719</v>
      </c>
      <c r="Y58" s="1245">
        <v>0.34734481573104858</v>
      </c>
      <c r="Z58" s="1245">
        <v>0.28968995809555054</v>
      </c>
      <c r="AA58" s="1245">
        <v>0.29822328686714172</v>
      </c>
      <c r="AB58" s="1245">
        <v>0.26657211780548096</v>
      </c>
      <c r="AC58" s="1245">
        <v>0.30688920617103577</v>
      </c>
      <c r="AD58" s="1245">
        <v>0.26475456357002258</v>
      </c>
      <c r="AE58" s="260">
        <f>'User Add-in Location'!B63</f>
        <v>0</v>
      </c>
      <c r="AF58" s="260">
        <f>'User Add-in Location'!C63</f>
        <v>0</v>
      </c>
      <c r="AG58" s="1245">
        <v>0.32548287510871887</v>
      </c>
      <c r="AH58" s="1245">
        <v>0.31882080435752869</v>
      </c>
      <c r="AI58" s="1245">
        <v>0.33588981628417969</v>
      </c>
      <c r="AJ58" s="1245">
        <v>0.36014914512634277</v>
      </c>
      <c r="AK58" s="1245">
        <v>0.27193677425384521</v>
      </c>
      <c r="AL58" s="1245">
        <v>0.33293142914772034</v>
      </c>
      <c r="AM58" s="1245">
        <v>0.261900395154953</v>
      </c>
      <c r="AN58" s="1245">
        <v>0.37644654512405396</v>
      </c>
      <c r="AO58" s="1245">
        <v>0.30417507886886597</v>
      </c>
      <c r="AP58" s="1245">
        <v>0.31410190463066101</v>
      </c>
      <c r="AQ58" s="1245">
        <v>0.31040656566619873</v>
      </c>
      <c r="AR58" s="1245">
        <v>0.33943110704421997</v>
      </c>
      <c r="AS58" s="1245">
        <v>0.29367804527282715</v>
      </c>
      <c r="AT58" s="1245">
        <v>0.2588304877281189</v>
      </c>
      <c r="AU58" s="1245">
        <v>0.28879168629646301</v>
      </c>
      <c r="AV58" s="1245">
        <v>0.33215844631195068</v>
      </c>
      <c r="AW58" s="1245">
        <v>0.33882597088813782</v>
      </c>
      <c r="AX58" s="1245">
        <v>0.31146121025085449</v>
      </c>
      <c r="AY58" s="1245">
        <v>0.30499798059463501</v>
      </c>
      <c r="AZ58" s="1245">
        <v>0.28526967763900757</v>
      </c>
      <c r="BA58" s="1245">
        <v>0.29956281185150146</v>
      </c>
      <c r="BB58" s="1245">
        <v>0.33280614018440247</v>
      </c>
      <c r="BC58" s="1245">
        <v>0.31056240200996399</v>
      </c>
      <c r="BD58" s="1245">
        <v>0.30652129650115967</v>
      </c>
      <c r="BE58" s="1245">
        <v>0.3057226836681366</v>
      </c>
    </row>
    <row r="59" spans="1:57" s="220" customFormat="1" x14ac:dyDescent="0.25">
      <c r="A59" s="1254"/>
      <c r="B59" s="1249"/>
      <c r="C59" s="1247" t="s">
        <v>596</v>
      </c>
      <c r="D59" s="1245">
        <v>0.12141793966293335</v>
      </c>
      <c r="E59" s="1245">
        <v>0.10937891900539398</v>
      </c>
      <c r="F59" s="1245">
        <v>0.18053582310676575</v>
      </c>
      <c r="G59" s="1245">
        <v>0.12119415402412415</v>
      </c>
      <c r="H59" s="1245">
        <v>0.17018918693065643</v>
      </c>
      <c r="I59" s="1245">
        <v>0.16759763658046722</v>
      </c>
      <c r="J59" s="1245">
        <v>0.23083196580410004</v>
      </c>
      <c r="K59" s="1245">
        <v>0.11795216798782349</v>
      </c>
      <c r="L59" s="1245">
        <v>0.23142236471176147</v>
      </c>
      <c r="M59" s="1245">
        <v>0.16458460688591003</v>
      </c>
      <c r="N59" s="1245">
        <v>0.14315502345561981</v>
      </c>
      <c r="O59" s="1245">
        <v>9.9472008645534515E-2</v>
      </c>
      <c r="P59" s="1245">
        <v>0.11277534067630768</v>
      </c>
      <c r="Q59" s="1245">
        <v>0.15231293439865112</v>
      </c>
      <c r="R59" s="1245">
        <v>0.12832170724868774</v>
      </c>
      <c r="S59" s="1245">
        <v>0.1415296196937561</v>
      </c>
      <c r="T59" s="1245">
        <v>0.1311449408531189</v>
      </c>
      <c r="U59" s="1245">
        <v>0.11370889842510223</v>
      </c>
      <c r="V59" s="1245">
        <v>6.1380598694086075E-2</v>
      </c>
      <c r="W59" s="1245">
        <v>0.15788930654525757</v>
      </c>
      <c r="X59" s="1245">
        <v>0.18075554072856903</v>
      </c>
      <c r="Y59" s="1245">
        <v>0.21350954473018646</v>
      </c>
      <c r="Z59" s="1245">
        <v>0.14570987224578857</v>
      </c>
      <c r="AA59" s="1245">
        <v>0.17007237672805786</v>
      </c>
      <c r="AB59" s="1245">
        <v>0.10618958622217178</v>
      </c>
      <c r="AC59" s="1245">
        <v>0.1353948712348938</v>
      </c>
      <c r="AD59" s="1245">
        <v>6.1702501028776169E-2</v>
      </c>
      <c r="AE59" s="260">
        <f>'User Add-in Location'!B64</f>
        <v>0</v>
      </c>
      <c r="AF59" s="260">
        <f>'User Add-in Location'!C64</f>
        <v>0</v>
      </c>
      <c r="AG59" s="1245">
        <v>0.12089530378580093</v>
      </c>
      <c r="AH59" s="1245">
        <v>0.18090462684631348</v>
      </c>
      <c r="AI59" s="1245">
        <v>0.21938811242580414</v>
      </c>
      <c r="AJ59" s="1245">
        <v>0.16959403455257416</v>
      </c>
      <c r="AK59" s="1245">
        <v>8.9492373168468475E-2</v>
      </c>
      <c r="AL59" s="1245">
        <v>0.17488150298595428</v>
      </c>
      <c r="AM59" s="1245">
        <v>0.12764163315296173</v>
      </c>
      <c r="AN59" s="1245">
        <v>0.10456264764070511</v>
      </c>
      <c r="AO59" s="1245">
        <v>0.13859961926937103</v>
      </c>
      <c r="AP59" s="1245">
        <v>0.13776746392250061</v>
      </c>
      <c r="AQ59" s="1245">
        <v>0.16418533027172089</v>
      </c>
      <c r="AR59" s="1245">
        <v>0.15446008741855621</v>
      </c>
      <c r="AS59" s="1245">
        <v>0.19302208721637726</v>
      </c>
      <c r="AT59" s="1245">
        <v>0.13496607542037964</v>
      </c>
      <c r="AU59" s="1245">
        <v>0.14339008927345276</v>
      </c>
      <c r="AV59" s="1245">
        <v>0.13714981079101563</v>
      </c>
      <c r="AW59" s="1245">
        <v>9.8327822983264923E-2</v>
      </c>
      <c r="AX59" s="1245">
        <v>0.14086690545082092</v>
      </c>
      <c r="AY59" s="1245">
        <v>0.13038751482963562</v>
      </c>
      <c r="AZ59" s="1245">
        <v>0.15487231314182281</v>
      </c>
      <c r="BA59" s="1245">
        <v>0.14748799800872803</v>
      </c>
      <c r="BB59" s="1245">
        <v>0.15162737667560577</v>
      </c>
      <c r="BC59" s="1245">
        <v>0.11161415278911591</v>
      </c>
      <c r="BD59" s="1245">
        <v>0.16830222308635712</v>
      </c>
      <c r="BE59" s="1245">
        <v>5.2208516746759415E-2</v>
      </c>
    </row>
    <row r="60" spans="1:57" s="220" customFormat="1" x14ac:dyDescent="0.25">
      <c r="A60" s="1254"/>
      <c r="B60" s="1249"/>
      <c r="C60" s="1247" t="s">
        <v>598</v>
      </c>
      <c r="D60" s="1245">
        <v>0.22857089340686798</v>
      </c>
      <c r="E60" s="1245">
        <v>0.26860252022743225</v>
      </c>
      <c r="F60" s="1245">
        <v>0.25054216384887695</v>
      </c>
      <c r="G60" s="1245">
        <v>0.22339411079883575</v>
      </c>
      <c r="H60" s="1245">
        <v>0.26940628886222839</v>
      </c>
      <c r="I60" s="1245">
        <v>0.23841705918312073</v>
      </c>
      <c r="J60" s="1245">
        <v>0.30066516995429993</v>
      </c>
      <c r="K60" s="1245">
        <v>0.27229538559913635</v>
      </c>
      <c r="L60" s="1245">
        <v>0</v>
      </c>
      <c r="M60" s="1245">
        <v>0.24520599842071533</v>
      </c>
      <c r="N60" s="1245">
        <v>0.23155659437179565</v>
      </c>
      <c r="O60" s="1245">
        <v>0.24878846108913422</v>
      </c>
      <c r="P60" s="1245">
        <v>0.22860912978649139</v>
      </c>
      <c r="Q60" s="1245">
        <v>0.28470349311828613</v>
      </c>
      <c r="R60" s="1245">
        <v>0.23789939284324646</v>
      </c>
      <c r="S60" s="1245">
        <v>0.24674992263317108</v>
      </c>
      <c r="T60" s="1245">
        <v>0.23504690825939178</v>
      </c>
      <c r="U60" s="1245">
        <v>0.26390531659126282</v>
      </c>
      <c r="V60" s="1245">
        <v>0.26002040505409241</v>
      </c>
      <c r="W60" s="1245">
        <v>0.23564253747463226</v>
      </c>
      <c r="X60" s="1245">
        <v>0.2778027355670929</v>
      </c>
      <c r="Y60" s="1245">
        <v>0.3058469295501709</v>
      </c>
      <c r="Z60" s="1245">
        <v>0.2780953049659729</v>
      </c>
      <c r="AA60" s="1245">
        <v>0.29868057370185852</v>
      </c>
      <c r="AB60" s="1245">
        <v>0.23041102290153503</v>
      </c>
      <c r="AC60" s="1245">
        <v>0.26329627633094788</v>
      </c>
      <c r="AD60" s="1245">
        <v>0.24119752645492554</v>
      </c>
      <c r="AE60" s="260">
        <f>'User Add-in Location'!B65</f>
        <v>0</v>
      </c>
      <c r="AF60" s="260">
        <f>'User Add-in Location'!C65</f>
        <v>0</v>
      </c>
      <c r="AG60" s="1245">
        <v>0.23932714760303497</v>
      </c>
      <c r="AH60" s="1245">
        <v>0.24612338840961456</v>
      </c>
      <c r="AI60" s="1245">
        <v>0.27144956588745117</v>
      </c>
      <c r="AJ60" s="1245">
        <v>0.3142554759979248</v>
      </c>
      <c r="AK60" s="1245">
        <v>0.19625486433506012</v>
      </c>
      <c r="AL60" s="1245">
        <v>0.28260201215744019</v>
      </c>
      <c r="AM60" s="1245">
        <v>0.22652335464954376</v>
      </c>
      <c r="AN60" s="1245">
        <v>0.25303912162780762</v>
      </c>
      <c r="AO60" s="1245">
        <v>0.26805374026298523</v>
      </c>
      <c r="AP60" s="1245">
        <v>0.26722967624664307</v>
      </c>
      <c r="AQ60" s="1245">
        <v>0.26116475462913513</v>
      </c>
      <c r="AR60" s="1245">
        <v>0.27413663268089294</v>
      </c>
      <c r="AS60" s="1245">
        <v>0.26779976487159729</v>
      </c>
      <c r="AT60" s="1245">
        <v>0.25739759206771851</v>
      </c>
      <c r="AU60" s="1245">
        <v>0.2104467898607254</v>
      </c>
      <c r="AV60" s="1245">
        <v>0.28488034009933472</v>
      </c>
      <c r="AW60" s="1245">
        <v>0.26669672131538391</v>
      </c>
      <c r="AX60" s="1245">
        <v>0.26399978995323181</v>
      </c>
      <c r="AY60" s="1245">
        <v>0.23884277045726776</v>
      </c>
      <c r="AZ60" s="1245">
        <v>0.27195316553115845</v>
      </c>
      <c r="BA60" s="1245">
        <v>0.28885412216186523</v>
      </c>
      <c r="BB60" s="1245">
        <v>0.25979405641555786</v>
      </c>
      <c r="BC60" s="1245">
        <v>0.21789389848709106</v>
      </c>
      <c r="BD60" s="1245">
        <v>0.28101184964179993</v>
      </c>
      <c r="BE60" s="1245">
        <v>0.21732021868228912</v>
      </c>
    </row>
    <row r="61" spans="1:57" s="220" customFormat="1" x14ac:dyDescent="0.25">
      <c r="A61" s="1254"/>
      <c r="B61" s="1249"/>
      <c r="C61" s="1247" t="s">
        <v>599</v>
      </c>
      <c r="D61" s="1245">
        <v>0.1224844679236412</v>
      </c>
      <c r="E61" s="1245">
        <v>0.1463325172662735</v>
      </c>
      <c r="F61" s="1245">
        <v>0.1503881961107254</v>
      </c>
      <c r="G61" s="1245">
        <v>0.13356387615203857</v>
      </c>
      <c r="H61" s="1245">
        <v>0.19695518910884857</v>
      </c>
      <c r="I61" s="1245">
        <v>0.13693612813949585</v>
      </c>
      <c r="J61" s="1245">
        <v>0.22152166068553925</v>
      </c>
      <c r="K61" s="1245">
        <v>0.23028689622879028</v>
      </c>
      <c r="L61" s="1245">
        <v>0.23828785121440887</v>
      </c>
      <c r="M61" s="1245">
        <v>0.15605390071868896</v>
      </c>
      <c r="N61" s="1245">
        <v>0.14117145538330078</v>
      </c>
      <c r="O61" s="1245">
        <v>0.11619918048381805</v>
      </c>
      <c r="P61" s="1245">
        <v>0.11316985636949539</v>
      </c>
      <c r="Q61" s="1245">
        <v>0.15898142755031586</v>
      </c>
      <c r="R61" s="1245">
        <v>0.13374185562133789</v>
      </c>
      <c r="S61" s="1245">
        <v>0.13246311247348785</v>
      </c>
      <c r="T61" s="1245">
        <v>0.13206146657466888</v>
      </c>
      <c r="U61" s="1245">
        <v>0.15609352290630341</v>
      </c>
      <c r="V61" s="1245">
        <v>0.15743634104728699</v>
      </c>
      <c r="W61" s="1245">
        <v>0.19218486547470093</v>
      </c>
      <c r="X61" s="1245">
        <v>0.13344083726406097</v>
      </c>
      <c r="Y61" s="1245">
        <v>0.25277942419052124</v>
      </c>
      <c r="Z61" s="1245">
        <v>0.20460909605026245</v>
      </c>
      <c r="AA61" s="1245">
        <v>0.17483216524124146</v>
      </c>
      <c r="AB61" s="1245">
        <v>9.4050146639347076E-2</v>
      </c>
      <c r="AC61" s="1245">
        <v>0.10728654265403748</v>
      </c>
      <c r="AD61" s="1245">
        <v>8.3291441202163696E-2</v>
      </c>
      <c r="AE61" s="260">
        <f>'User Add-in Location'!B66</f>
        <v>0</v>
      </c>
      <c r="AF61" s="260">
        <f>'User Add-in Location'!C66</f>
        <v>0</v>
      </c>
      <c r="AG61" s="1245">
        <v>0.11121872812509537</v>
      </c>
      <c r="AH61" s="1245">
        <v>0.16919682919979095</v>
      </c>
      <c r="AI61" s="1245">
        <v>0.38091203570365906</v>
      </c>
      <c r="AJ61" s="1245">
        <v>0.26239997148513794</v>
      </c>
      <c r="AK61" s="1245">
        <v>0.11636293679475784</v>
      </c>
      <c r="AL61" s="1245">
        <v>0.19314700365066528</v>
      </c>
      <c r="AM61" s="1245">
        <v>0.15694910287857056</v>
      </c>
      <c r="AN61" s="1245">
        <v>0.1144535094499588</v>
      </c>
      <c r="AO61" s="1245">
        <v>0.19367006421089172</v>
      </c>
      <c r="AP61" s="1245">
        <v>0.193722203373909</v>
      </c>
      <c r="AQ61" s="1245">
        <v>0.17569735646247864</v>
      </c>
      <c r="AR61" s="1245">
        <v>0.18821409344673157</v>
      </c>
      <c r="AS61" s="1245">
        <v>0.23757345974445343</v>
      </c>
      <c r="AT61" s="1245">
        <v>0.18502353131771088</v>
      </c>
      <c r="AU61" s="1245">
        <v>0.11364121735095978</v>
      </c>
      <c r="AV61" s="1245">
        <v>0.14249758422374725</v>
      </c>
      <c r="AW61" s="1245">
        <v>0.17607462406158447</v>
      </c>
      <c r="AX61" s="1245">
        <v>0.16091690957546234</v>
      </c>
      <c r="AY61" s="1245">
        <v>0.13620190322399139</v>
      </c>
      <c r="AZ61" s="1245">
        <v>0.27467292547225952</v>
      </c>
      <c r="BA61" s="1245">
        <v>0.19270995259284973</v>
      </c>
      <c r="BB61" s="1245">
        <v>0.1940343827009201</v>
      </c>
      <c r="BC61" s="1245">
        <v>0.22955283522605896</v>
      </c>
      <c r="BD61" s="1245">
        <v>0.1418120265007019</v>
      </c>
      <c r="BE61" s="1245">
        <v>0.11252248287200928</v>
      </c>
    </row>
    <row r="62" spans="1:57" s="220" customFormat="1" x14ac:dyDescent="0.25">
      <c r="A62" s="1254"/>
      <c r="B62" s="1249"/>
      <c r="C62" s="1247" t="s">
        <v>601</v>
      </c>
      <c r="D62" s="1245">
        <v>0.22420395910739899</v>
      </c>
      <c r="E62" s="1245">
        <v>0</v>
      </c>
      <c r="F62" s="1245">
        <v>0.17434805631637573</v>
      </c>
      <c r="G62" s="1245">
        <v>0.18022027611732483</v>
      </c>
      <c r="H62" s="1245">
        <v>0.21880748867988586</v>
      </c>
      <c r="I62" s="1245">
        <v>0.14553667604923248</v>
      </c>
      <c r="J62" s="1245">
        <v>0.21224196255207062</v>
      </c>
      <c r="K62" s="1245">
        <v>0.26271429657936096</v>
      </c>
      <c r="L62" s="1245">
        <v>0.14159795641899109</v>
      </c>
      <c r="M62" s="1245">
        <v>0.16420318186283112</v>
      </c>
      <c r="N62" s="1245">
        <v>0.14199367165565491</v>
      </c>
      <c r="O62" s="1245">
        <v>7.1117490530014038E-2</v>
      </c>
      <c r="P62" s="1245">
        <v>0.18280212581157684</v>
      </c>
      <c r="Q62" s="1245">
        <v>0.2226409912109375</v>
      </c>
      <c r="R62" s="1245">
        <v>0.21950729191303253</v>
      </c>
      <c r="S62" s="1245">
        <v>0.18800307810306549</v>
      </c>
      <c r="T62" s="1245">
        <v>0.20522738993167877</v>
      </c>
      <c r="U62" s="1245">
        <v>0.21593540906906128</v>
      </c>
      <c r="V62" s="1245">
        <v>0.22374297678470612</v>
      </c>
      <c r="W62" s="1245">
        <v>0.13140697777271271</v>
      </c>
      <c r="X62" s="1245">
        <v>0.19986888766288757</v>
      </c>
      <c r="Y62" s="1245">
        <v>0.18131053447723389</v>
      </c>
      <c r="Z62" s="1245">
        <v>0.22550582885742188</v>
      </c>
      <c r="AA62" s="1245">
        <v>0.17253698408603668</v>
      </c>
      <c r="AB62" s="1245">
        <v>0.13318224251270294</v>
      </c>
      <c r="AC62" s="1245">
        <v>0.20079287886619568</v>
      </c>
      <c r="AD62" s="1245">
        <v>8.4557108581066132E-2</v>
      </c>
      <c r="AE62" s="260">
        <f>'User Add-in Location'!B67</f>
        <v>0</v>
      </c>
      <c r="AF62" s="260">
        <f>'User Add-in Location'!C67</f>
        <v>0</v>
      </c>
      <c r="AG62" s="1245">
        <v>0.23483291268348694</v>
      </c>
      <c r="AH62" s="1245">
        <v>0.21154497563838959</v>
      </c>
      <c r="AI62" s="1245">
        <v>0.22557713091373444</v>
      </c>
      <c r="AJ62" s="1245">
        <v>0.21263109147548676</v>
      </c>
      <c r="AK62" s="1245">
        <v>0.13398599624633789</v>
      </c>
      <c r="AL62" s="1245">
        <v>0.17705990374088287</v>
      </c>
      <c r="AM62" s="1245">
        <v>0.12872648239135742</v>
      </c>
      <c r="AN62" s="1245">
        <v>0.17491608858108521</v>
      </c>
      <c r="AO62" s="1245">
        <v>0.17991152405738831</v>
      </c>
      <c r="AP62" s="1245">
        <v>0.21250474452972412</v>
      </c>
      <c r="AQ62" s="1245">
        <v>9.4808466732501984E-2</v>
      </c>
      <c r="AR62" s="1245">
        <v>0.19842013716697693</v>
      </c>
      <c r="AS62" s="1245">
        <v>0.11130846291780472</v>
      </c>
      <c r="AT62" s="1245">
        <v>0.25532019138336182</v>
      </c>
      <c r="AU62" s="1245">
        <v>0.15517546236515045</v>
      </c>
      <c r="AV62" s="1245">
        <v>0.21109552681446075</v>
      </c>
      <c r="AW62" s="1245">
        <v>0.16998089849948883</v>
      </c>
      <c r="AX62" s="1245">
        <v>0.16918809711933136</v>
      </c>
      <c r="AY62" s="1245">
        <v>0.1307377815246582</v>
      </c>
      <c r="AZ62" s="1245">
        <v>0.1557445228099823</v>
      </c>
      <c r="BA62" s="1245">
        <v>0.16821108758449554</v>
      </c>
      <c r="BB62" s="1245">
        <v>0.13916634023189545</v>
      </c>
      <c r="BC62" s="1245">
        <v>0.12027114629745483</v>
      </c>
      <c r="BD62" s="1245">
        <v>0.21979556977748871</v>
      </c>
      <c r="BE62" s="1245">
        <v>0.14448109269142151</v>
      </c>
    </row>
    <row r="63" spans="1:57" s="220" customFormat="1" x14ac:dyDescent="0.25">
      <c r="A63" s="1254"/>
      <c r="B63" s="1249"/>
      <c r="C63" s="1247" t="s">
        <v>602</v>
      </c>
      <c r="D63" s="1245">
        <v>0.1874801367521286</v>
      </c>
      <c r="E63" s="1245">
        <v>0.14063429832458496</v>
      </c>
      <c r="F63" s="1245">
        <v>0.19784347712993622</v>
      </c>
      <c r="G63" s="1245">
        <v>0.22897033393383026</v>
      </c>
      <c r="H63" s="1245">
        <v>0.26693859696388245</v>
      </c>
      <c r="I63" s="1245">
        <v>0.24854268133640289</v>
      </c>
      <c r="J63" s="1245">
        <v>0.23382778465747833</v>
      </c>
      <c r="K63" s="1245">
        <v>0.22597356140613556</v>
      </c>
      <c r="L63" s="1245">
        <v>0.40799301862716675</v>
      </c>
      <c r="M63" s="1245">
        <v>0.18348942697048187</v>
      </c>
      <c r="N63" s="1245">
        <v>0.21699698269367218</v>
      </c>
      <c r="O63" s="1245">
        <v>0.176984503865242</v>
      </c>
      <c r="P63" s="1245">
        <v>0.21687650680541992</v>
      </c>
      <c r="Q63" s="1245">
        <v>0.26058167219161987</v>
      </c>
      <c r="R63" s="1245">
        <v>0.21917217969894409</v>
      </c>
      <c r="S63" s="1245">
        <v>0.21783080697059631</v>
      </c>
      <c r="T63" s="1245">
        <v>0.21201843023300171</v>
      </c>
      <c r="U63" s="1245">
        <v>0.2018236368894577</v>
      </c>
      <c r="V63" s="1245">
        <v>0.20148399472236633</v>
      </c>
      <c r="W63" s="1245">
        <v>0.20032788813114166</v>
      </c>
      <c r="X63" s="1245">
        <v>0.20874010026454926</v>
      </c>
      <c r="Y63" s="1245">
        <v>0.24061532318592072</v>
      </c>
      <c r="Z63" s="1245">
        <v>0.21784885227680206</v>
      </c>
      <c r="AA63" s="1245">
        <v>0.21906717121601105</v>
      </c>
      <c r="AB63" s="1245">
        <v>0.18341492116451263</v>
      </c>
      <c r="AC63" s="1245">
        <v>0.21896794438362122</v>
      </c>
      <c r="AD63" s="1245">
        <v>0.21107512712478638</v>
      </c>
      <c r="AE63" s="260">
        <f>'User Add-in Location'!B68</f>
        <v>0</v>
      </c>
      <c r="AF63" s="260">
        <f>'User Add-in Location'!C68</f>
        <v>0</v>
      </c>
      <c r="AG63" s="1245">
        <v>0.27945861220359802</v>
      </c>
      <c r="AH63" s="1245">
        <v>0</v>
      </c>
      <c r="AI63" s="1245">
        <v>0.20471429824829102</v>
      </c>
      <c r="AJ63" s="1245">
        <v>0.26290154457092285</v>
      </c>
      <c r="AK63" s="1245">
        <v>0.19684125483036041</v>
      </c>
      <c r="AL63" s="1245">
        <v>0.26212731003761292</v>
      </c>
      <c r="AM63" s="1245">
        <v>0.20517422258853912</v>
      </c>
      <c r="AN63" s="1245">
        <v>0.25909033417701721</v>
      </c>
      <c r="AO63" s="1245">
        <v>0.21643264591693878</v>
      </c>
      <c r="AP63" s="1245">
        <v>0.27717852592468262</v>
      </c>
      <c r="AQ63" s="1245">
        <v>0.21019773185253143</v>
      </c>
      <c r="AR63" s="1245">
        <v>0.27050328254699707</v>
      </c>
      <c r="AS63" s="1245">
        <v>0.21665641665458679</v>
      </c>
      <c r="AT63" s="1245">
        <v>0.17655658721923828</v>
      </c>
      <c r="AU63" s="1245">
        <v>0.2080770879983902</v>
      </c>
      <c r="AV63" s="1245">
        <v>0.23025767505168915</v>
      </c>
      <c r="AW63" s="1245">
        <v>0.27950417995452881</v>
      </c>
      <c r="AX63" s="1245">
        <v>0.23601624369621277</v>
      </c>
      <c r="AY63" s="1245">
        <v>0.25521314144134521</v>
      </c>
      <c r="AZ63" s="1245">
        <v>0.21444277465343475</v>
      </c>
      <c r="BA63" s="1245">
        <v>0.23812630772590637</v>
      </c>
      <c r="BB63" s="1245">
        <v>0.22945369780063629</v>
      </c>
      <c r="BC63" s="1245">
        <v>0.21495343744754791</v>
      </c>
      <c r="BD63" s="1245">
        <v>0.22982357442378998</v>
      </c>
      <c r="BE63" s="1245">
        <v>0.20618286728858948</v>
      </c>
    </row>
    <row r="64" spans="1:57" s="220" customFormat="1" x14ac:dyDescent="0.25">
      <c r="A64" s="1254"/>
      <c r="B64" s="1249"/>
      <c r="C64" s="1247" t="s">
        <v>603</v>
      </c>
      <c r="D64" s="1245">
        <v>0.3224702775478363</v>
      </c>
      <c r="E64" s="1245">
        <v>0.26406127214431763</v>
      </c>
      <c r="F64" s="1245">
        <v>0.34569883346557617</v>
      </c>
      <c r="G64" s="1245">
        <v>0.2906990647315979</v>
      </c>
      <c r="H64" s="1245">
        <v>0.33129799365997314</v>
      </c>
      <c r="I64" s="1245">
        <v>0.38002398610115051</v>
      </c>
      <c r="J64" s="1245">
        <v>0.36164253950119019</v>
      </c>
      <c r="K64" s="1245">
        <v>0.37827348709106445</v>
      </c>
      <c r="L64" s="1245">
        <v>0.45635443925857544</v>
      </c>
      <c r="M64" s="1245">
        <v>0.32845714688301086</v>
      </c>
      <c r="N64" s="1245">
        <v>0.34146007895469666</v>
      </c>
      <c r="O64" s="1245">
        <v>0.30526614189147949</v>
      </c>
      <c r="P64" s="1245">
        <v>0.31574463844299316</v>
      </c>
      <c r="Q64" s="1245">
        <v>0.36682388186454773</v>
      </c>
      <c r="R64" s="1245">
        <v>0.32941713929176331</v>
      </c>
      <c r="S64" s="1245">
        <v>0.34679678082466125</v>
      </c>
      <c r="T64" s="1245">
        <v>0.33372014760971069</v>
      </c>
      <c r="U64" s="1245">
        <v>0.29570505023002625</v>
      </c>
      <c r="V64" s="1245">
        <v>0.3241221010684967</v>
      </c>
      <c r="W64" s="1245">
        <v>0.31389516592025757</v>
      </c>
      <c r="X64" s="1245">
        <v>0.35238823294639587</v>
      </c>
      <c r="Y64" s="1245">
        <v>0.41025626659393311</v>
      </c>
      <c r="Z64" s="1245">
        <v>0.34875506162643433</v>
      </c>
      <c r="AA64" s="1245">
        <v>0.39022019505500793</v>
      </c>
      <c r="AB64" s="1245">
        <v>0.2890285849571228</v>
      </c>
      <c r="AC64" s="1245">
        <v>0.34349259734153748</v>
      </c>
      <c r="AD64" s="1245">
        <v>0.31589311361312866</v>
      </c>
      <c r="AE64" s="260">
        <f>'User Add-in Location'!B69</f>
        <v>0</v>
      </c>
      <c r="AF64" s="260">
        <f>'User Add-in Location'!C69</f>
        <v>0</v>
      </c>
      <c r="AG64" s="1245">
        <v>0.32845783233642578</v>
      </c>
      <c r="AH64" s="1245">
        <v>0.33913284540176392</v>
      </c>
      <c r="AI64" s="1245">
        <v>0.40898126363754272</v>
      </c>
      <c r="AJ64" s="1245">
        <v>0.37289732694625854</v>
      </c>
      <c r="AK64" s="1245">
        <v>0.27737811207771301</v>
      </c>
      <c r="AL64" s="1245">
        <v>0.35600283741950989</v>
      </c>
      <c r="AM64" s="1245">
        <v>0.34059831500053406</v>
      </c>
      <c r="AN64" s="1245">
        <v>0.34932065010070801</v>
      </c>
      <c r="AO64" s="1245">
        <v>0.33928829431533813</v>
      </c>
      <c r="AP64" s="1245">
        <v>0.30673494935035706</v>
      </c>
      <c r="AQ64" s="1245">
        <v>0.34465056657791138</v>
      </c>
      <c r="AR64" s="1245">
        <v>0.35922211408615112</v>
      </c>
      <c r="AS64" s="1245">
        <v>0.35186243057250977</v>
      </c>
      <c r="AT64" s="1245">
        <v>0.30814066529273987</v>
      </c>
      <c r="AU64" s="1245">
        <v>0.32482093572616577</v>
      </c>
      <c r="AV64" s="1245">
        <v>0.3274993896484375</v>
      </c>
      <c r="AW64" s="1245">
        <v>0.35475760698318481</v>
      </c>
      <c r="AX64" s="1245">
        <v>0.34587255120277405</v>
      </c>
      <c r="AY64" s="1245">
        <v>0.3382551372051239</v>
      </c>
      <c r="AZ64" s="1245">
        <v>0.31449887156486511</v>
      </c>
      <c r="BA64" s="1245">
        <v>0.3585369884967804</v>
      </c>
      <c r="BB64" s="1245">
        <v>0.33852019906044006</v>
      </c>
      <c r="BC64" s="1245">
        <v>0.30008983612060547</v>
      </c>
      <c r="BD64" s="1245">
        <v>0.34521922469139099</v>
      </c>
      <c r="BE64" s="1245">
        <v>0.31460079550743103</v>
      </c>
    </row>
    <row r="65" spans="1:57" s="220" customFormat="1" x14ac:dyDescent="0.25">
      <c r="A65" s="1254"/>
      <c r="B65" s="1249"/>
      <c r="C65" s="1247" t="s">
        <v>604</v>
      </c>
      <c r="D65" s="1245">
        <v>0.37944304943084717</v>
      </c>
      <c r="E65" s="1245">
        <v>0.46526563167572021</v>
      </c>
      <c r="F65" s="1245">
        <v>0.40752050280570984</v>
      </c>
      <c r="G65" s="1245">
        <v>0.39769983291625977</v>
      </c>
      <c r="H65" s="1245">
        <v>0.41805332899093628</v>
      </c>
      <c r="I65" s="1245">
        <v>0.41608908772468567</v>
      </c>
      <c r="J65" s="1245">
        <v>0.46118521690368652</v>
      </c>
      <c r="K65" s="1245">
        <v>0.4470197856426239</v>
      </c>
      <c r="L65" s="1245">
        <v>0.45631298422813416</v>
      </c>
      <c r="M65" s="1245">
        <v>0.40913689136505127</v>
      </c>
      <c r="N65" s="1245">
        <v>0.40394529700279236</v>
      </c>
      <c r="O65" s="1245">
        <v>0.38391238451004028</v>
      </c>
      <c r="P65" s="1245">
        <v>0.41140064597129822</v>
      </c>
      <c r="Q65" s="1245">
        <v>0.41250461339950562</v>
      </c>
      <c r="R65" s="1245">
        <v>0.38771769404411316</v>
      </c>
      <c r="S65" s="1245">
        <v>0.40387466549873352</v>
      </c>
      <c r="T65" s="1245">
        <v>0.37072217464447021</v>
      </c>
      <c r="U65" s="1245">
        <v>0.42007178068161011</v>
      </c>
      <c r="V65" s="1245">
        <v>0.39543461799621582</v>
      </c>
      <c r="W65" s="1245">
        <v>0.39584654569625854</v>
      </c>
      <c r="X65" s="1245">
        <v>0.42065641283988953</v>
      </c>
      <c r="Y65" s="1245">
        <v>0.47962033748626709</v>
      </c>
      <c r="Z65" s="1245">
        <v>0.38560748100280762</v>
      </c>
      <c r="AA65" s="1245">
        <v>0.39991405606269836</v>
      </c>
      <c r="AB65" s="1245">
        <v>0.38243976235389709</v>
      </c>
      <c r="AC65" s="1245">
        <v>0.40752106904983521</v>
      </c>
      <c r="AD65" s="1245">
        <v>0.46421024203300476</v>
      </c>
      <c r="AE65" s="260">
        <f>'User Add-in Location'!B70</f>
        <v>0</v>
      </c>
      <c r="AF65" s="260">
        <f>'User Add-in Location'!C70</f>
        <v>0</v>
      </c>
      <c r="AG65" s="1245">
        <v>0.37981215119361877</v>
      </c>
      <c r="AH65" s="1245">
        <v>0.23894608020782471</v>
      </c>
      <c r="AI65" s="1245">
        <v>0.49700558185577393</v>
      </c>
      <c r="AJ65" s="1245">
        <v>0.45951876044273376</v>
      </c>
      <c r="AK65" s="1245">
        <v>0.40629827976226807</v>
      </c>
      <c r="AL65" s="1245">
        <v>0.44881659746170044</v>
      </c>
      <c r="AM65" s="1245">
        <v>0.42640289664268494</v>
      </c>
      <c r="AN65" s="1245">
        <v>0.41749531030654907</v>
      </c>
      <c r="AO65" s="1245">
        <v>0.3954983651638031</v>
      </c>
      <c r="AP65" s="1245">
        <v>0.43050599098205566</v>
      </c>
      <c r="AQ65" s="1245">
        <v>0.4636196494102478</v>
      </c>
      <c r="AR65" s="1245">
        <v>0.43357387185096741</v>
      </c>
      <c r="AS65" s="1245">
        <v>0.4425281286239624</v>
      </c>
      <c r="AT65" s="1245">
        <v>0.39063075184822083</v>
      </c>
      <c r="AU65" s="1245">
        <v>0.40028199553489685</v>
      </c>
      <c r="AV65" s="1245">
        <v>0.42910000681877136</v>
      </c>
      <c r="AW65" s="1245">
        <v>0.40749001502990723</v>
      </c>
      <c r="AX65" s="1245">
        <v>0.41573271155357361</v>
      </c>
      <c r="AY65" s="1245">
        <v>0.42181551456451416</v>
      </c>
      <c r="AZ65" s="1245">
        <v>0.4338243305683136</v>
      </c>
      <c r="BA65" s="1245">
        <v>0.39674454927444458</v>
      </c>
      <c r="BB65" s="1245">
        <v>0.40379858016967773</v>
      </c>
      <c r="BC65" s="1245">
        <v>0.39174652099609375</v>
      </c>
      <c r="BD65" s="1245">
        <v>0.38853001594543457</v>
      </c>
      <c r="BE65" s="1245">
        <v>0.39975175261497498</v>
      </c>
    </row>
    <row r="66" spans="1:57" s="220" customFormat="1" x14ac:dyDescent="0.25">
      <c r="A66" s="1254"/>
      <c r="B66" s="1249"/>
      <c r="C66" s="1247" t="s">
        <v>605</v>
      </c>
      <c r="D66" s="1245">
        <v>0.2322181910276413</v>
      </c>
      <c r="E66" s="1245">
        <v>0.22575655579566956</v>
      </c>
      <c r="F66" s="1245">
        <v>0.23608078062534332</v>
      </c>
      <c r="G66" s="1245">
        <v>0.19704622030258179</v>
      </c>
      <c r="H66" s="1245">
        <v>0.24990385770797729</v>
      </c>
      <c r="I66" s="1245">
        <v>0.22576451301574707</v>
      </c>
      <c r="J66" s="1245">
        <v>0.32256314158439636</v>
      </c>
      <c r="K66" s="1245">
        <v>0.21032735705375671</v>
      </c>
      <c r="L66" s="1245">
        <v>0.30168464779853821</v>
      </c>
      <c r="M66" s="1245">
        <v>0.21979019045829773</v>
      </c>
      <c r="N66" s="1245">
        <v>0.22719098627567291</v>
      </c>
      <c r="O66" s="1245">
        <v>0.20921501517295837</v>
      </c>
      <c r="P66" s="1245">
        <v>0.17657671868801117</v>
      </c>
      <c r="Q66" s="1245">
        <v>0.25487881898880005</v>
      </c>
      <c r="R66" s="1245">
        <v>0.20100900530815125</v>
      </c>
      <c r="S66" s="1245">
        <v>0.23126329481601715</v>
      </c>
      <c r="T66" s="1245">
        <v>0.22884531319141388</v>
      </c>
      <c r="U66" s="1245">
        <v>0.23255693912506104</v>
      </c>
      <c r="V66" s="1245">
        <v>0.21932804584503174</v>
      </c>
      <c r="W66" s="1245">
        <v>0.2095508873462677</v>
      </c>
      <c r="X66" s="1245">
        <v>0.22995549440383911</v>
      </c>
      <c r="Y66" s="1245">
        <v>0.33427801728248596</v>
      </c>
      <c r="Z66" s="1245">
        <v>0.2235332727432251</v>
      </c>
      <c r="AA66" s="1245">
        <v>0.29283174872398376</v>
      </c>
      <c r="AB66" s="1245">
        <v>0.20007571578025818</v>
      </c>
      <c r="AC66" s="1245">
        <v>0.22566471993923187</v>
      </c>
      <c r="AD66" s="1245">
        <v>0.19251000881195068</v>
      </c>
      <c r="AE66" s="260">
        <f>'User Add-in Location'!B71</f>
        <v>0</v>
      </c>
      <c r="AF66" s="260">
        <f>'User Add-in Location'!C71</f>
        <v>0</v>
      </c>
      <c r="AG66" s="1245">
        <v>0.21877670288085938</v>
      </c>
      <c r="AH66" s="1245">
        <v>0</v>
      </c>
      <c r="AI66" s="1245">
        <v>0.25474107265472412</v>
      </c>
      <c r="AJ66" s="1245">
        <v>0.25402712821960449</v>
      </c>
      <c r="AK66" s="1245">
        <v>0.15965108573436737</v>
      </c>
      <c r="AL66" s="1245">
        <v>0.35466206073760986</v>
      </c>
      <c r="AM66" s="1245">
        <v>0.29138064384460449</v>
      </c>
      <c r="AN66" s="1245">
        <v>0.2387787252664566</v>
      </c>
      <c r="AO66" s="1245">
        <v>0.22205232083797455</v>
      </c>
      <c r="AP66" s="1245">
        <v>0.21785077452659607</v>
      </c>
      <c r="AQ66" s="1245">
        <v>0.19258037209510803</v>
      </c>
      <c r="AR66" s="1245">
        <v>0.2538430392742157</v>
      </c>
      <c r="AS66" s="1245">
        <v>0.2676013708114624</v>
      </c>
      <c r="AT66" s="1245">
        <v>0.25637000799179077</v>
      </c>
      <c r="AU66" s="1245">
        <v>0.21915221214294434</v>
      </c>
      <c r="AV66" s="1245">
        <v>0.25662708282470703</v>
      </c>
      <c r="AW66" s="1245">
        <v>0.25891312956809998</v>
      </c>
      <c r="AX66" s="1245">
        <v>0.25747516751289368</v>
      </c>
      <c r="AY66" s="1245">
        <v>0.18352746963500977</v>
      </c>
      <c r="AZ66" s="1245">
        <v>0.21256974339485168</v>
      </c>
      <c r="BA66" s="1245">
        <v>0.22655779123306274</v>
      </c>
      <c r="BB66" s="1245">
        <v>0.20886503159999847</v>
      </c>
      <c r="BC66" s="1245">
        <v>0.20460915565490723</v>
      </c>
      <c r="BD66" s="1245">
        <v>0.20950505137443542</v>
      </c>
      <c r="BE66" s="1245">
        <v>0.17991143465042114</v>
      </c>
    </row>
    <row r="67" spans="1:57" s="220" customFormat="1" x14ac:dyDescent="0.25">
      <c r="A67" s="1254"/>
      <c r="B67" s="1249"/>
      <c r="C67" s="1247" t="s">
        <v>606</v>
      </c>
      <c r="D67" s="1245">
        <v>0.48457735776901245</v>
      </c>
      <c r="E67" s="1245">
        <v>0.53140950202941895</v>
      </c>
      <c r="F67" s="1245">
        <v>0.50042271614074707</v>
      </c>
      <c r="G67" s="1245">
        <v>0.44019806385040283</v>
      </c>
      <c r="H67" s="1245">
        <v>0.54672825336456299</v>
      </c>
      <c r="I67" s="1245">
        <v>0.52916699647903442</v>
      </c>
      <c r="J67" s="1245">
        <v>0.5375397801399231</v>
      </c>
      <c r="K67" s="1245">
        <v>0.52072644233703613</v>
      </c>
      <c r="L67" s="1245">
        <v>0.59385061264038086</v>
      </c>
      <c r="M67" s="1245">
        <v>0.50060200691223145</v>
      </c>
      <c r="N67" s="1245">
        <v>0.52079415321350098</v>
      </c>
      <c r="O67" s="1245">
        <v>0.46675455570220947</v>
      </c>
      <c r="P67" s="1245">
        <v>0.42362824082374573</v>
      </c>
      <c r="Q67" s="1245">
        <v>0.55443489551544189</v>
      </c>
      <c r="R67" s="1245">
        <v>0.40206480026245117</v>
      </c>
      <c r="S67" s="1245">
        <v>0.4488164484500885</v>
      </c>
      <c r="T67" s="1245">
        <v>0.47570061683654785</v>
      </c>
      <c r="U67" s="1245">
        <v>0.46718162298202515</v>
      </c>
      <c r="V67" s="1245">
        <v>0.51445901393890381</v>
      </c>
      <c r="W67" s="1245">
        <v>0.44743168354034424</v>
      </c>
      <c r="X67" s="1245">
        <v>0.51174962520599365</v>
      </c>
      <c r="Y67" s="1245">
        <v>0.54390037059783936</v>
      </c>
      <c r="Z67" s="1245">
        <v>0.51481425762176514</v>
      </c>
      <c r="AA67" s="1245">
        <v>0.51240211725234985</v>
      </c>
      <c r="AB67" s="1245">
        <v>0.42664092779159546</v>
      </c>
      <c r="AC67" s="1245">
        <v>0.48356983065605164</v>
      </c>
      <c r="AD67" s="1245">
        <v>0.45594486594200134</v>
      </c>
      <c r="AE67" s="260">
        <f>'User Add-in Location'!B72</f>
        <v>0</v>
      </c>
      <c r="AF67" s="260">
        <f>'User Add-in Location'!C72</f>
        <v>0</v>
      </c>
      <c r="AG67" s="1245">
        <v>0.44301453232765198</v>
      </c>
      <c r="AH67" s="1245">
        <v>0.52798914909362793</v>
      </c>
      <c r="AI67" s="1245">
        <v>0.49147605895996094</v>
      </c>
      <c r="AJ67" s="1245">
        <v>0.55664396286010742</v>
      </c>
      <c r="AK67" s="1245">
        <v>0.42717307806015015</v>
      </c>
      <c r="AL67" s="1245">
        <v>0.55382430553436279</v>
      </c>
      <c r="AM67" s="1245">
        <v>0.44600144028663635</v>
      </c>
      <c r="AN67" s="1245">
        <v>0.50632303953170776</v>
      </c>
      <c r="AO67" s="1245">
        <v>0.48860406875610352</v>
      </c>
      <c r="AP67" s="1245">
        <v>0.47800159454345703</v>
      </c>
      <c r="AQ67" s="1245">
        <v>0.422707200050354</v>
      </c>
      <c r="AR67" s="1245">
        <v>0.50964123010635376</v>
      </c>
      <c r="AS67" s="1245">
        <v>0.47090771794319153</v>
      </c>
      <c r="AT67" s="1245">
        <v>0.47564902901649475</v>
      </c>
      <c r="AU67" s="1245">
        <v>0.40908858180046082</v>
      </c>
      <c r="AV67" s="1245">
        <v>0.50465905666351318</v>
      </c>
      <c r="AW67" s="1245">
        <v>0.54846107959747314</v>
      </c>
      <c r="AX67" s="1245">
        <v>0.52073925733566284</v>
      </c>
      <c r="AY67" s="1245">
        <v>0.46831628680229187</v>
      </c>
      <c r="AZ67" s="1245">
        <v>0.44835430383682251</v>
      </c>
      <c r="BA67" s="1245">
        <v>0.56426495313644409</v>
      </c>
      <c r="BB67" s="1245">
        <v>0.48456203937530518</v>
      </c>
      <c r="BC67" s="1245">
        <v>0.44500210881233215</v>
      </c>
      <c r="BD67" s="1245">
        <v>0.46265462040901184</v>
      </c>
      <c r="BE67" s="1245">
        <v>0.46769946813583374</v>
      </c>
    </row>
    <row r="68" spans="1:57" s="220" customFormat="1" x14ac:dyDescent="0.25">
      <c r="A68" s="1254"/>
      <c r="B68" s="1249"/>
      <c r="C68" s="1247" t="s">
        <v>607</v>
      </c>
      <c r="D68" s="1245">
        <v>0.34884911775588989</v>
      </c>
      <c r="E68" s="1245">
        <v>0.37580659985542297</v>
      </c>
      <c r="F68" s="1245">
        <v>0.36924928426742554</v>
      </c>
      <c r="G68" s="1245">
        <v>0.3238660991191864</v>
      </c>
      <c r="H68" s="1245">
        <v>0.39246702194213867</v>
      </c>
      <c r="I68" s="1245">
        <v>0.37408500909805298</v>
      </c>
      <c r="J68" s="1245">
        <v>0.41532045602798462</v>
      </c>
      <c r="K68" s="1245">
        <v>0.42001637816429138</v>
      </c>
      <c r="L68" s="1245">
        <v>0.51547634601593018</v>
      </c>
      <c r="M68" s="1245">
        <v>0.36311072111129761</v>
      </c>
      <c r="N68" s="1245">
        <v>0.34852632880210876</v>
      </c>
      <c r="O68" s="1245">
        <v>0.3729102611541748</v>
      </c>
      <c r="P68" s="1245">
        <v>0.34283560514450073</v>
      </c>
      <c r="Q68" s="1245">
        <v>0.39119225740432739</v>
      </c>
      <c r="R68" s="1245">
        <v>0.36346358060836792</v>
      </c>
      <c r="S68" s="1245">
        <v>0.34891137480735779</v>
      </c>
      <c r="T68" s="1245">
        <v>0.34938055276870728</v>
      </c>
      <c r="U68" s="1245">
        <v>0.3651278018951416</v>
      </c>
      <c r="V68" s="1245">
        <v>0.35610795021057129</v>
      </c>
      <c r="W68" s="1245">
        <v>0.36709079146385193</v>
      </c>
      <c r="X68" s="1245">
        <v>0.38978970050811768</v>
      </c>
      <c r="Y68" s="1245">
        <v>0.44276914000511169</v>
      </c>
      <c r="Z68" s="1245">
        <v>0.37963777780532837</v>
      </c>
      <c r="AA68" s="1245">
        <v>0.39642995595932007</v>
      </c>
      <c r="AB68" s="1245">
        <v>0.31934157013893127</v>
      </c>
      <c r="AC68" s="1245">
        <v>0.36273297667503357</v>
      </c>
      <c r="AD68" s="1245">
        <v>0.34770816564559937</v>
      </c>
      <c r="AE68" s="260">
        <f>'User Add-in Location'!B73</f>
        <v>0</v>
      </c>
      <c r="AF68" s="260">
        <f>'User Add-in Location'!C73</f>
        <v>0</v>
      </c>
      <c r="AG68" s="1245">
        <v>0.36375501751899719</v>
      </c>
      <c r="AH68" s="1245">
        <v>0.37149909138679504</v>
      </c>
      <c r="AI68" s="1245">
        <v>0.40884390473365784</v>
      </c>
      <c r="AJ68" s="1245">
        <v>0.42154374718666077</v>
      </c>
      <c r="AK68" s="1245">
        <v>0.30356350541114807</v>
      </c>
      <c r="AL68" s="1245">
        <v>0.41591024398803711</v>
      </c>
      <c r="AM68" s="1245">
        <v>0.36339178681373596</v>
      </c>
      <c r="AN68" s="1245">
        <v>0.36247563362121582</v>
      </c>
      <c r="AO68" s="1245">
        <v>0.38620597124099731</v>
      </c>
      <c r="AP68" s="1245">
        <v>0.34286326169967651</v>
      </c>
      <c r="AQ68" s="1245">
        <v>0.38614818453788757</v>
      </c>
      <c r="AR68" s="1245">
        <v>0.42016333341598511</v>
      </c>
      <c r="AS68" s="1245">
        <v>0.3947855532169342</v>
      </c>
      <c r="AT68" s="1245">
        <v>0.33197855949401855</v>
      </c>
      <c r="AU68" s="1245">
        <v>0.35905203223228455</v>
      </c>
      <c r="AV68" s="1245">
        <v>0.40854665637016296</v>
      </c>
      <c r="AW68" s="1245">
        <v>0.37428101897239685</v>
      </c>
      <c r="AX68" s="1245">
        <v>0.38455450534820557</v>
      </c>
      <c r="AY68" s="1245">
        <v>0.34547340869903564</v>
      </c>
      <c r="AZ68" s="1245">
        <v>0.36940035223960876</v>
      </c>
      <c r="BA68" s="1245">
        <v>0.39925998449325562</v>
      </c>
      <c r="BB68" s="1245">
        <v>0.35994070768356323</v>
      </c>
      <c r="BC68" s="1245">
        <v>0.36661419272422791</v>
      </c>
      <c r="BD68" s="1245">
        <v>0.36908605694770813</v>
      </c>
      <c r="BE68" s="1245">
        <v>0.32473477721214294</v>
      </c>
    </row>
    <row r="69" spans="1:57" s="220" customFormat="1" x14ac:dyDescent="0.25">
      <c r="A69" s="1254"/>
      <c r="B69" s="1249"/>
      <c r="C69" s="1247" t="s">
        <v>609</v>
      </c>
      <c r="D69" s="1245">
        <v>0.65951740741729736</v>
      </c>
      <c r="E69" s="1245">
        <v>0.84008699655532837</v>
      </c>
      <c r="F69" s="1245">
        <v>0.66445237398147583</v>
      </c>
      <c r="G69" s="1245">
        <v>0.76184660196304321</v>
      </c>
      <c r="H69" s="1245">
        <v>0.74246829748153687</v>
      </c>
      <c r="I69" s="1245">
        <v>0.77465736865997314</v>
      </c>
      <c r="J69" s="1245">
        <v>0.6432267427444458</v>
      </c>
      <c r="K69" s="1245">
        <v>0.73890697956085205</v>
      </c>
      <c r="L69" s="1245">
        <v>0.74078977108001709</v>
      </c>
      <c r="M69" s="1245">
        <v>0.73332470655441284</v>
      </c>
      <c r="N69" s="1245">
        <v>0.80894267559051514</v>
      </c>
      <c r="O69" s="1245">
        <v>0.77255445718765259</v>
      </c>
      <c r="P69" s="1245">
        <v>0.73272198438644409</v>
      </c>
      <c r="Q69" s="1245">
        <v>0.83481884002685547</v>
      </c>
      <c r="R69" s="1245">
        <v>0.79214948415756226</v>
      </c>
      <c r="S69" s="1245">
        <v>0.76589369773864746</v>
      </c>
      <c r="T69" s="1245">
        <v>0.77444332838058472</v>
      </c>
      <c r="U69" s="1245">
        <v>0.76782339811325073</v>
      </c>
      <c r="V69" s="1245">
        <v>0.76607662439346313</v>
      </c>
      <c r="W69" s="1245">
        <v>0.77143138647079468</v>
      </c>
      <c r="X69" s="1245">
        <v>0.66403418779373169</v>
      </c>
      <c r="Y69" s="1245">
        <v>0.64978581666946411</v>
      </c>
      <c r="Z69" s="1245">
        <v>0.78698962926864624</v>
      </c>
      <c r="AA69" s="1245">
        <v>0.72022783756256104</v>
      </c>
      <c r="AB69" s="1245">
        <v>0.75427591800689697</v>
      </c>
      <c r="AC69" s="1245">
        <v>0.77256596088409424</v>
      </c>
      <c r="AD69" s="1245">
        <v>0.74814766645431519</v>
      </c>
      <c r="AE69" s="260">
        <f>'User Add-in Location'!B74</f>
        <v>0</v>
      </c>
      <c r="AF69" s="260">
        <f>'User Add-in Location'!C74</f>
        <v>0</v>
      </c>
      <c r="AG69" s="1245">
        <v>0.80871880054473877</v>
      </c>
      <c r="AH69" s="1245">
        <v>0.69892603158950806</v>
      </c>
      <c r="AI69" s="1245">
        <v>0.63836967945098877</v>
      </c>
      <c r="AJ69" s="1245">
        <v>0.82544100284576416</v>
      </c>
      <c r="AK69" s="1245">
        <v>0.51014268398284912</v>
      </c>
      <c r="AL69" s="1245">
        <v>0.7576025128364563</v>
      </c>
      <c r="AM69" s="1245">
        <v>0.80182784795761108</v>
      </c>
      <c r="AN69" s="1245">
        <v>0.71987134218215942</v>
      </c>
      <c r="AO69" s="1245">
        <v>0.75696814060211182</v>
      </c>
      <c r="AP69" s="1245">
        <v>0.64443153142929077</v>
      </c>
      <c r="AQ69" s="1245">
        <v>0.74260950088500977</v>
      </c>
      <c r="AR69" s="1245">
        <v>0.76290231943130493</v>
      </c>
      <c r="AS69" s="1245">
        <v>0.67770671844482422</v>
      </c>
      <c r="AT69" s="1245">
        <v>0.75965934991836548</v>
      </c>
      <c r="AU69" s="1245">
        <v>0.68482935428619385</v>
      </c>
      <c r="AV69" s="1245">
        <v>0.72967088222503662</v>
      </c>
      <c r="AW69" s="1245">
        <v>0.75318366289138794</v>
      </c>
      <c r="AX69" s="1245">
        <v>0.73905831575393677</v>
      </c>
      <c r="AY69" s="1245">
        <v>0.7371143102645874</v>
      </c>
      <c r="AZ69" s="1245">
        <v>0.8133816123008728</v>
      </c>
      <c r="BA69" s="1245">
        <v>0.6822015643119812</v>
      </c>
      <c r="BB69" s="1245">
        <v>0.67520207166671753</v>
      </c>
      <c r="BC69" s="1245">
        <v>0.69752919673919678</v>
      </c>
      <c r="BD69" s="1245">
        <v>0.7372550368309021</v>
      </c>
      <c r="BE69" s="1245">
        <v>0.76997506618499756</v>
      </c>
    </row>
    <row r="70" spans="1:57" s="220" customFormat="1" x14ac:dyDescent="0.25">
      <c r="A70" s="1254"/>
      <c r="B70" s="1249"/>
      <c r="C70" s="1256"/>
      <c r="D70" s="1245"/>
      <c r="E70" s="1245"/>
      <c r="F70" s="1245"/>
      <c r="G70" s="1245"/>
      <c r="H70" s="1245"/>
      <c r="I70" s="1245"/>
      <c r="J70" s="1245"/>
      <c r="K70" s="1245"/>
      <c r="L70" s="1245"/>
      <c r="M70" s="1245"/>
      <c r="N70" s="1245"/>
      <c r="O70" s="1245"/>
      <c r="P70" s="1245"/>
      <c r="Q70" s="1245"/>
      <c r="R70" s="1245"/>
      <c r="S70" s="1245"/>
      <c r="T70" s="1245"/>
      <c r="U70" s="1245"/>
      <c r="V70" s="1245"/>
      <c r="W70" s="1245"/>
      <c r="X70" s="1245"/>
      <c r="Y70" s="1245"/>
      <c r="Z70" s="1245"/>
      <c r="AA70" s="1245"/>
      <c r="AB70" s="1245"/>
      <c r="AC70" s="1245"/>
      <c r="AD70" s="1245"/>
      <c r="AE70" s="262"/>
      <c r="AF70" s="262"/>
      <c r="AG70" s="1245"/>
      <c r="AH70" s="1245"/>
      <c r="AI70" s="1245"/>
      <c r="AJ70" s="1245"/>
      <c r="AK70" s="1245"/>
      <c r="AL70" s="1245"/>
      <c r="AM70" s="1245"/>
      <c r="AN70" s="1245"/>
      <c r="AO70" s="1245"/>
      <c r="AP70" s="1245"/>
      <c r="AQ70" s="1245"/>
      <c r="AR70" s="1245"/>
      <c r="AS70" s="1245"/>
      <c r="AT70" s="1245"/>
      <c r="AU70" s="1245"/>
      <c r="AV70" s="1245"/>
      <c r="AW70" s="1245"/>
      <c r="AX70" s="1245"/>
      <c r="AY70" s="1245"/>
      <c r="AZ70" s="1245"/>
      <c r="BA70" s="1245"/>
      <c r="BB70" s="1245"/>
      <c r="BC70" s="1245"/>
      <c r="BD70" s="1245"/>
      <c r="BE70" s="1245"/>
    </row>
    <row r="71" spans="1:57" s="220" customFormat="1" x14ac:dyDescent="0.25">
      <c r="A71" s="1254"/>
      <c r="B71" s="1249"/>
      <c r="C71" s="1252" t="s">
        <v>612</v>
      </c>
      <c r="D71" s="1245"/>
      <c r="E71" s="1245"/>
      <c r="F71" s="1245"/>
      <c r="G71" s="1245"/>
      <c r="H71" s="1245"/>
      <c r="I71" s="1245"/>
      <c r="J71" s="1245"/>
      <c r="K71" s="1245"/>
      <c r="L71" s="1245"/>
      <c r="M71" s="1245"/>
      <c r="N71" s="1245"/>
      <c r="O71" s="1245"/>
      <c r="P71" s="1245"/>
      <c r="Q71" s="1245"/>
      <c r="R71" s="1245"/>
      <c r="S71" s="1245"/>
      <c r="T71" s="1245"/>
      <c r="U71" s="1245"/>
      <c r="V71" s="1245"/>
      <c r="W71" s="1245"/>
      <c r="X71" s="1245"/>
      <c r="Y71" s="1245"/>
      <c r="Z71" s="1245"/>
      <c r="AA71" s="1245"/>
      <c r="AB71" s="1245"/>
      <c r="AC71" s="1245"/>
      <c r="AD71" s="1245"/>
      <c r="AE71" s="260"/>
      <c r="AF71" s="260"/>
      <c r="AG71" s="1245"/>
      <c r="AH71" s="1245"/>
      <c r="AI71" s="1245"/>
      <c r="AJ71" s="1245"/>
      <c r="AK71" s="1245"/>
      <c r="AL71" s="1245"/>
      <c r="AM71" s="1245"/>
      <c r="AN71" s="1245"/>
      <c r="AO71" s="1245"/>
      <c r="AP71" s="1245"/>
      <c r="AQ71" s="1245"/>
      <c r="AR71" s="1245"/>
      <c r="AS71" s="1245"/>
      <c r="AT71" s="1245"/>
      <c r="AU71" s="1245"/>
      <c r="AV71" s="1245"/>
      <c r="AW71" s="1245"/>
      <c r="AX71" s="1245"/>
      <c r="AY71" s="1245"/>
      <c r="AZ71" s="1245"/>
      <c r="BA71" s="1245"/>
      <c r="BB71" s="1245"/>
      <c r="BC71" s="1245"/>
      <c r="BD71" s="1245"/>
      <c r="BE71" s="1245"/>
    </row>
    <row r="72" spans="1:57" s="220" customFormat="1" ht="15" customHeight="1" x14ac:dyDescent="0.25">
      <c r="A72" s="1254"/>
      <c r="B72" s="1249"/>
      <c r="C72" s="1257" t="s">
        <v>614</v>
      </c>
      <c r="D72" s="1245" t="s">
        <v>539</v>
      </c>
      <c r="E72" s="1245" t="s">
        <v>540</v>
      </c>
      <c r="F72" s="1245" t="s">
        <v>541</v>
      </c>
      <c r="G72" s="1245" t="s">
        <v>542</v>
      </c>
      <c r="H72" s="1245" t="s">
        <v>543</v>
      </c>
      <c r="I72" s="1245" t="s">
        <v>143</v>
      </c>
      <c r="J72" s="1245" t="s">
        <v>544</v>
      </c>
      <c r="K72" s="1245" t="s">
        <v>545</v>
      </c>
      <c r="L72" s="1245" t="s">
        <v>546</v>
      </c>
      <c r="M72" s="1245" t="s">
        <v>547</v>
      </c>
      <c r="N72" s="1245" t="s">
        <v>548</v>
      </c>
      <c r="O72" s="1245" t="s">
        <v>549</v>
      </c>
      <c r="P72" s="1245" t="s">
        <v>550</v>
      </c>
      <c r="Q72" s="1245" t="s">
        <v>551</v>
      </c>
      <c r="R72" s="1245" t="s">
        <v>552</v>
      </c>
      <c r="S72" s="1245" t="s">
        <v>553</v>
      </c>
      <c r="T72" s="1245" t="s">
        <v>554</v>
      </c>
      <c r="U72" s="1245" t="s">
        <v>555</v>
      </c>
      <c r="V72" s="1245" t="s">
        <v>556</v>
      </c>
      <c r="W72" s="1245" t="s">
        <v>557</v>
      </c>
      <c r="X72" s="1245" t="s">
        <v>558</v>
      </c>
      <c r="Y72" s="1245" t="s">
        <v>559</v>
      </c>
      <c r="Z72" s="1245" t="s">
        <v>560</v>
      </c>
      <c r="AA72" s="1245" t="s">
        <v>561</v>
      </c>
      <c r="AB72" s="1245" t="s">
        <v>562</v>
      </c>
      <c r="AC72" s="1245" t="s">
        <v>563</v>
      </c>
      <c r="AD72" s="1245" t="s">
        <v>564</v>
      </c>
      <c r="AE72" s="260" t="s">
        <v>565</v>
      </c>
      <c r="AF72" s="260" t="s">
        <v>566</v>
      </c>
      <c r="AG72" s="1245" t="s">
        <v>567</v>
      </c>
      <c r="AH72" s="1245" t="s">
        <v>568</v>
      </c>
      <c r="AI72" s="1245" t="s">
        <v>569</v>
      </c>
      <c r="AJ72" s="1245" t="s">
        <v>570</v>
      </c>
      <c r="AK72" s="1245" t="s">
        <v>571</v>
      </c>
      <c r="AL72" s="1245" t="s">
        <v>572</v>
      </c>
      <c r="AM72" s="1245" t="s">
        <v>573</v>
      </c>
      <c r="AN72" s="1245" t="s">
        <v>574</v>
      </c>
      <c r="AO72" s="1245" t="s">
        <v>575</v>
      </c>
      <c r="AP72" s="1245" t="s">
        <v>576</v>
      </c>
      <c r="AQ72" s="1245" t="s">
        <v>577</v>
      </c>
      <c r="AR72" s="1245" t="s">
        <v>578</v>
      </c>
      <c r="AS72" s="1245" t="s">
        <v>579</v>
      </c>
      <c r="AT72" s="1245" t="s">
        <v>580</v>
      </c>
      <c r="AU72" s="1245" t="s">
        <v>581</v>
      </c>
      <c r="AV72" s="1245" t="s">
        <v>582</v>
      </c>
      <c r="AW72" s="1245" t="s">
        <v>583</v>
      </c>
      <c r="AX72" s="1245" t="s">
        <v>1404</v>
      </c>
      <c r="AY72" s="1245" t="s">
        <v>584</v>
      </c>
      <c r="AZ72" s="1245" t="s">
        <v>585</v>
      </c>
      <c r="BA72" s="1245" t="s">
        <v>586</v>
      </c>
      <c r="BB72" s="1245" t="s">
        <v>587</v>
      </c>
      <c r="BC72" s="1245" t="s">
        <v>588</v>
      </c>
      <c r="BD72" s="1245" t="s">
        <v>589</v>
      </c>
      <c r="BE72" s="1245" t="s">
        <v>590</v>
      </c>
    </row>
    <row r="73" spans="1:57" s="220" customFormat="1" x14ac:dyDescent="0.25">
      <c r="A73" s="1254"/>
      <c r="B73" s="1249"/>
      <c r="C73" s="1247" t="s">
        <v>592</v>
      </c>
      <c r="D73" s="1245">
        <v>7.1475125849246979E-2</v>
      </c>
      <c r="E73" s="1245">
        <v>2.9256105422973633E-2</v>
      </c>
      <c r="F73" s="1245">
        <v>5.9685982763767242E-2</v>
      </c>
      <c r="G73" s="1245">
        <v>0.10290594398975372</v>
      </c>
      <c r="H73" s="1245">
        <v>5.9046462178230286E-2</v>
      </c>
      <c r="I73" s="1245">
        <v>0.10989853739738464</v>
      </c>
      <c r="J73" s="1245">
        <v>3.6577768623828888E-2</v>
      </c>
      <c r="K73" s="1245">
        <v>7.3237016797065735E-2</v>
      </c>
      <c r="L73" s="1245">
        <v>5.4880071431398392E-2</v>
      </c>
      <c r="M73" s="1245">
        <v>4.7513276338577271E-2</v>
      </c>
      <c r="N73" s="1245">
        <v>9.3869201838970184E-2</v>
      </c>
      <c r="O73" s="1245">
        <v>4.5586034655570984E-2</v>
      </c>
      <c r="P73" s="1245">
        <v>0.1140865758061409</v>
      </c>
      <c r="Q73" s="1245">
        <v>0.10706116259098053</v>
      </c>
      <c r="R73" s="1245">
        <v>6.0020998120307922E-2</v>
      </c>
      <c r="S73" s="1245">
        <v>9.551490843296051E-2</v>
      </c>
      <c r="T73" s="1245">
        <v>0.11804729700088501</v>
      </c>
      <c r="U73" s="1245">
        <v>5.2609808743000031E-2</v>
      </c>
      <c r="V73" s="1245">
        <v>4.3605498969554901E-2</v>
      </c>
      <c r="W73" s="1245">
        <v>5.9952333569526672E-2</v>
      </c>
      <c r="X73" s="1245">
        <v>5.4205253720283508E-2</v>
      </c>
      <c r="Y73" s="1245">
        <v>3.4785941243171692E-2</v>
      </c>
      <c r="Z73" s="1245">
        <v>5.7785026729106903E-2</v>
      </c>
      <c r="AA73" s="1245">
        <v>0.10003787279129028</v>
      </c>
      <c r="AB73" s="1245">
        <v>7.790866494178772E-2</v>
      </c>
      <c r="AC73" s="1245">
        <v>7.1644321084022522E-2</v>
      </c>
      <c r="AD73" s="1245">
        <v>7.9692885279655457E-2</v>
      </c>
      <c r="AE73" s="260">
        <f>'User Add-in Location'!B78</f>
        <v>0</v>
      </c>
      <c r="AF73" s="260">
        <f>'User Add-in Location'!C78</f>
        <v>0</v>
      </c>
      <c r="AG73" s="1245">
        <v>0.12404529750347137</v>
      </c>
      <c r="AH73" s="1245">
        <v>3.0273757874965668E-2</v>
      </c>
      <c r="AI73" s="1245">
        <v>4.6808250248432159E-2</v>
      </c>
      <c r="AJ73" s="1245">
        <v>3.1531915068626404E-2</v>
      </c>
      <c r="AK73" s="1245">
        <v>8.3876818418502808E-2</v>
      </c>
      <c r="AL73" s="1245">
        <v>6.7235067486763E-2</v>
      </c>
      <c r="AM73" s="1245">
        <v>6.481584906578064E-2</v>
      </c>
      <c r="AN73" s="1245">
        <v>7.9523906111717224E-2</v>
      </c>
      <c r="AO73" s="1245">
        <v>6.2163323163986206E-2</v>
      </c>
      <c r="AP73" s="1245">
        <v>6.3348725438117981E-2</v>
      </c>
      <c r="AQ73" s="1245">
        <v>7.3605090379714966E-2</v>
      </c>
      <c r="AR73" s="1245">
        <v>6.5034136176109314E-2</v>
      </c>
      <c r="AS73" s="1245">
        <v>3.133026510477066E-2</v>
      </c>
      <c r="AT73" s="1245">
        <v>4.7288194298744202E-2</v>
      </c>
      <c r="AU73" s="1245">
        <v>0.12592822313308716</v>
      </c>
      <c r="AV73" s="1245">
        <v>5.4912187159061432E-2</v>
      </c>
      <c r="AW73" s="1245">
        <v>8.2019716501235962E-2</v>
      </c>
      <c r="AX73" s="1245">
        <v>0.16572409868240356</v>
      </c>
      <c r="AY73" s="1245">
        <v>5.6010287255048752E-2</v>
      </c>
      <c r="AZ73" s="1245">
        <v>7.7543504536151886E-2</v>
      </c>
      <c r="BA73" s="1245">
        <v>5.3974252194166183E-2</v>
      </c>
      <c r="BB73" s="1245">
        <v>5.7410672307014465E-2</v>
      </c>
      <c r="BC73" s="1245">
        <v>3.1250335276126862E-2</v>
      </c>
      <c r="BD73" s="1245">
        <v>0.10315808653831482</v>
      </c>
      <c r="BE73" s="1245">
        <v>4.2834348976612091E-2</v>
      </c>
    </row>
    <row r="74" spans="1:57" s="220" customFormat="1" x14ac:dyDescent="0.25">
      <c r="A74" s="1254"/>
      <c r="B74" s="1249"/>
      <c r="C74" s="1247" t="s">
        <v>593</v>
      </c>
      <c r="D74" s="1245">
        <v>6.8435132503509521E-2</v>
      </c>
      <c r="E74" s="1245">
        <v>2.8919186443090439E-2</v>
      </c>
      <c r="F74" s="1245">
        <v>9.4760596752166748E-2</v>
      </c>
      <c r="G74" s="1245">
        <v>7.5667232275009155E-2</v>
      </c>
      <c r="H74" s="1245">
        <v>7.5320951640605927E-2</v>
      </c>
      <c r="I74" s="1245">
        <v>0.10453084111213684</v>
      </c>
      <c r="J74" s="1245">
        <v>0.11509822309017181</v>
      </c>
      <c r="K74" s="1245">
        <v>9.8009772598743439E-2</v>
      </c>
      <c r="L74" s="1245">
        <v>0.11222494393587112</v>
      </c>
      <c r="M74" s="1245">
        <v>0.13341248035430908</v>
      </c>
      <c r="N74" s="1245">
        <v>8.9229747653007507E-2</v>
      </c>
      <c r="O74" s="1245">
        <v>9.0254127979278564E-2</v>
      </c>
      <c r="P74" s="1245">
        <v>8.3986923098564148E-2</v>
      </c>
      <c r="Q74" s="1245">
        <v>0.11576959490776062</v>
      </c>
      <c r="R74" s="1245">
        <v>8.6441926658153534E-2</v>
      </c>
      <c r="S74" s="1245">
        <v>7.9151064157485962E-2</v>
      </c>
      <c r="T74" s="1245">
        <v>0.15168082714080811</v>
      </c>
      <c r="U74" s="1245">
        <v>7.8394785523414612E-2</v>
      </c>
      <c r="V74" s="1245">
        <v>6.3943371176719666E-2</v>
      </c>
      <c r="W74" s="1245">
        <v>0.12410250306129456</v>
      </c>
      <c r="X74" s="1245">
        <v>0.13044579327106476</v>
      </c>
      <c r="Y74" s="1245">
        <v>0.15937015414237976</v>
      </c>
      <c r="Z74" s="1245">
        <v>0.12461639195680618</v>
      </c>
      <c r="AA74" s="1245">
        <v>9.5216765999794006E-2</v>
      </c>
      <c r="AB74" s="1245">
        <v>7.7338047325611115E-2</v>
      </c>
      <c r="AC74" s="1245">
        <v>9.7779318690299988E-2</v>
      </c>
      <c r="AD74" s="1245">
        <v>9.7569778561592102E-2</v>
      </c>
      <c r="AE74" s="260">
        <f>'User Add-in Location'!B79</f>
        <v>0</v>
      </c>
      <c r="AF74" s="260">
        <f>'User Add-in Location'!C79</f>
        <v>0</v>
      </c>
      <c r="AG74" s="1245">
        <v>8.7245747447013855E-2</v>
      </c>
      <c r="AH74" s="1245">
        <v>6.0665234923362732E-2</v>
      </c>
      <c r="AI74" s="1245">
        <v>0.10547582805156708</v>
      </c>
      <c r="AJ74" s="1245">
        <v>0.13210685551166534</v>
      </c>
      <c r="AK74" s="1245">
        <v>8.1110775470733643E-2</v>
      </c>
      <c r="AL74" s="1245">
        <v>0.14236852526664734</v>
      </c>
      <c r="AM74" s="1245">
        <v>8.2671821117401123E-2</v>
      </c>
      <c r="AN74" s="1245">
        <v>7.0508770644664764E-2</v>
      </c>
      <c r="AO74" s="1245">
        <v>0.1106661856174469</v>
      </c>
      <c r="AP74" s="1245">
        <v>0.13182620704174042</v>
      </c>
      <c r="AQ74" s="1245">
        <v>0.11433820426464081</v>
      </c>
      <c r="AR74" s="1245">
        <v>9.0128049254417419E-2</v>
      </c>
      <c r="AS74" s="1245">
        <v>0.11111602932214737</v>
      </c>
      <c r="AT74" s="1245">
        <v>8.1748455762863159E-2</v>
      </c>
      <c r="AU74" s="1245">
        <v>9.1595686972141266E-2</v>
      </c>
      <c r="AV74" s="1245">
        <v>9.3861103057861328E-2</v>
      </c>
      <c r="AW74" s="1245">
        <v>9.1027304530143738E-2</v>
      </c>
      <c r="AX74" s="1245">
        <v>0.14197559654712677</v>
      </c>
      <c r="AY74" s="1245">
        <v>9.3604668974876404E-2</v>
      </c>
      <c r="AZ74" s="1245">
        <v>7.1563765406608582E-2</v>
      </c>
      <c r="BA74" s="1245">
        <v>0.1000417172908783</v>
      </c>
      <c r="BB74" s="1245">
        <v>0.1070806011557579</v>
      </c>
      <c r="BC74" s="1245">
        <v>8.5700333118438721E-2</v>
      </c>
      <c r="BD74" s="1245">
        <v>7.3906496167182922E-2</v>
      </c>
      <c r="BE74" s="1245">
        <v>5.7955686002969742E-2</v>
      </c>
    </row>
    <row r="75" spans="1:57" s="220" customFormat="1" x14ac:dyDescent="0.25">
      <c r="A75" s="1254"/>
      <c r="B75" s="1249"/>
      <c r="C75" s="1247" t="s">
        <v>595</v>
      </c>
      <c r="D75" s="1245">
        <v>0.12155184149742126</v>
      </c>
      <c r="E75" s="1245">
        <v>9.3869648873806E-2</v>
      </c>
      <c r="F75" s="1245">
        <v>0.13714815676212311</v>
      </c>
      <c r="G75" s="1245">
        <v>0.12220568954944611</v>
      </c>
      <c r="H75" s="1245">
        <v>0.17574077844619751</v>
      </c>
      <c r="I75" s="1245">
        <v>0.16414204239845276</v>
      </c>
      <c r="J75" s="1245">
        <v>0.15497986972332001</v>
      </c>
      <c r="K75" s="1245">
        <v>0.13608837127685547</v>
      </c>
      <c r="L75" s="1245">
        <v>8.731483668088913E-2</v>
      </c>
      <c r="M75" s="1245">
        <v>0.15383884310722351</v>
      </c>
      <c r="N75" s="1245">
        <v>0.15120598673820496</v>
      </c>
      <c r="O75" s="1245">
        <v>9.7113050520420074E-2</v>
      </c>
      <c r="P75" s="1245">
        <v>0.13584995269775391</v>
      </c>
      <c r="Q75" s="1245">
        <v>0.14951097965240479</v>
      </c>
      <c r="R75" s="1245">
        <v>0.12412342429161072</v>
      </c>
      <c r="S75" s="1245">
        <v>0.11916922777891159</v>
      </c>
      <c r="T75" s="1245">
        <v>0.13089054822921753</v>
      </c>
      <c r="U75" s="1245">
        <v>0.11853006482124329</v>
      </c>
      <c r="V75" s="1245">
        <v>0.10615894198417664</v>
      </c>
      <c r="W75" s="1245">
        <v>0.14712733030319214</v>
      </c>
      <c r="X75" s="1245">
        <v>0.12162084877490997</v>
      </c>
      <c r="Y75" s="1245">
        <v>0.16212105751037598</v>
      </c>
      <c r="Z75" s="1245">
        <v>0.14914636313915253</v>
      </c>
      <c r="AA75" s="1245">
        <v>0.15415588021278381</v>
      </c>
      <c r="AB75" s="1245">
        <v>0.10449788719415665</v>
      </c>
      <c r="AC75" s="1245">
        <v>0.14591744542121887</v>
      </c>
      <c r="AD75" s="1245">
        <v>0.12755966186523438</v>
      </c>
      <c r="AE75" s="260">
        <f>'User Add-in Location'!B80</f>
        <v>0</v>
      </c>
      <c r="AF75" s="260">
        <f>'User Add-in Location'!C80</f>
        <v>0</v>
      </c>
      <c r="AG75" s="1245">
        <v>0.12196582555770874</v>
      </c>
      <c r="AH75" s="1245">
        <v>5.4499223828315735E-2</v>
      </c>
      <c r="AI75" s="1245">
        <v>0.17345553636550903</v>
      </c>
      <c r="AJ75" s="1245">
        <v>0.14860253036022186</v>
      </c>
      <c r="AK75" s="1245">
        <v>0.10702479630708694</v>
      </c>
      <c r="AL75" s="1245">
        <v>0.13915446400642395</v>
      </c>
      <c r="AM75" s="1245">
        <v>0.15317812561988831</v>
      </c>
      <c r="AN75" s="1245">
        <v>0.11687559634447098</v>
      </c>
      <c r="AO75" s="1245">
        <v>0.15512549877166748</v>
      </c>
      <c r="AP75" s="1245">
        <v>0.1412825882434845</v>
      </c>
      <c r="AQ75" s="1245">
        <v>0.13977663218975067</v>
      </c>
      <c r="AR75" s="1245">
        <v>0.16091740131378174</v>
      </c>
      <c r="AS75" s="1245">
        <v>0.12556728720664978</v>
      </c>
      <c r="AT75" s="1245">
        <v>0.12206400185823441</v>
      </c>
      <c r="AU75" s="1245">
        <v>0.12745127081871033</v>
      </c>
      <c r="AV75" s="1245">
        <v>0.15787053108215332</v>
      </c>
      <c r="AW75" s="1245">
        <v>0.1588500440120697</v>
      </c>
      <c r="AX75" s="1245">
        <v>0.25871437788009644</v>
      </c>
      <c r="AY75" s="1245">
        <v>0.14666247367858887</v>
      </c>
      <c r="AZ75" s="1245">
        <v>0.13884064555168152</v>
      </c>
      <c r="BA75" s="1245">
        <v>0.13415935635566711</v>
      </c>
      <c r="BB75" s="1245">
        <v>0.13278046250343323</v>
      </c>
      <c r="BC75" s="1245">
        <v>9.1787509620189667E-2</v>
      </c>
      <c r="BD75" s="1245">
        <v>0.14014655351638794</v>
      </c>
      <c r="BE75" s="1245">
        <v>7.9310253262519836E-2</v>
      </c>
    </row>
    <row r="76" spans="1:57" s="220" customFormat="1" x14ac:dyDescent="0.25">
      <c r="A76" s="1254"/>
      <c r="B76" s="1249"/>
      <c r="C76" s="1247" t="s">
        <v>596</v>
      </c>
      <c r="D76" s="1245">
        <v>8.8650085031986237E-2</v>
      </c>
      <c r="E76" s="1245">
        <v>9.4196833670139313E-2</v>
      </c>
      <c r="F76" s="1245">
        <v>0.10553905367851257</v>
      </c>
      <c r="G76" s="1245">
        <v>9.8887175321578979E-2</v>
      </c>
      <c r="H76" s="1245">
        <v>0.15556126832962036</v>
      </c>
      <c r="I76" s="1245">
        <v>0.14359860122203827</v>
      </c>
      <c r="J76" s="1245">
        <v>9.5079600811004639E-2</v>
      </c>
      <c r="K76" s="1245">
        <v>9.3742504715919495E-2</v>
      </c>
      <c r="L76" s="1245">
        <v>6.1569318175315857E-2</v>
      </c>
      <c r="M76" s="1245">
        <v>0.114292211830616</v>
      </c>
      <c r="N76" s="1245">
        <v>0.10924142599105835</v>
      </c>
      <c r="O76" s="1245">
        <v>0.10245998203754425</v>
      </c>
      <c r="P76" s="1245">
        <v>0.11180654168128967</v>
      </c>
      <c r="Q76" s="1245">
        <v>0.12775731086730957</v>
      </c>
      <c r="R76" s="1245">
        <v>8.6024090647697449E-2</v>
      </c>
      <c r="S76" s="1245">
        <v>9.7358763217926025E-2</v>
      </c>
      <c r="T76" s="1245">
        <v>0.12365885078907013</v>
      </c>
      <c r="U76" s="1245">
        <v>8.3864584565162659E-2</v>
      </c>
      <c r="V76" s="1245">
        <v>9.6944011747837067E-2</v>
      </c>
      <c r="W76" s="1245">
        <v>9.6773058176040649E-2</v>
      </c>
      <c r="X76" s="1245">
        <v>7.9777412116527557E-2</v>
      </c>
      <c r="Y76" s="1245">
        <v>0.10921596735715866</v>
      </c>
      <c r="Z76" s="1245">
        <v>0.10713927447795868</v>
      </c>
      <c r="AA76" s="1245">
        <v>0.1340128630399704</v>
      </c>
      <c r="AB76" s="1245">
        <v>8.8676288723945618E-2</v>
      </c>
      <c r="AC76" s="1245">
        <v>0.10335975140333176</v>
      </c>
      <c r="AD76" s="1245">
        <v>0.10407392680644989</v>
      </c>
      <c r="AE76" s="260">
        <f>'User Add-in Location'!B81</f>
        <v>0</v>
      </c>
      <c r="AF76" s="260">
        <f>'User Add-in Location'!C81</f>
        <v>0</v>
      </c>
      <c r="AG76" s="1245">
        <v>0.10640329867601395</v>
      </c>
      <c r="AH76" s="1245">
        <v>6.3594870269298553E-2</v>
      </c>
      <c r="AI76" s="1245">
        <v>9.2588678002357483E-2</v>
      </c>
      <c r="AJ76" s="1245">
        <v>0.11363387107849121</v>
      </c>
      <c r="AK76" s="1245">
        <v>0.10967233031988144</v>
      </c>
      <c r="AL76" s="1245">
        <v>0.11077801883220673</v>
      </c>
      <c r="AM76" s="1245">
        <v>9.4135850667953491E-2</v>
      </c>
      <c r="AN76" s="1245">
        <v>0.118796207010746</v>
      </c>
      <c r="AO76" s="1245">
        <v>0.11425000429153442</v>
      </c>
      <c r="AP76" s="1245">
        <v>0.13345849514007568</v>
      </c>
      <c r="AQ76" s="1245">
        <v>0.11126573383808136</v>
      </c>
      <c r="AR76" s="1245">
        <v>0.12469983845949173</v>
      </c>
      <c r="AS76" s="1245">
        <v>8.9070901274681091E-2</v>
      </c>
      <c r="AT76" s="1245">
        <v>7.8198768198490143E-2</v>
      </c>
      <c r="AU76" s="1245">
        <v>0.10316871851682663</v>
      </c>
      <c r="AV76" s="1245">
        <v>9.974256157875061E-2</v>
      </c>
      <c r="AW76" s="1245">
        <v>0.16708973050117493</v>
      </c>
      <c r="AX76" s="1245">
        <v>0.27259361743927002</v>
      </c>
      <c r="AY76" s="1245">
        <v>0.12053241580724716</v>
      </c>
      <c r="AZ76" s="1245">
        <v>9.6678897738456726E-2</v>
      </c>
      <c r="BA76" s="1245">
        <v>8.456120640039444E-2</v>
      </c>
      <c r="BB76" s="1245">
        <v>0.1100388765335083</v>
      </c>
      <c r="BC76" s="1245">
        <v>7.491651177406311E-2</v>
      </c>
      <c r="BD76" s="1245">
        <v>0.11115989834070206</v>
      </c>
      <c r="BE76" s="1245">
        <v>9.0059615671634674E-2</v>
      </c>
    </row>
    <row r="77" spans="1:57" s="220" customFormat="1" x14ac:dyDescent="0.25">
      <c r="A77" s="1254"/>
      <c r="B77" s="1249"/>
      <c r="C77" s="1247" t="s">
        <v>598</v>
      </c>
      <c r="D77" s="1245">
        <v>7.7903188765048981E-2</v>
      </c>
      <c r="E77" s="1245">
        <v>7.9276613891124725E-2</v>
      </c>
      <c r="F77" s="1245">
        <v>0.10682260990142822</v>
      </c>
      <c r="G77" s="1245">
        <v>6.9658324122428894E-2</v>
      </c>
      <c r="H77" s="1245">
        <v>0.15849040448665619</v>
      </c>
      <c r="I77" s="1245">
        <v>0.12005691230297089</v>
      </c>
      <c r="J77" s="1245">
        <v>0.10252566635608673</v>
      </c>
      <c r="K77" s="1245">
        <v>8.2358211278915405E-2</v>
      </c>
      <c r="L77" s="1245">
        <v>0</v>
      </c>
      <c r="M77" s="1245">
        <v>0.11235198378562927</v>
      </c>
      <c r="N77" s="1245">
        <v>0.1009477898478508</v>
      </c>
      <c r="O77" s="1245">
        <v>8.67934450507164E-2</v>
      </c>
      <c r="P77" s="1245">
        <v>8.4558106958866119E-2</v>
      </c>
      <c r="Q77" s="1245">
        <v>0.11974798142910004</v>
      </c>
      <c r="R77" s="1245">
        <v>8.3313815295696259E-2</v>
      </c>
      <c r="S77" s="1245">
        <v>7.9005330801010132E-2</v>
      </c>
      <c r="T77" s="1245">
        <v>8.5858084261417389E-2</v>
      </c>
      <c r="U77" s="1245">
        <v>7.4793800711631775E-2</v>
      </c>
      <c r="V77" s="1245">
        <v>6.9478981196880341E-2</v>
      </c>
      <c r="W77" s="1245">
        <v>8.4860518574714661E-2</v>
      </c>
      <c r="X77" s="1245">
        <v>8.8795319199562073E-2</v>
      </c>
      <c r="Y77" s="1245">
        <v>0.1158885657787323</v>
      </c>
      <c r="Z77" s="1245">
        <v>0.10559935867786407</v>
      </c>
      <c r="AA77" s="1245">
        <v>0.1238543689250946</v>
      </c>
      <c r="AB77" s="1245">
        <v>6.537078320980072E-2</v>
      </c>
      <c r="AC77" s="1245">
        <v>9.3535766005516052E-2</v>
      </c>
      <c r="AD77" s="1245">
        <v>7.6311282813549042E-2</v>
      </c>
      <c r="AE77" s="260">
        <f>'User Add-in Location'!B82</f>
        <v>0</v>
      </c>
      <c r="AF77" s="260">
        <f>'User Add-in Location'!C82</f>
        <v>0</v>
      </c>
      <c r="AG77" s="1245">
        <v>7.9512029886245728E-2</v>
      </c>
      <c r="AH77" s="1245">
        <v>6.2572486698627472E-2</v>
      </c>
      <c r="AI77" s="1245">
        <v>9.447769820690155E-2</v>
      </c>
      <c r="AJ77" s="1245">
        <v>0.11068589240312576</v>
      </c>
      <c r="AK77" s="1245">
        <v>7.265743613243103E-2</v>
      </c>
      <c r="AL77" s="1245">
        <v>0.11207485198974609</v>
      </c>
      <c r="AM77" s="1245">
        <v>0.1037939190864563</v>
      </c>
      <c r="AN77" s="1245">
        <v>8.1302300095558167E-2</v>
      </c>
      <c r="AO77" s="1245">
        <v>0.10805267095565796</v>
      </c>
      <c r="AP77" s="1245">
        <v>8.3406761288642883E-2</v>
      </c>
      <c r="AQ77" s="1245">
        <v>9.915720671415329E-2</v>
      </c>
      <c r="AR77" s="1245">
        <v>0.11902008205652237</v>
      </c>
      <c r="AS77" s="1245">
        <v>0.10118520259857178</v>
      </c>
      <c r="AT77" s="1245">
        <v>7.2985053062438965E-2</v>
      </c>
      <c r="AU77" s="1245">
        <v>7.4248418211936951E-2</v>
      </c>
      <c r="AV77" s="1245">
        <v>9.6330761909484863E-2</v>
      </c>
      <c r="AW77" s="1245">
        <v>0.13167208433151245</v>
      </c>
      <c r="AX77" s="1245">
        <v>0.25825643539428711</v>
      </c>
      <c r="AY77" s="1245">
        <v>0.11451167613267899</v>
      </c>
      <c r="AZ77" s="1245">
        <v>7.809671014547348E-2</v>
      </c>
      <c r="BA77" s="1245">
        <v>8.4882661700248718E-2</v>
      </c>
      <c r="BB77" s="1245">
        <v>0.1046898141503334</v>
      </c>
      <c r="BC77" s="1245">
        <v>6.4693666994571686E-2</v>
      </c>
      <c r="BD77" s="1245">
        <v>9.8614536225795746E-2</v>
      </c>
      <c r="BE77" s="1245">
        <v>5.51154725253582E-2</v>
      </c>
    </row>
    <row r="78" spans="1:57" s="220" customFormat="1" x14ac:dyDescent="0.25">
      <c r="A78" s="1254"/>
      <c r="B78" s="1249"/>
      <c r="C78" s="1247" t="s">
        <v>599</v>
      </c>
      <c r="D78" s="1245">
        <v>9.1563522815704346E-2</v>
      </c>
      <c r="E78" s="1245">
        <v>7.9801343381404877E-2</v>
      </c>
      <c r="F78" s="1245">
        <v>0.10321354120969772</v>
      </c>
      <c r="G78" s="1245">
        <v>8.6965121328830719E-2</v>
      </c>
      <c r="H78" s="1245">
        <v>0.15607982873916626</v>
      </c>
      <c r="I78" s="1245">
        <v>0.14072944223880768</v>
      </c>
      <c r="J78" s="1245">
        <v>0.11067423969507217</v>
      </c>
      <c r="K78" s="1245">
        <v>8.1310831010341644E-2</v>
      </c>
      <c r="L78" s="1245">
        <v>9.6530504524707794E-2</v>
      </c>
      <c r="M78" s="1245">
        <v>0.12643055617809296</v>
      </c>
      <c r="N78" s="1245">
        <v>0.10826064646244049</v>
      </c>
      <c r="O78" s="1245">
        <v>0.10664207488298416</v>
      </c>
      <c r="P78" s="1245">
        <v>9.5895290374755859E-2</v>
      </c>
      <c r="Q78" s="1245">
        <v>0.11868971586227417</v>
      </c>
      <c r="R78" s="1245">
        <v>9.5345579087734222E-2</v>
      </c>
      <c r="S78" s="1245">
        <v>8.0984979867935181E-2</v>
      </c>
      <c r="T78" s="1245">
        <v>0.10293855518102646</v>
      </c>
      <c r="U78" s="1245">
        <v>8.6717233061790466E-2</v>
      </c>
      <c r="V78" s="1245">
        <v>8.1272155046463013E-2</v>
      </c>
      <c r="W78" s="1245">
        <v>9.3245342373847961E-2</v>
      </c>
      <c r="X78" s="1245">
        <v>0.10539355874061584</v>
      </c>
      <c r="Y78" s="1245">
        <v>0.12495527416467667</v>
      </c>
      <c r="Z78" s="1245">
        <v>0.10982595384120941</v>
      </c>
      <c r="AA78" s="1245">
        <v>0.14555691182613373</v>
      </c>
      <c r="AB78" s="1245">
        <v>7.3171183466911316E-2</v>
      </c>
      <c r="AC78" s="1245">
        <v>0.12028893083333969</v>
      </c>
      <c r="AD78" s="1245">
        <v>9.5842510461807251E-2</v>
      </c>
      <c r="AE78" s="260">
        <f>'User Add-in Location'!B83</f>
        <v>0</v>
      </c>
      <c r="AF78" s="260">
        <f>'User Add-in Location'!C83</f>
        <v>0</v>
      </c>
      <c r="AG78" s="1245">
        <v>8.5779234766960144E-2</v>
      </c>
      <c r="AH78" s="1245">
        <v>6.9658964872360229E-2</v>
      </c>
      <c r="AI78" s="1245">
        <v>8.0226629972457886E-2</v>
      </c>
      <c r="AJ78" s="1245">
        <v>0.11237877607345581</v>
      </c>
      <c r="AK78" s="1245">
        <v>7.7934913337230682E-2</v>
      </c>
      <c r="AL78" s="1245">
        <v>0.11515666544437408</v>
      </c>
      <c r="AM78" s="1245">
        <v>9.7123026847839355E-2</v>
      </c>
      <c r="AN78" s="1245">
        <v>9.5949538052082062E-2</v>
      </c>
      <c r="AO78" s="1245">
        <v>0.116291344165802</v>
      </c>
      <c r="AP78" s="1245">
        <v>8.697684109210968E-2</v>
      </c>
      <c r="AQ78" s="1245">
        <v>0.11011114716529846</v>
      </c>
      <c r="AR78" s="1245">
        <v>0.12323678284883499</v>
      </c>
      <c r="AS78" s="1245">
        <v>8.7618239223957062E-2</v>
      </c>
      <c r="AT78" s="1245">
        <v>7.8876607120037079E-2</v>
      </c>
      <c r="AU78" s="1245">
        <v>9.1022670269012451E-2</v>
      </c>
      <c r="AV78" s="1245">
        <v>0.10688409954309464</v>
      </c>
      <c r="AW78" s="1245">
        <v>0.13355334103107452</v>
      </c>
      <c r="AX78" s="1245">
        <v>0.27491024136543274</v>
      </c>
      <c r="AY78" s="1245">
        <v>0.11835538595914841</v>
      </c>
      <c r="AZ78" s="1245">
        <v>7.188965380191803E-2</v>
      </c>
      <c r="BA78" s="1245">
        <v>9.5186337828636169E-2</v>
      </c>
      <c r="BB78" s="1245">
        <v>0.11607250571250916</v>
      </c>
      <c r="BC78" s="1245">
        <v>6.2296554446220398E-2</v>
      </c>
      <c r="BD78" s="1245">
        <v>0.11218935996294022</v>
      </c>
      <c r="BE78" s="1245">
        <v>7.0825651288032532E-2</v>
      </c>
    </row>
    <row r="79" spans="1:57" s="220" customFormat="1" x14ac:dyDescent="0.25">
      <c r="A79" s="1254"/>
      <c r="B79" s="1249"/>
      <c r="C79" s="1247" t="s">
        <v>601</v>
      </c>
      <c r="D79" s="1245">
        <v>0.10079137980937958</v>
      </c>
      <c r="E79" s="1245">
        <v>0</v>
      </c>
      <c r="F79" s="1245">
        <v>0.14319026470184326</v>
      </c>
      <c r="G79" s="1245">
        <v>9.5496527850627899E-2</v>
      </c>
      <c r="H79" s="1245">
        <v>0.18668937683105469</v>
      </c>
      <c r="I79" s="1245">
        <v>0.15501230955123901</v>
      </c>
      <c r="J79" s="1245">
        <v>0.13150760531425476</v>
      </c>
      <c r="K79" s="1245">
        <v>9.7824215888977051E-2</v>
      </c>
      <c r="L79" s="1245">
        <v>6.0731519013643265E-2</v>
      </c>
      <c r="M79" s="1245">
        <v>0.14623446762561798</v>
      </c>
      <c r="N79" s="1245">
        <v>0.12767399847507477</v>
      </c>
      <c r="O79" s="1245">
        <v>0.10051543265581131</v>
      </c>
      <c r="P79" s="1245">
        <v>0.1131548210978508</v>
      </c>
      <c r="Q79" s="1245">
        <v>0.13667087256908417</v>
      </c>
      <c r="R79" s="1245">
        <v>9.1000139713287354E-2</v>
      </c>
      <c r="S79" s="1245">
        <v>9.5797903835773468E-2</v>
      </c>
      <c r="T79" s="1245">
        <v>9.469711035490036E-2</v>
      </c>
      <c r="U79" s="1245">
        <v>9.9468186497688293E-2</v>
      </c>
      <c r="V79" s="1245">
        <v>8.2757167518138885E-2</v>
      </c>
      <c r="W79" s="1245">
        <v>9.999578446149826E-2</v>
      </c>
      <c r="X79" s="1245">
        <v>0.11426862329244614</v>
      </c>
      <c r="Y79" s="1245">
        <v>0.16792561113834381</v>
      </c>
      <c r="Z79" s="1245">
        <v>0.13457515835762024</v>
      </c>
      <c r="AA79" s="1245">
        <v>0.17274360358715057</v>
      </c>
      <c r="AB79" s="1245">
        <v>8.7973669171333313E-2</v>
      </c>
      <c r="AC79" s="1245">
        <v>9.402158111333847E-2</v>
      </c>
      <c r="AD79" s="1245">
        <v>0.11030490696430206</v>
      </c>
      <c r="AE79" s="260">
        <f>'User Add-in Location'!B84</f>
        <v>0</v>
      </c>
      <c r="AF79" s="260">
        <f>'User Add-in Location'!C84</f>
        <v>0</v>
      </c>
      <c r="AG79" s="1245">
        <v>9.863927960395813E-2</v>
      </c>
      <c r="AH79" s="1245">
        <v>5.8487296104431152E-2</v>
      </c>
      <c r="AI79" s="1245">
        <v>0.13179592788219452</v>
      </c>
      <c r="AJ79" s="1245">
        <v>0.14450488984584808</v>
      </c>
      <c r="AK79" s="1245">
        <v>7.1172356605529785E-2</v>
      </c>
      <c r="AL79" s="1245">
        <v>0.15476050972938538</v>
      </c>
      <c r="AM79" s="1245">
        <v>0.12427230179309845</v>
      </c>
      <c r="AN79" s="1245">
        <v>0.12072880566120148</v>
      </c>
      <c r="AO79" s="1245">
        <v>0.13298231363296509</v>
      </c>
      <c r="AP79" s="1245">
        <v>0.10800883173942566</v>
      </c>
      <c r="AQ79" s="1245">
        <v>6.2976017594337463E-2</v>
      </c>
      <c r="AR79" s="1245">
        <v>0.13528718054294586</v>
      </c>
      <c r="AS79" s="1245">
        <v>0.12992596626281738</v>
      </c>
      <c r="AT79" s="1245">
        <v>8.132423460483551E-2</v>
      </c>
      <c r="AU79" s="1245">
        <v>0.10659033805131912</v>
      </c>
      <c r="AV79" s="1245">
        <v>0.1113918125629425</v>
      </c>
      <c r="AW79" s="1245">
        <v>0.15188482403755188</v>
      </c>
      <c r="AX79" s="1245">
        <v>0.23988394439220428</v>
      </c>
      <c r="AY79" s="1245">
        <v>0.1460379958152771</v>
      </c>
      <c r="AZ79" s="1245">
        <v>0.13028723001480103</v>
      </c>
      <c r="BA79" s="1245">
        <v>0.12617930769920349</v>
      </c>
      <c r="BB79" s="1245">
        <v>0.12800335884094238</v>
      </c>
      <c r="BC79" s="1245">
        <v>8.9926429092884064E-2</v>
      </c>
      <c r="BD79" s="1245">
        <v>0.12549513578414917</v>
      </c>
      <c r="BE79" s="1245">
        <v>8.0993145704269409E-2</v>
      </c>
    </row>
    <row r="80" spans="1:57" s="220" customFormat="1" x14ac:dyDescent="0.25">
      <c r="A80" s="1254"/>
      <c r="B80" s="1249"/>
      <c r="C80" s="1247" t="s">
        <v>602</v>
      </c>
      <c r="D80" s="1245">
        <v>0.12827518582344055</v>
      </c>
      <c r="E80" s="1245">
        <v>8.2434341311454773E-2</v>
      </c>
      <c r="F80" s="1245">
        <v>0.13471275568008423</v>
      </c>
      <c r="G80" s="1245">
        <v>0.12086257338523865</v>
      </c>
      <c r="H80" s="1245">
        <v>0.16031894087791443</v>
      </c>
      <c r="I80" s="1245">
        <v>0.16642020642757416</v>
      </c>
      <c r="J80" s="1245">
        <v>0.13360138237476349</v>
      </c>
      <c r="K80" s="1245">
        <v>0.12985116243362427</v>
      </c>
      <c r="L80" s="1245">
        <v>0.11569172143936157</v>
      </c>
      <c r="M80" s="1245">
        <v>0.13988804817199707</v>
      </c>
      <c r="N80" s="1245">
        <v>0.14058580994606018</v>
      </c>
      <c r="O80" s="1245">
        <v>0.10918384790420532</v>
      </c>
      <c r="P80" s="1245">
        <v>0.11965075880289078</v>
      </c>
      <c r="Q80" s="1245">
        <v>0.16447374224662781</v>
      </c>
      <c r="R80" s="1245">
        <v>0.12558209896087646</v>
      </c>
      <c r="S80" s="1245">
        <v>0.11648903787136078</v>
      </c>
      <c r="T80" s="1245">
        <v>0.12519086897373199</v>
      </c>
      <c r="U80" s="1245">
        <v>0.12026705592870712</v>
      </c>
      <c r="V80" s="1245">
        <v>0.13244558870792389</v>
      </c>
      <c r="W80" s="1245">
        <v>0.11396555602550507</v>
      </c>
      <c r="X80" s="1245">
        <v>0.12549519538879395</v>
      </c>
      <c r="Y80" s="1245">
        <v>0.15439207851886749</v>
      </c>
      <c r="Z80" s="1245">
        <v>0.14049398899078369</v>
      </c>
      <c r="AA80" s="1245">
        <v>0.1698901355266571</v>
      </c>
      <c r="AB80" s="1245">
        <v>0.11384116113185883</v>
      </c>
      <c r="AC80" s="1245">
        <v>0.13443396985530853</v>
      </c>
      <c r="AD80" s="1245">
        <v>0.12761697173118591</v>
      </c>
      <c r="AE80" s="260">
        <f>'User Add-in Location'!B85</f>
        <v>0</v>
      </c>
      <c r="AF80" s="260">
        <f>'User Add-in Location'!C85</f>
        <v>0</v>
      </c>
      <c r="AG80" s="1245">
        <v>9.2955082654953003E-2</v>
      </c>
      <c r="AH80" s="1245">
        <v>0</v>
      </c>
      <c r="AI80" s="1245">
        <v>0.12560957670211792</v>
      </c>
      <c r="AJ80" s="1245">
        <v>0.13591885566711426</v>
      </c>
      <c r="AK80" s="1245">
        <v>0.11467255651950836</v>
      </c>
      <c r="AL80" s="1245">
        <v>0.16554474830627441</v>
      </c>
      <c r="AM80" s="1245">
        <v>0.12600119411945343</v>
      </c>
      <c r="AN80" s="1245">
        <v>0.13878814876079559</v>
      </c>
      <c r="AO80" s="1245">
        <v>0.13224172592163086</v>
      </c>
      <c r="AP80" s="1245">
        <v>0.15369461476802826</v>
      </c>
      <c r="AQ80" s="1245">
        <v>0.12136144936084747</v>
      </c>
      <c r="AR80" s="1245">
        <v>0.15405112504959106</v>
      </c>
      <c r="AS80" s="1245">
        <v>0.12133406102657318</v>
      </c>
      <c r="AT80" s="1245">
        <v>0.111933633685112</v>
      </c>
      <c r="AU80" s="1245">
        <v>0.12163866311311722</v>
      </c>
      <c r="AV80" s="1245">
        <v>0.1485515832901001</v>
      </c>
      <c r="AW80" s="1245">
        <v>0.17746029794216156</v>
      </c>
      <c r="AX80" s="1245">
        <v>0.24537524580955505</v>
      </c>
      <c r="AY80" s="1245">
        <v>0.15591536462306976</v>
      </c>
      <c r="AZ80" s="1245">
        <v>0.13232314586639404</v>
      </c>
      <c r="BA80" s="1245">
        <v>0.13013797998428345</v>
      </c>
      <c r="BB80" s="1245">
        <v>0.12593762576580048</v>
      </c>
      <c r="BC80" s="1245">
        <v>0.12033390253782272</v>
      </c>
      <c r="BD80" s="1245">
        <v>0.12930016219615936</v>
      </c>
      <c r="BE80" s="1245">
        <v>0.1020248606801033</v>
      </c>
    </row>
    <row r="81" spans="1:57" s="220" customFormat="1" x14ac:dyDescent="0.25">
      <c r="A81" s="1254"/>
      <c r="B81" s="1249"/>
      <c r="C81" s="1247" t="s">
        <v>603</v>
      </c>
      <c r="D81" s="1245">
        <v>0.11166476458311081</v>
      </c>
      <c r="E81" s="1245">
        <v>0.10028589516878128</v>
      </c>
      <c r="F81" s="1245">
        <v>0.1399729996919632</v>
      </c>
      <c r="G81" s="1245">
        <v>9.2180497944355011E-2</v>
      </c>
      <c r="H81" s="1245">
        <v>0.14982107281684875</v>
      </c>
      <c r="I81" s="1245">
        <v>0.15098834037780762</v>
      </c>
      <c r="J81" s="1245">
        <v>0.13124832510948181</v>
      </c>
      <c r="K81" s="1245">
        <v>0.11739148199558258</v>
      </c>
      <c r="L81" s="1245">
        <v>0.12332293391227722</v>
      </c>
      <c r="M81" s="1245">
        <v>0.14211134612560272</v>
      </c>
      <c r="N81" s="1245">
        <v>0.1264350563287735</v>
      </c>
      <c r="O81" s="1245">
        <v>0.13368478417396545</v>
      </c>
      <c r="P81" s="1245">
        <v>0.11949293315410614</v>
      </c>
      <c r="Q81" s="1245">
        <v>0.14436843991279602</v>
      </c>
      <c r="R81" s="1245">
        <v>0.11323650181293488</v>
      </c>
      <c r="S81" s="1245">
        <v>0.11388175189495087</v>
      </c>
      <c r="T81" s="1245">
        <v>0.1148410364985466</v>
      </c>
      <c r="U81" s="1245">
        <v>0.1054169237613678</v>
      </c>
      <c r="V81" s="1245">
        <v>0.10283297300338745</v>
      </c>
      <c r="W81" s="1245">
        <v>0.12648563086986542</v>
      </c>
      <c r="X81" s="1245">
        <v>0.12776303291320801</v>
      </c>
      <c r="Y81" s="1245">
        <v>0.16123943030834198</v>
      </c>
      <c r="Z81" s="1245">
        <v>0.12642979621887207</v>
      </c>
      <c r="AA81" s="1245">
        <v>0.15456253290176392</v>
      </c>
      <c r="AB81" s="1245">
        <v>9.4344809651374817E-2</v>
      </c>
      <c r="AC81" s="1245">
        <v>0.13762500882148743</v>
      </c>
      <c r="AD81" s="1245">
        <v>0.11149919033050537</v>
      </c>
      <c r="AE81" s="260">
        <f>'User Add-in Location'!B86</f>
        <v>0</v>
      </c>
      <c r="AF81" s="260">
        <f>'User Add-in Location'!C86</f>
        <v>0</v>
      </c>
      <c r="AG81" s="1245">
        <v>0.12715846300125122</v>
      </c>
      <c r="AH81" s="1245">
        <v>9.9406741559505463E-2</v>
      </c>
      <c r="AI81" s="1245">
        <v>0.14050388336181641</v>
      </c>
      <c r="AJ81" s="1245">
        <v>0.13565295934677124</v>
      </c>
      <c r="AK81" s="1245">
        <v>0.1036418229341507</v>
      </c>
      <c r="AL81" s="1245">
        <v>0.14366075396537781</v>
      </c>
      <c r="AM81" s="1245">
        <v>0.13833326101303101</v>
      </c>
      <c r="AN81" s="1245">
        <v>0.10558784008026123</v>
      </c>
      <c r="AO81" s="1245">
        <v>0.13905173540115356</v>
      </c>
      <c r="AP81" s="1245">
        <v>0.11534467339515686</v>
      </c>
      <c r="AQ81" s="1245">
        <v>0.13215044140815735</v>
      </c>
      <c r="AR81" s="1245">
        <v>0.14153480529785156</v>
      </c>
      <c r="AS81" s="1245">
        <v>0.14614541828632355</v>
      </c>
      <c r="AT81" s="1245">
        <v>0.10789800435304642</v>
      </c>
      <c r="AU81" s="1245">
        <v>0.11268718540668488</v>
      </c>
      <c r="AV81" s="1245">
        <v>0.13767923414707184</v>
      </c>
      <c r="AW81" s="1245">
        <v>0.12818044424057007</v>
      </c>
      <c r="AX81" s="1245">
        <v>0.18162813782691956</v>
      </c>
      <c r="AY81" s="1245">
        <v>0.14496718347072601</v>
      </c>
      <c r="AZ81" s="1245">
        <v>0.12965719401836395</v>
      </c>
      <c r="BA81" s="1245">
        <v>0.13037389516830444</v>
      </c>
      <c r="BB81" s="1245">
        <v>0.12081979215145111</v>
      </c>
      <c r="BC81" s="1245">
        <v>9.7458697855472565E-2</v>
      </c>
      <c r="BD81" s="1245">
        <v>0.133180171251297</v>
      </c>
      <c r="BE81" s="1245">
        <v>7.397635281085968E-2</v>
      </c>
    </row>
    <row r="82" spans="1:57" s="220" customFormat="1" x14ac:dyDescent="0.25">
      <c r="A82" s="1254"/>
      <c r="B82" s="1249"/>
      <c r="C82" s="1247" t="s">
        <v>604</v>
      </c>
      <c r="D82" s="1245">
        <v>9.3119144439697266E-2</v>
      </c>
      <c r="E82" s="1245">
        <v>9.5111101865768433E-2</v>
      </c>
      <c r="F82" s="1245">
        <v>0.1189127117395401</v>
      </c>
      <c r="G82" s="1245">
        <v>9.2304140329360962E-2</v>
      </c>
      <c r="H82" s="1245">
        <v>0.12177841365337372</v>
      </c>
      <c r="I82" s="1245">
        <v>0.13820217549800873</v>
      </c>
      <c r="J82" s="1245">
        <v>0.13346719741821289</v>
      </c>
      <c r="K82" s="1245">
        <v>0.12489917874336243</v>
      </c>
      <c r="L82" s="1245">
        <v>0.12007161974906921</v>
      </c>
      <c r="M82" s="1245">
        <v>0.13023604452610016</v>
      </c>
      <c r="N82" s="1245">
        <v>0.12387368828058243</v>
      </c>
      <c r="O82" s="1245">
        <v>9.1361813247203827E-2</v>
      </c>
      <c r="P82" s="1245">
        <v>0.1008361428976059</v>
      </c>
      <c r="Q82" s="1245">
        <v>0.14068745076656342</v>
      </c>
      <c r="R82" s="1245">
        <v>0.10353030264377594</v>
      </c>
      <c r="S82" s="1245">
        <v>0.11211446672677994</v>
      </c>
      <c r="T82" s="1245">
        <v>0.10555128753185272</v>
      </c>
      <c r="U82" s="1245">
        <v>0.10707594454288483</v>
      </c>
      <c r="V82" s="1245">
        <v>8.9543245732784271E-2</v>
      </c>
      <c r="W82" s="1245">
        <v>0.11388467252254486</v>
      </c>
      <c r="X82" s="1245">
        <v>0.11576870083808899</v>
      </c>
      <c r="Y82" s="1245">
        <v>0.16142274439334869</v>
      </c>
      <c r="Z82" s="1245">
        <v>0.11310205608606339</v>
      </c>
      <c r="AA82" s="1245">
        <v>0.14721772074699402</v>
      </c>
      <c r="AB82" s="1245">
        <v>8.1887990236282349E-2</v>
      </c>
      <c r="AC82" s="1245">
        <v>0.1285540908575058</v>
      </c>
      <c r="AD82" s="1245">
        <v>0.1087879091501236</v>
      </c>
      <c r="AE82" s="260">
        <f>'User Add-in Location'!B87</f>
        <v>0</v>
      </c>
      <c r="AF82" s="260">
        <f>'User Add-in Location'!C87</f>
        <v>0</v>
      </c>
      <c r="AG82" s="1245">
        <v>0.11985912919044495</v>
      </c>
      <c r="AH82" s="1245">
        <v>8.0730073153972626E-2</v>
      </c>
      <c r="AI82" s="1245">
        <v>0.13268056511878967</v>
      </c>
      <c r="AJ82" s="1245">
        <v>0.12726649641990662</v>
      </c>
      <c r="AK82" s="1245">
        <v>8.2080818712711334E-2</v>
      </c>
      <c r="AL82" s="1245">
        <v>0.1357397735118866</v>
      </c>
      <c r="AM82" s="1245">
        <v>0.13467055559158325</v>
      </c>
      <c r="AN82" s="1245">
        <v>0.10515595972537994</v>
      </c>
      <c r="AO82" s="1245">
        <v>0.1253974437713623</v>
      </c>
      <c r="AP82" s="1245">
        <v>0.10646405071020126</v>
      </c>
      <c r="AQ82" s="1245">
        <v>0.1285955011844635</v>
      </c>
      <c r="AR82" s="1245">
        <v>0.14656990766525269</v>
      </c>
      <c r="AS82" s="1245">
        <v>0.12989789247512817</v>
      </c>
      <c r="AT82" s="1245">
        <v>9.975026547908783E-2</v>
      </c>
      <c r="AU82" s="1245">
        <v>0.10470087081193924</v>
      </c>
      <c r="AV82" s="1245">
        <v>0.12239081412553787</v>
      </c>
      <c r="AW82" s="1245">
        <v>0.12232407927513123</v>
      </c>
      <c r="AX82" s="1245">
        <v>0.1690814346075058</v>
      </c>
      <c r="AY82" s="1245">
        <v>0.12325340509414673</v>
      </c>
      <c r="AZ82" s="1245">
        <v>0.10607906430959702</v>
      </c>
      <c r="BA82" s="1245">
        <v>0.12129335105419159</v>
      </c>
      <c r="BB82" s="1245">
        <v>9.2421069741249084E-2</v>
      </c>
      <c r="BC82" s="1245">
        <v>8.6135149002075195E-2</v>
      </c>
      <c r="BD82" s="1245">
        <v>0.12198145687580109</v>
      </c>
      <c r="BE82" s="1245">
        <v>7.3654584586620331E-2</v>
      </c>
    </row>
    <row r="83" spans="1:57" s="220" customFormat="1" x14ac:dyDescent="0.25">
      <c r="A83" s="1254"/>
      <c r="B83" s="1249"/>
      <c r="C83" s="1247" t="s">
        <v>605</v>
      </c>
      <c r="D83" s="1245">
        <v>0.1212228536605835</v>
      </c>
      <c r="E83" s="1245">
        <v>8.7370581924915314E-2</v>
      </c>
      <c r="F83" s="1245">
        <v>0.16134850680828094</v>
      </c>
      <c r="G83" s="1245">
        <v>0.1030617356300354</v>
      </c>
      <c r="H83" s="1245">
        <v>0.13312092423439026</v>
      </c>
      <c r="I83" s="1245">
        <v>0.17303526401519775</v>
      </c>
      <c r="J83" s="1245">
        <v>0.14823374152183533</v>
      </c>
      <c r="K83" s="1245">
        <v>7.8486517071723938E-2</v>
      </c>
      <c r="L83" s="1245">
        <v>9.4597257673740387E-2</v>
      </c>
      <c r="M83" s="1245">
        <v>0.17084799706935883</v>
      </c>
      <c r="N83" s="1245">
        <v>0.12836536765098572</v>
      </c>
      <c r="O83" s="1245">
        <v>9.5793403685092926E-2</v>
      </c>
      <c r="P83" s="1245">
        <v>0.13083672523498535</v>
      </c>
      <c r="Q83" s="1245">
        <v>0.14385113120079041</v>
      </c>
      <c r="R83" s="1245">
        <v>0.10545159876346588</v>
      </c>
      <c r="S83" s="1245">
        <v>0.11123842000961304</v>
      </c>
      <c r="T83" s="1245">
        <v>0.12853929400444031</v>
      </c>
      <c r="U83" s="1245">
        <v>0.11624178290367126</v>
      </c>
      <c r="V83" s="1245">
        <v>0.11114140599966049</v>
      </c>
      <c r="W83" s="1245">
        <v>0.11467360705137253</v>
      </c>
      <c r="X83" s="1245">
        <v>0.1146174743771553</v>
      </c>
      <c r="Y83" s="1245">
        <v>0.15253040194511414</v>
      </c>
      <c r="Z83" s="1245">
        <v>0.13255152106285095</v>
      </c>
      <c r="AA83" s="1245">
        <v>0.16770584881305695</v>
      </c>
      <c r="AB83" s="1245">
        <v>0.10396099090576172</v>
      </c>
      <c r="AC83" s="1245">
        <v>0.13008168339729309</v>
      </c>
      <c r="AD83" s="1245">
        <v>0.10930600017309189</v>
      </c>
      <c r="AE83" s="260">
        <f>'User Add-in Location'!B88</f>
        <v>0</v>
      </c>
      <c r="AF83" s="260">
        <f>'User Add-in Location'!C88</f>
        <v>0</v>
      </c>
      <c r="AG83" s="1245">
        <v>0.12629730999469757</v>
      </c>
      <c r="AH83" s="1245">
        <v>0</v>
      </c>
      <c r="AI83" s="1245">
        <v>0.13429024815559387</v>
      </c>
      <c r="AJ83" s="1245">
        <v>0.14660905301570892</v>
      </c>
      <c r="AK83" s="1245">
        <v>8.3259120583534241E-2</v>
      </c>
      <c r="AL83" s="1245">
        <v>0.10734497010707855</v>
      </c>
      <c r="AM83" s="1245">
        <v>0.11650374531745911</v>
      </c>
      <c r="AN83" s="1245">
        <v>0.11834735423326492</v>
      </c>
      <c r="AO83" s="1245">
        <v>0.12204188108444214</v>
      </c>
      <c r="AP83" s="1245">
        <v>0.13605980575084686</v>
      </c>
      <c r="AQ83" s="1245">
        <v>0.1194038987159729</v>
      </c>
      <c r="AR83" s="1245">
        <v>0.15069004893302917</v>
      </c>
      <c r="AS83" s="1245">
        <v>0.13361991941928864</v>
      </c>
      <c r="AT83" s="1245">
        <v>0.12318538874387741</v>
      </c>
      <c r="AU83" s="1245">
        <v>8.6799673736095428E-2</v>
      </c>
      <c r="AV83" s="1245">
        <v>0.13582116365432739</v>
      </c>
      <c r="AW83" s="1245">
        <v>0.17883886396884918</v>
      </c>
      <c r="AX83" s="1245">
        <v>0.1784515380859375</v>
      </c>
      <c r="AY83" s="1245">
        <v>0.14015594124794006</v>
      </c>
      <c r="AZ83" s="1245">
        <v>0.11031421273946762</v>
      </c>
      <c r="BA83" s="1245">
        <v>0.11745287477970123</v>
      </c>
      <c r="BB83" s="1245">
        <v>0.11155520379543304</v>
      </c>
      <c r="BC83" s="1245">
        <v>8.5201986134052277E-2</v>
      </c>
      <c r="BD83" s="1245">
        <v>0.12391854822635651</v>
      </c>
      <c r="BE83" s="1245">
        <v>9.2471078038215637E-2</v>
      </c>
    </row>
    <row r="84" spans="1:57" s="220" customFormat="1" x14ac:dyDescent="0.25">
      <c r="A84" s="1254"/>
      <c r="B84" s="1249"/>
      <c r="C84" s="1247" t="s">
        <v>606</v>
      </c>
      <c r="D84" s="1245">
        <v>0.13294753432273865</v>
      </c>
      <c r="E84" s="1245">
        <v>0.11684668064117432</v>
      </c>
      <c r="F84" s="1245">
        <v>0.16460400819778442</v>
      </c>
      <c r="G84" s="1245">
        <v>0.12205473333597183</v>
      </c>
      <c r="H84" s="1245">
        <v>0.16490788757801056</v>
      </c>
      <c r="I84" s="1245">
        <v>0.17533794045448303</v>
      </c>
      <c r="J84" s="1245">
        <v>0.17225322127342224</v>
      </c>
      <c r="K84" s="1245">
        <v>0.13065977394580841</v>
      </c>
      <c r="L84" s="1245">
        <v>0.10560835897922516</v>
      </c>
      <c r="M84" s="1245">
        <v>0.16435229778289795</v>
      </c>
      <c r="N84" s="1245">
        <v>0.14623983204364777</v>
      </c>
      <c r="O84" s="1245">
        <v>0.12569120526313782</v>
      </c>
      <c r="P84" s="1245">
        <v>0.13589277863502502</v>
      </c>
      <c r="Q84" s="1245">
        <v>0.15474283695220947</v>
      </c>
      <c r="R84" s="1245">
        <v>0.11497385799884796</v>
      </c>
      <c r="S84" s="1245">
        <v>0.12907625734806061</v>
      </c>
      <c r="T84" s="1245">
        <v>0.14362156391143799</v>
      </c>
      <c r="U84" s="1245">
        <v>0.12865158915519714</v>
      </c>
      <c r="V84" s="1245">
        <v>0.11516796797513962</v>
      </c>
      <c r="W84" s="1245">
        <v>0.15263557434082031</v>
      </c>
      <c r="X84" s="1245">
        <v>0.14916887879371643</v>
      </c>
      <c r="Y84" s="1245">
        <v>0.18570937216281891</v>
      </c>
      <c r="Z84" s="1245">
        <v>0.16055971384048462</v>
      </c>
      <c r="AA84" s="1245">
        <v>0.17605225741863251</v>
      </c>
      <c r="AB84" s="1245">
        <v>0.10979850590229034</v>
      </c>
      <c r="AC84" s="1245">
        <v>0.14981094002723694</v>
      </c>
      <c r="AD84" s="1245">
        <v>0.12853869795799255</v>
      </c>
      <c r="AE84" s="260">
        <f>'User Add-in Location'!B89</f>
        <v>0</v>
      </c>
      <c r="AF84" s="260">
        <f>'User Add-in Location'!C89</f>
        <v>0</v>
      </c>
      <c r="AG84" s="1245">
        <v>0.13792066276073456</v>
      </c>
      <c r="AH84" s="1245">
        <v>0.10840293020009995</v>
      </c>
      <c r="AI84" s="1245">
        <v>0.16480706632137299</v>
      </c>
      <c r="AJ84" s="1245">
        <v>0.15885010361671448</v>
      </c>
      <c r="AK84" s="1245">
        <v>0.11719346046447754</v>
      </c>
      <c r="AL84" s="1245">
        <v>0.15187200903892517</v>
      </c>
      <c r="AM84" s="1245">
        <v>0.1527077853679657</v>
      </c>
      <c r="AN84" s="1245">
        <v>0.12100984156131744</v>
      </c>
      <c r="AO84" s="1245">
        <v>0.16075560450553894</v>
      </c>
      <c r="AP84" s="1245">
        <v>0.13161039352416992</v>
      </c>
      <c r="AQ84" s="1245">
        <v>0.12627805769443512</v>
      </c>
      <c r="AR84" s="1245">
        <v>0.16527003049850464</v>
      </c>
      <c r="AS84" s="1245">
        <v>0.17271314561367035</v>
      </c>
      <c r="AT84" s="1245">
        <v>0.13503038883209229</v>
      </c>
      <c r="AU84" s="1245">
        <v>0.135196253657341</v>
      </c>
      <c r="AV84" s="1245">
        <v>0.14964015781879425</v>
      </c>
      <c r="AW84" s="1245">
        <v>0.15060654282569885</v>
      </c>
      <c r="AX84" s="1245">
        <v>0.20391257107257843</v>
      </c>
      <c r="AY84" s="1245">
        <v>0.17252928018569946</v>
      </c>
      <c r="AZ84" s="1245">
        <v>0.15011647343635559</v>
      </c>
      <c r="BA84" s="1245">
        <v>0.13599684834480286</v>
      </c>
      <c r="BB84" s="1245">
        <v>0.14473418891429901</v>
      </c>
      <c r="BC84" s="1245">
        <v>0.11006361991167068</v>
      </c>
      <c r="BD84" s="1245">
        <v>0.14908924698829651</v>
      </c>
      <c r="BE84" s="1245">
        <v>9.1100290417671204E-2</v>
      </c>
    </row>
    <row r="85" spans="1:57" s="220" customFormat="1" x14ac:dyDescent="0.25">
      <c r="A85" s="1254"/>
      <c r="B85" s="1249"/>
      <c r="C85" s="1247" t="s">
        <v>607</v>
      </c>
      <c r="D85" s="1245">
        <v>0.104117751121521</v>
      </c>
      <c r="E85" s="1245">
        <v>9.8827287554740906E-2</v>
      </c>
      <c r="F85" s="1245">
        <v>0.13996531069278717</v>
      </c>
      <c r="G85" s="1245">
        <v>9.0614117681980133E-2</v>
      </c>
      <c r="H85" s="1245">
        <v>0.14683559536933899</v>
      </c>
      <c r="I85" s="1245">
        <v>0.14268884062767029</v>
      </c>
      <c r="J85" s="1245">
        <v>0.13705037534236908</v>
      </c>
      <c r="K85" s="1245">
        <v>0.11443687975406647</v>
      </c>
      <c r="L85" s="1245">
        <v>0.11486014723777771</v>
      </c>
      <c r="M85" s="1245">
        <v>0.14281739294528961</v>
      </c>
      <c r="N85" s="1245">
        <v>0.13639524579048157</v>
      </c>
      <c r="O85" s="1245">
        <v>0.10503537207841873</v>
      </c>
      <c r="P85" s="1245">
        <v>0.11203065514564514</v>
      </c>
      <c r="Q85" s="1245">
        <v>0.14681880176067352</v>
      </c>
      <c r="R85" s="1245">
        <v>0.10567130893468857</v>
      </c>
      <c r="S85" s="1245">
        <v>0.10642609000205994</v>
      </c>
      <c r="T85" s="1245">
        <v>0.11278153955936432</v>
      </c>
      <c r="U85" s="1245">
        <v>0.10687348246574402</v>
      </c>
      <c r="V85" s="1245">
        <v>9.8583467304706573E-2</v>
      </c>
      <c r="W85" s="1245">
        <v>0.12001891434192657</v>
      </c>
      <c r="X85" s="1245">
        <v>0.12207952886819839</v>
      </c>
      <c r="Y85" s="1245">
        <v>0.15742072463035583</v>
      </c>
      <c r="Z85" s="1245">
        <v>0.12826637923717499</v>
      </c>
      <c r="AA85" s="1245">
        <v>0.14842784404754639</v>
      </c>
      <c r="AB85" s="1245">
        <v>9.162449836730957E-2</v>
      </c>
      <c r="AC85" s="1245">
        <v>0.13235506415367126</v>
      </c>
      <c r="AD85" s="1245">
        <v>0.10844896733760834</v>
      </c>
      <c r="AE85" s="260">
        <f>'User Add-in Location'!B90</f>
        <v>0</v>
      </c>
      <c r="AF85" s="260">
        <f>'User Add-in Location'!C90</f>
        <v>0</v>
      </c>
      <c r="AG85" s="1245">
        <v>0.11947659403085709</v>
      </c>
      <c r="AH85" s="1245">
        <v>8.12673419713974E-2</v>
      </c>
      <c r="AI85" s="1245">
        <v>0.12736451625823975</v>
      </c>
      <c r="AJ85" s="1245">
        <v>0.13701529800891876</v>
      </c>
      <c r="AK85" s="1245">
        <v>9.9753141403198242E-2</v>
      </c>
      <c r="AL85" s="1245">
        <v>0.14418499171733856</v>
      </c>
      <c r="AM85" s="1245">
        <v>0.13375160098075867</v>
      </c>
      <c r="AN85" s="1245">
        <v>0.10097779333591461</v>
      </c>
      <c r="AO85" s="1245">
        <v>0.13090091943740845</v>
      </c>
      <c r="AP85" s="1245">
        <v>0.112030029296875</v>
      </c>
      <c r="AQ85" s="1245">
        <v>0.12364454567432404</v>
      </c>
      <c r="AR85" s="1245">
        <v>0.13658267259597778</v>
      </c>
      <c r="AS85" s="1245">
        <v>0.13505890965461731</v>
      </c>
      <c r="AT85" s="1245">
        <v>0.11080875247716904</v>
      </c>
      <c r="AU85" s="1245">
        <v>0.10714558511972427</v>
      </c>
      <c r="AV85" s="1245">
        <v>0.12989471852779388</v>
      </c>
      <c r="AW85" s="1245">
        <v>0.14027239382266998</v>
      </c>
      <c r="AX85" s="1245">
        <v>0.18960437178611755</v>
      </c>
      <c r="AY85" s="1245">
        <v>0.13569225370883942</v>
      </c>
      <c r="AZ85" s="1245">
        <v>0.11627743393182755</v>
      </c>
      <c r="BA85" s="1245">
        <v>0.12026838958263397</v>
      </c>
      <c r="BB85" s="1245">
        <v>0.11677148938179016</v>
      </c>
      <c r="BC85" s="1245">
        <v>8.8794678449630737E-2</v>
      </c>
      <c r="BD85" s="1245">
        <v>0.11776135861873627</v>
      </c>
      <c r="BE85" s="1245">
        <v>7.4153073132038116E-2</v>
      </c>
    </row>
    <row r="86" spans="1:57" s="220" customFormat="1" x14ac:dyDescent="0.25">
      <c r="A86" s="1254"/>
      <c r="B86" s="1249"/>
      <c r="C86" s="1247" t="s">
        <v>609</v>
      </c>
      <c r="D86" s="1245">
        <v>3.0096344649791718E-2</v>
      </c>
      <c r="E86" s="1245">
        <v>1.3247617520391941E-2</v>
      </c>
      <c r="F86" s="1245">
        <v>4.9050662666559219E-2</v>
      </c>
      <c r="G86" s="1245">
        <v>2.4140562862157822E-2</v>
      </c>
      <c r="H86" s="1245">
        <v>3.6047250032424927E-2</v>
      </c>
      <c r="I86" s="1245">
        <v>2.4891838431358337E-2</v>
      </c>
      <c r="J86" s="1245">
        <v>6.2673158943653107E-2</v>
      </c>
      <c r="K86" s="1245">
        <v>6.703048013150692E-3</v>
      </c>
      <c r="L86" s="1245">
        <v>3.579186275601387E-3</v>
      </c>
      <c r="M86" s="1245">
        <v>2.7407893911004066E-2</v>
      </c>
      <c r="N86" s="1245">
        <v>5.3729335777461529E-3</v>
      </c>
      <c r="O86" s="1245">
        <v>1.7382422462105751E-2</v>
      </c>
      <c r="P86" s="1245">
        <v>3.3285051584243774E-2</v>
      </c>
      <c r="Q86" s="1245">
        <v>1.6908090561628342E-2</v>
      </c>
      <c r="R86" s="1245">
        <v>1.7933908849954605E-2</v>
      </c>
      <c r="S86" s="1245">
        <v>2.5150233879685402E-2</v>
      </c>
      <c r="T86" s="1245">
        <v>2.9020193964242935E-2</v>
      </c>
      <c r="U86" s="1245">
        <v>2.6450889185070992E-2</v>
      </c>
      <c r="V86" s="1245">
        <v>3.8226228207349777E-2</v>
      </c>
      <c r="W86" s="1245">
        <v>2.9472479596734047E-2</v>
      </c>
      <c r="X86" s="1245">
        <v>8.7959356606006622E-3</v>
      </c>
      <c r="Y86" s="1245">
        <v>1.4215687289834023E-2</v>
      </c>
      <c r="Z86" s="1245">
        <v>2.3091617971658707E-2</v>
      </c>
      <c r="AA86" s="1245">
        <v>5.3328033536672592E-2</v>
      </c>
      <c r="AB86" s="1245">
        <v>1.9650779664516449E-2</v>
      </c>
      <c r="AC86" s="1245">
        <v>2.8532272204756737E-2</v>
      </c>
      <c r="AD86" s="1245">
        <v>2.9148992151021957E-2</v>
      </c>
      <c r="AE86" s="260">
        <f>'User Add-in Location'!B91</f>
        <v>0</v>
      </c>
      <c r="AF86" s="260">
        <f>'User Add-in Location'!C91</f>
        <v>0</v>
      </c>
      <c r="AG86" s="1245">
        <v>2.6093777269124985E-2</v>
      </c>
      <c r="AH86" s="1245">
        <v>4.8106711357831955E-2</v>
      </c>
      <c r="AI86" s="1245">
        <v>2.1946821361780167E-2</v>
      </c>
      <c r="AJ86" s="1245">
        <v>1.9946228712797165E-2</v>
      </c>
      <c r="AK86" s="1245">
        <v>3.084859810769558E-2</v>
      </c>
      <c r="AL86" s="1245">
        <v>4.0065314620733261E-2</v>
      </c>
      <c r="AM86" s="1245">
        <v>1.5712590888142586E-2</v>
      </c>
      <c r="AN86" s="1245">
        <v>7.3388442397117615E-2</v>
      </c>
      <c r="AO86" s="1245">
        <v>2.1912354975938797E-2</v>
      </c>
      <c r="AP86" s="1245">
        <v>6.7427642643451691E-2</v>
      </c>
      <c r="AQ86" s="1245">
        <v>3.4338794648647308E-2</v>
      </c>
      <c r="AR86" s="1245">
        <v>3.3518053591251373E-2</v>
      </c>
      <c r="AS86" s="1245">
        <v>1.4442667365074158E-2</v>
      </c>
      <c r="AT86" s="1245">
        <v>2.6376184076070786E-2</v>
      </c>
      <c r="AU86" s="1245">
        <v>6.6480755805969238E-2</v>
      </c>
      <c r="AV86" s="1245">
        <v>4.1728653013706207E-2</v>
      </c>
      <c r="AW86" s="1245">
        <v>3.0939433723688126E-2</v>
      </c>
      <c r="AX86" s="1245">
        <v>4.2973577976226807E-2</v>
      </c>
      <c r="AY86" s="1245">
        <v>2.0629595965147018E-2</v>
      </c>
      <c r="AZ86" s="1245">
        <v>1.3139591552317142E-2</v>
      </c>
      <c r="BA86" s="1245">
        <v>2.4390570819377899E-2</v>
      </c>
      <c r="BB86" s="1245">
        <v>5.1088262349367142E-2</v>
      </c>
      <c r="BC86" s="1245">
        <v>2.5697717443108559E-2</v>
      </c>
      <c r="BD86" s="1245">
        <v>3.5628277808427811E-2</v>
      </c>
      <c r="BE86" s="1245">
        <v>2.3165300488471985E-2</v>
      </c>
    </row>
    <row r="87" spans="1:57" s="220" customFormat="1" x14ac:dyDescent="0.25">
      <c r="A87" s="1254"/>
      <c r="B87" s="1249"/>
      <c r="C87" s="1256"/>
      <c r="D87" s="1245"/>
      <c r="E87" s="1245"/>
      <c r="F87" s="1245"/>
      <c r="G87" s="1245"/>
      <c r="H87" s="1245"/>
      <c r="I87" s="1245"/>
      <c r="J87" s="1245"/>
      <c r="K87" s="1245"/>
      <c r="L87" s="1245"/>
      <c r="M87" s="1245"/>
      <c r="N87" s="1245"/>
      <c r="O87" s="1245"/>
      <c r="P87" s="1245"/>
      <c r="Q87" s="1245"/>
      <c r="R87" s="1245"/>
      <c r="S87" s="1245"/>
      <c r="T87" s="1245"/>
      <c r="U87" s="1245"/>
      <c r="V87" s="1245"/>
      <c r="W87" s="1245"/>
      <c r="X87" s="1245"/>
      <c r="Y87" s="1245"/>
      <c r="Z87" s="1245"/>
      <c r="AA87" s="1245"/>
      <c r="AB87" s="1245"/>
      <c r="AC87" s="1245"/>
      <c r="AD87" s="1245"/>
      <c r="AE87" s="260"/>
      <c r="AF87" s="260"/>
      <c r="AG87" s="1245"/>
      <c r="AH87" s="1245"/>
      <c r="AI87" s="1245"/>
      <c r="AJ87" s="1245"/>
      <c r="AK87" s="1245"/>
      <c r="AL87" s="1245"/>
      <c r="AM87" s="1245"/>
      <c r="AN87" s="1245"/>
      <c r="AO87" s="1245"/>
      <c r="AP87" s="1245"/>
      <c r="AQ87" s="1245"/>
      <c r="AR87" s="1245"/>
      <c r="AS87" s="1245"/>
      <c r="AT87" s="1245"/>
      <c r="AU87" s="1245"/>
      <c r="AV87" s="1245"/>
      <c r="AW87" s="1245"/>
      <c r="AX87" s="1245"/>
      <c r="AY87" s="1245"/>
      <c r="AZ87" s="1245"/>
      <c r="BA87" s="1245"/>
      <c r="BB87" s="1245"/>
      <c r="BC87" s="1245"/>
      <c r="BD87" s="1245"/>
      <c r="BE87" s="1245"/>
    </row>
    <row r="88" spans="1:57" s="220" customFormat="1" x14ac:dyDescent="0.25">
      <c r="A88" s="1254"/>
      <c r="B88" s="1249"/>
      <c r="C88" s="1252" t="s">
        <v>612</v>
      </c>
      <c r="D88" s="1245"/>
      <c r="E88" s="1245"/>
      <c r="F88" s="1245"/>
      <c r="G88" s="1245"/>
      <c r="H88" s="1245"/>
      <c r="I88" s="1245"/>
      <c r="J88" s="1245"/>
      <c r="K88" s="1245"/>
      <c r="L88" s="1245"/>
      <c r="M88" s="1245"/>
      <c r="N88" s="1245"/>
      <c r="O88" s="1245"/>
      <c r="P88" s="1245"/>
      <c r="Q88" s="1245"/>
      <c r="R88" s="1245"/>
      <c r="S88" s="1245"/>
      <c r="T88" s="1245"/>
      <c r="U88" s="1245"/>
      <c r="V88" s="1245"/>
      <c r="W88" s="1245"/>
      <c r="X88" s="1245"/>
      <c r="Y88" s="1245"/>
      <c r="Z88" s="1245"/>
      <c r="AA88" s="1245"/>
      <c r="AB88" s="1245"/>
      <c r="AC88" s="1245"/>
      <c r="AD88" s="1245"/>
      <c r="AE88" s="260"/>
      <c r="AF88" s="260"/>
      <c r="AG88" s="1245"/>
      <c r="AH88" s="1245"/>
      <c r="AI88" s="1245"/>
      <c r="AJ88" s="1245"/>
      <c r="AK88" s="1245"/>
      <c r="AL88" s="1245"/>
      <c r="AM88" s="1245"/>
      <c r="AN88" s="1245"/>
      <c r="AO88" s="1245"/>
      <c r="AP88" s="1245"/>
      <c r="AQ88" s="1245"/>
      <c r="AR88" s="1245"/>
      <c r="AS88" s="1245"/>
      <c r="AT88" s="1245"/>
      <c r="AU88" s="1245"/>
      <c r="AV88" s="1245"/>
      <c r="AW88" s="1245"/>
      <c r="AX88" s="1245"/>
      <c r="AY88" s="1245"/>
      <c r="AZ88" s="1245"/>
      <c r="BA88" s="1245"/>
      <c r="BB88" s="1245"/>
      <c r="BC88" s="1245"/>
      <c r="BD88" s="1245"/>
      <c r="BE88" s="1245"/>
    </row>
    <row r="89" spans="1:57" s="220" customFormat="1" ht="15" customHeight="1" x14ac:dyDescent="0.25">
      <c r="A89" s="1254"/>
      <c r="B89" s="1249"/>
      <c r="C89" s="1257" t="s">
        <v>615</v>
      </c>
      <c r="D89" s="1245" t="s">
        <v>539</v>
      </c>
      <c r="E89" s="1245" t="s">
        <v>540</v>
      </c>
      <c r="F89" s="1245" t="s">
        <v>541</v>
      </c>
      <c r="G89" s="1245" t="s">
        <v>542</v>
      </c>
      <c r="H89" s="1245" t="s">
        <v>543</v>
      </c>
      <c r="I89" s="1245" t="s">
        <v>143</v>
      </c>
      <c r="J89" s="1245" t="s">
        <v>544</v>
      </c>
      <c r="K89" s="1245" t="s">
        <v>545</v>
      </c>
      <c r="L89" s="1245" t="s">
        <v>546</v>
      </c>
      <c r="M89" s="1245" t="s">
        <v>547</v>
      </c>
      <c r="N89" s="1245" t="s">
        <v>548</v>
      </c>
      <c r="O89" s="1245" t="s">
        <v>549</v>
      </c>
      <c r="P89" s="1245" t="s">
        <v>550</v>
      </c>
      <c r="Q89" s="1245" t="s">
        <v>551</v>
      </c>
      <c r="R89" s="1245" t="s">
        <v>552</v>
      </c>
      <c r="S89" s="1245" t="s">
        <v>553</v>
      </c>
      <c r="T89" s="1245" t="s">
        <v>554</v>
      </c>
      <c r="U89" s="1245" t="s">
        <v>555</v>
      </c>
      <c r="V89" s="1245" t="s">
        <v>556</v>
      </c>
      <c r="W89" s="1245" t="s">
        <v>557</v>
      </c>
      <c r="X89" s="1245" t="s">
        <v>558</v>
      </c>
      <c r="Y89" s="1245" t="s">
        <v>559</v>
      </c>
      <c r="Z89" s="1245" t="s">
        <v>560</v>
      </c>
      <c r="AA89" s="1245" t="s">
        <v>561</v>
      </c>
      <c r="AB89" s="1245" t="s">
        <v>562</v>
      </c>
      <c r="AC89" s="1245" t="s">
        <v>563</v>
      </c>
      <c r="AD89" s="1245" t="s">
        <v>564</v>
      </c>
      <c r="AE89" s="260" t="s">
        <v>565</v>
      </c>
      <c r="AF89" s="260" t="s">
        <v>566</v>
      </c>
      <c r="AG89" s="1245" t="s">
        <v>567</v>
      </c>
      <c r="AH89" s="1245" t="s">
        <v>568</v>
      </c>
      <c r="AI89" s="1245" t="s">
        <v>569</v>
      </c>
      <c r="AJ89" s="1245" t="s">
        <v>570</v>
      </c>
      <c r="AK89" s="1245" t="s">
        <v>571</v>
      </c>
      <c r="AL89" s="1245" t="s">
        <v>572</v>
      </c>
      <c r="AM89" s="1245" t="s">
        <v>573</v>
      </c>
      <c r="AN89" s="1245" t="s">
        <v>574</v>
      </c>
      <c r="AO89" s="1245" t="s">
        <v>575</v>
      </c>
      <c r="AP89" s="1245" t="s">
        <v>576</v>
      </c>
      <c r="AQ89" s="1245" t="s">
        <v>577</v>
      </c>
      <c r="AR89" s="1245" t="s">
        <v>578</v>
      </c>
      <c r="AS89" s="1245" t="s">
        <v>579</v>
      </c>
      <c r="AT89" s="1245" t="s">
        <v>580</v>
      </c>
      <c r="AU89" s="1245" t="s">
        <v>581</v>
      </c>
      <c r="AV89" s="1245" t="s">
        <v>582</v>
      </c>
      <c r="AW89" s="1245" t="s">
        <v>583</v>
      </c>
      <c r="AX89" s="1245" t="s">
        <v>1404</v>
      </c>
      <c r="AY89" s="1245" t="s">
        <v>584</v>
      </c>
      <c r="AZ89" s="1245" t="s">
        <v>585</v>
      </c>
      <c r="BA89" s="1245" t="s">
        <v>586</v>
      </c>
      <c r="BB89" s="1245" t="s">
        <v>587</v>
      </c>
      <c r="BC89" s="1245" t="s">
        <v>588</v>
      </c>
      <c r="BD89" s="1245" t="s">
        <v>589</v>
      </c>
      <c r="BE89" s="1245" t="s">
        <v>590</v>
      </c>
    </row>
    <row r="90" spans="1:57" s="220" customFormat="1" x14ac:dyDescent="0.25">
      <c r="A90" s="1254"/>
      <c r="B90" s="1249"/>
      <c r="C90" s="1247" t="s">
        <v>592</v>
      </c>
      <c r="D90" s="1245">
        <v>8.3892978727817535E-2</v>
      </c>
      <c r="E90" s="1245">
        <v>9.62686687707901E-2</v>
      </c>
      <c r="F90" s="1245">
        <v>0.10661719739437103</v>
      </c>
      <c r="G90" s="1245">
        <v>7.6751045882701874E-2</v>
      </c>
      <c r="H90" s="1245">
        <v>0.15616044402122498</v>
      </c>
      <c r="I90" s="1245">
        <v>9.8296791315078735E-2</v>
      </c>
      <c r="J90" s="1245">
        <v>9.0038023889064789E-2</v>
      </c>
      <c r="K90" s="1245">
        <v>6.4138822257518768E-2</v>
      </c>
      <c r="L90" s="1245">
        <v>4.4611047953367233E-2</v>
      </c>
      <c r="M90" s="1245">
        <v>0.13741646707057953</v>
      </c>
      <c r="N90" s="1245">
        <v>0.14855280518531799</v>
      </c>
      <c r="O90" s="1245">
        <v>0.12125083059072495</v>
      </c>
      <c r="P90" s="1245">
        <v>0.10600273311138153</v>
      </c>
      <c r="Q90" s="1245">
        <v>0.1958870142698288</v>
      </c>
      <c r="R90" s="1245">
        <v>0.10601475089788437</v>
      </c>
      <c r="S90" s="1245">
        <v>7.924063503742218E-2</v>
      </c>
      <c r="T90" s="1245">
        <v>8.1539712846279144E-2</v>
      </c>
      <c r="U90" s="1245">
        <v>8.3630830049514771E-2</v>
      </c>
      <c r="V90" s="1245">
        <v>9.5777988433837891E-2</v>
      </c>
      <c r="W90" s="1245">
        <v>0.11782822012901306</v>
      </c>
      <c r="X90" s="1245">
        <v>8.0300197005271912E-2</v>
      </c>
      <c r="Y90" s="1245">
        <v>0.14542645215988159</v>
      </c>
      <c r="Z90" s="1245">
        <v>0.10039496421813965</v>
      </c>
      <c r="AA90" s="1245">
        <v>0.11544457823038101</v>
      </c>
      <c r="AB90" s="1245">
        <v>8.2040153443813324E-2</v>
      </c>
      <c r="AC90" s="1245">
        <v>9.7378179430961609E-2</v>
      </c>
      <c r="AD90" s="1245">
        <v>6.0367252677679062E-2</v>
      </c>
      <c r="AE90" s="260">
        <f>'User Add-in Location'!B95</f>
        <v>0</v>
      </c>
      <c r="AF90" s="260">
        <f>'User Add-in Location'!C95</f>
        <v>0</v>
      </c>
      <c r="AG90" s="1245">
        <v>8.811042457818985E-2</v>
      </c>
      <c r="AH90" s="1245">
        <v>5.1456384360790253E-2</v>
      </c>
      <c r="AI90" s="1245">
        <v>9.9828854203224182E-2</v>
      </c>
      <c r="AJ90" s="1245">
        <v>0.15892493724822998</v>
      </c>
      <c r="AK90" s="1245">
        <v>9.3780331313610077E-2</v>
      </c>
      <c r="AL90" s="1245">
        <v>0.10416501015424728</v>
      </c>
      <c r="AM90" s="1245">
        <v>9.8764501512050629E-2</v>
      </c>
      <c r="AN90" s="1245">
        <v>4.8734560608863831E-2</v>
      </c>
      <c r="AO90" s="1245">
        <v>0.10106243938207626</v>
      </c>
      <c r="AP90" s="1245">
        <v>4.974750429391861E-2</v>
      </c>
      <c r="AQ90" s="1245">
        <v>0.13022449612617493</v>
      </c>
      <c r="AR90" s="1245">
        <v>9.0720333158969879E-2</v>
      </c>
      <c r="AS90" s="1245">
        <v>0.10118097811937332</v>
      </c>
      <c r="AT90" s="1245">
        <v>8.2979187369346619E-2</v>
      </c>
      <c r="AU90" s="1245">
        <v>9.2940472066402435E-2</v>
      </c>
      <c r="AV90" s="1245">
        <v>8.5900619626045227E-2</v>
      </c>
      <c r="AW90" s="1245">
        <v>8.1432349979877472E-2</v>
      </c>
      <c r="AX90" s="1245">
        <v>0.22233742475509644</v>
      </c>
      <c r="AY90" s="1245">
        <v>6.1473764479160309E-2</v>
      </c>
      <c r="AZ90" s="1245">
        <v>7.6689191162586212E-2</v>
      </c>
      <c r="BA90" s="1245">
        <v>6.3676603138446808E-2</v>
      </c>
      <c r="BB90" s="1245">
        <v>0.13360850512981415</v>
      </c>
      <c r="BC90" s="1245">
        <v>1.9523279741406441E-2</v>
      </c>
      <c r="BD90" s="1245">
        <v>0.10209265351295471</v>
      </c>
      <c r="BE90" s="1245">
        <v>2.9974052682518959E-2</v>
      </c>
    </row>
    <row r="91" spans="1:57" s="220" customFormat="1" x14ac:dyDescent="0.25">
      <c r="A91" s="1254"/>
      <c r="B91" s="1249"/>
      <c r="C91" s="1247" t="s">
        <v>593</v>
      </c>
      <c r="D91" s="1245">
        <v>4.4755861163139343E-2</v>
      </c>
      <c r="E91" s="1245">
        <v>3.50041463971138E-2</v>
      </c>
      <c r="F91" s="1245">
        <v>7.8195624053478241E-2</v>
      </c>
      <c r="G91" s="1245">
        <v>5.7996105402708054E-2</v>
      </c>
      <c r="H91" s="1245">
        <v>8.6955055594444275E-2</v>
      </c>
      <c r="I91" s="1245">
        <v>0.13710924983024597</v>
      </c>
      <c r="J91" s="1245">
        <v>9.3757420778274536E-2</v>
      </c>
      <c r="K91" s="1245">
        <v>0.1298501193523407</v>
      </c>
      <c r="L91" s="1245">
        <v>4.0428776293992996E-2</v>
      </c>
      <c r="M91" s="1245">
        <v>7.2773553431034088E-2</v>
      </c>
      <c r="N91" s="1245">
        <v>9.2639632523059845E-2</v>
      </c>
      <c r="O91" s="1245">
        <v>5.6360609829425812E-2</v>
      </c>
      <c r="P91" s="1245">
        <v>6.1931557953357697E-2</v>
      </c>
      <c r="Q91" s="1245">
        <v>8.5046350955963135E-2</v>
      </c>
      <c r="R91" s="1245">
        <v>7.2052724659442902E-2</v>
      </c>
      <c r="S91" s="1245">
        <v>5.3391110152006149E-2</v>
      </c>
      <c r="T91" s="1245">
        <v>9.5279909670352936E-2</v>
      </c>
      <c r="U91" s="1245">
        <v>5.1262006163597107E-2</v>
      </c>
      <c r="V91" s="1245">
        <v>6.1023060232400894E-2</v>
      </c>
      <c r="W91" s="1245">
        <v>6.022363156080246E-2</v>
      </c>
      <c r="X91" s="1245">
        <v>6.9353707134723663E-2</v>
      </c>
      <c r="Y91" s="1245">
        <v>0.1349848210811615</v>
      </c>
      <c r="Z91" s="1245">
        <v>9.6948757767677307E-2</v>
      </c>
      <c r="AA91" s="1245">
        <v>9.5228970050811768E-2</v>
      </c>
      <c r="AB91" s="1245">
        <v>6.8318605422973633E-2</v>
      </c>
      <c r="AC91" s="1245">
        <v>7.2678081691265106E-2</v>
      </c>
      <c r="AD91" s="1245">
        <v>7.3473773896694183E-2</v>
      </c>
      <c r="AE91" s="260">
        <f>'User Add-in Location'!B96</f>
        <v>0</v>
      </c>
      <c r="AF91" s="260">
        <f>'User Add-in Location'!C96</f>
        <v>0</v>
      </c>
      <c r="AG91" s="1245">
        <v>7.0147149264812469E-2</v>
      </c>
      <c r="AH91" s="1245">
        <v>4.6980421990156174E-2</v>
      </c>
      <c r="AI91" s="1245">
        <v>7.8375205397605896E-2</v>
      </c>
      <c r="AJ91" s="1245">
        <v>0.15368044376373291</v>
      </c>
      <c r="AK91" s="1245">
        <v>5.5886808782815933E-2</v>
      </c>
      <c r="AL91" s="1245">
        <v>0.14013269543647766</v>
      </c>
      <c r="AM91" s="1245">
        <v>5.1182683557271957E-2</v>
      </c>
      <c r="AN91" s="1245">
        <v>6.4697407186031342E-2</v>
      </c>
      <c r="AO91" s="1245">
        <v>9.8188869655132294E-2</v>
      </c>
      <c r="AP91" s="1245">
        <v>0.1065194308757782</v>
      </c>
      <c r="AQ91" s="1245">
        <v>7.6259300112724304E-2</v>
      </c>
      <c r="AR91" s="1245">
        <v>9.8497442901134491E-2</v>
      </c>
      <c r="AS91" s="1245">
        <v>9.3752816319465637E-2</v>
      </c>
      <c r="AT91" s="1245">
        <v>4.6873390674591064E-2</v>
      </c>
      <c r="AU91" s="1245">
        <v>5.4051369428634644E-2</v>
      </c>
      <c r="AV91" s="1245">
        <v>7.03272745013237E-2</v>
      </c>
      <c r="AW91" s="1245">
        <v>0.10852031409740448</v>
      </c>
      <c r="AX91" s="1245">
        <v>0.18488441407680511</v>
      </c>
      <c r="AY91" s="1245">
        <v>8.8139727711677551E-2</v>
      </c>
      <c r="AZ91" s="1245">
        <v>5.0224408507347107E-2</v>
      </c>
      <c r="BA91" s="1245">
        <v>8.8652357459068298E-2</v>
      </c>
      <c r="BB91" s="1245">
        <v>5.7268839329481125E-2</v>
      </c>
      <c r="BC91" s="1245">
        <v>5.1350880414247513E-2</v>
      </c>
      <c r="BD91" s="1245">
        <v>6.9416292011737823E-2</v>
      </c>
      <c r="BE91" s="1245">
        <v>3.09439767152071E-2</v>
      </c>
    </row>
    <row r="92" spans="1:57" s="220" customFormat="1" x14ac:dyDescent="0.25">
      <c r="A92" s="1254"/>
      <c r="B92" s="1249"/>
      <c r="C92" s="1247" t="s">
        <v>595</v>
      </c>
      <c r="D92" s="1245">
        <v>9.2784799635410309E-2</v>
      </c>
      <c r="E92" s="1245">
        <v>9.4850577414035797E-2</v>
      </c>
      <c r="F92" s="1245">
        <v>0.13427571952342987</v>
      </c>
      <c r="G92" s="1245">
        <v>7.9268254339694977E-2</v>
      </c>
      <c r="H92" s="1245">
        <v>0.15672792494297028</v>
      </c>
      <c r="I92" s="1245">
        <v>0.14918476343154907</v>
      </c>
      <c r="J92" s="1245">
        <v>0.15283538401126862</v>
      </c>
      <c r="K92" s="1245">
        <v>0.11497493088245392</v>
      </c>
      <c r="L92" s="1245">
        <v>5.0399500876665115E-2</v>
      </c>
      <c r="M92" s="1245">
        <v>0.12760995328426361</v>
      </c>
      <c r="N92" s="1245">
        <v>0.12497276067733765</v>
      </c>
      <c r="O92" s="1245">
        <v>0.10240647941827774</v>
      </c>
      <c r="P92" s="1245">
        <v>8.5760995745658875E-2</v>
      </c>
      <c r="Q92" s="1245">
        <v>0.15348105132579803</v>
      </c>
      <c r="R92" s="1245">
        <v>0.10415621101856232</v>
      </c>
      <c r="S92" s="1245">
        <v>9.6112310886383057E-2</v>
      </c>
      <c r="T92" s="1245">
        <v>0.1001310721039772</v>
      </c>
      <c r="U92" s="1245">
        <v>9.0441331267356873E-2</v>
      </c>
      <c r="V92" s="1245">
        <v>9.109111875295639E-2</v>
      </c>
      <c r="W92" s="1245">
        <v>0.11062056571245193</v>
      </c>
      <c r="X92" s="1245">
        <v>0.12998422980308533</v>
      </c>
      <c r="Y92" s="1245">
        <v>0.16709764301776886</v>
      </c>
      <c r="Z92" s="1245">
        <v>0.1282079815864563</v>
      </c>
      <c r="AA92" s="1245">
        <v>0.15181812644004822</v>
      </c>
      <c r="AB92" s="1245">
        <v>6.9012656807899475E-2</v>
      </c>
      <c r="AC92" s="1245">
        <v>0.13086193799972534</v>
      </c>
      <c r="AD92" s="1245">
        <v>8.4445223212242126E-2</v>
      </c>
      <c r="AE92" s="260">
        <f>'User Add-in Location'!B97</f>
        <v>0</v>
      </c>
      <c r="AF92" s="260">
        <f>'User Add-in Location'!C97</f>
        <v>0</v>
      </c>
      <c r="AG92" s="1245">
        <v>0.10472764074802399</v>
      </c>
      <c r="AH92" s="1245">
        <v>6.5849654376506805E-2</v>
      </c>
      <c r="AI92" s="1245">
        <v>0.15697520971298218</v>
      </c>
      <c r="AJ92" s="1245">
        <v>0.15978263318538666</v>
      </c>
      <c r="AK92" s="1245">
        <v>7.1062296628952026E-2</v>
      </c>
      <c r="AL92" s="1245">
        <v>0.12997220456600189</v>
      </c>
      <c r="AM92" s="1245">
        <v>0.12290008366107941</v>
      </c>
      <c r="AN92" s="1245">
        <v>9.0279094874858856E-2</v>
      </c>
      <c r="AO92" s="1245">
        <v>0.14173625409603119</v>
      </c>
      <c r="AP92" s="1245">
        <v>0.10291878879070282</v>
      </c>
      <c r="AQ92" s="1245">
        <v>0.12726591527462006</v>
      </c>
      <c r="AR92" s="1245">
        <v>0.16182556748390198</v>
      </c>
      <c r="AS92" s="1245">
        <v>0.12724226713180542</v>
      </c>
      <c r="AT92" s="1245">
        <v>8.8463254272937775E-2</v>
      </c>
      <c r="AU92" s="1245">
        <v>8.9289940893650055E-2</v>
      </c>
      <c r="AV92" s="1245">
        <v>0.14908179640769958</v>
      </c>
      <c r="AW92" s="1245">
        <v>0.14039786159992218</v>
      </c>
      <c r="AX92" s="1245">
        <v>0.26753887534141541</v>
      </c>
      <c r="AY92" s="1245">
        <v>0.12846337258815765</v>
      </c>
      <c r="AZ92" s="1245">
        <v>0.1050744503736496</v>
      </c>
      <c r="BA92" s="1245">
        <v>0.11982244998216629</v>
      </c>
      <c r="BB92" s="1245">
        <v>0.12019139528274536</v>
      </c>
      <c r="BC92" s="1245">
        <v>8.1623777747154236E-2</v>
      </c>
      <c r="BD92" s="1245">
        <v>0.12245377153158188</v>
      </c>
      <c r="BE92" s="1245">
        <v>4.8742812126874924E-2</v>
      </c>
    </row>
    <row r="93" spans="1:57" s="220" customFormat="1" x14ac:dyDescent="0.25">
      <c r="A93" s="1254"/>
      <c r="B93" s="1249"/>
      <c r="C93" s="1247" t="s">
        <v>596</v>
      </c>
      <c r="D93" s="1245">
        <v>4.6516589820384979E-2</v>
      </c>
      <c r="E93" s="1245">
        <v>3.9900500327348709E-2</v>
      </c>
      <c r="F93" s="1245">
        <v>9.2621862888336182E-2</v>
      </c>
      <c r="G93" s="1245">
        <v>4.6010673046112061E-2</v>
      </c>
      <c r="H93" s="1245">
        <v>0.10477171093225479</v>
      </c>
      <c r="I93" s="1245">
        <v>9.9144786596298218E-2</v>
      </c>
      <c r="J93" s="1245">
        <v>9.8769955337047577E-2</v>
      </c>
      <c r="K93" s="1245">
        <v>5.3028371185064316E-2</v>
      </c>
      <c r="L93" s="1245">
        <v>3.0698131769895554E-2</v>
      </c>
      <c r="M93" s="1245">
        <v>8.9334174990653992E-2</v>
      </c>
      <c r="N93" s="1245">
        <v>7.588813453912735E-2</v>
      </c>
      <c r="O93" s="1245">
        <v>4.7534074634313583E-2</v>
      </c>
      <c r="P93" s="1245">
        <v>4.9845762550830841E-2</v>
      </c>
      <c r="Q93" s="1245">
        <v>9.2129886150360107E-2</v>
      </c>
      <c r="R93" s="1245">
        <v>5.1708217710256577E-2</v>
      </c>
      <c r="S93" s="1245">
        <v>5.2446924149990082E-2</v>
      </c>
      <c r="T93" s="1245">
        <v>5.8692503720521927E-2</v>
      </c>
      <c r="U93" s="1245">
        <v>4.5409068465232849E-2</v>
      </c>
      <c r="V93" s="1245">
        <v>3.2981563359498978E-2</v>
      </c>
      <c r="W93" s="1245">
        <v>7.0134282112121582E-2</v>
      </c>
      <c r="X93" s="1245">
        <v>7.046934962272644E-2</v>
      </c>
      <c r="Y93" s="1245">
        <v>0.10544927418231964</v>
      </c>
      <c r="Z93" s="1245">
        <v>7.3988087475299835E-2</v>
      </c>
      <c r="AA93" s="1245">
        <v>0.1021595373749733</v>
      </c>
      <c r="AB93" s="1245">
        <v>3.626222163438797E-2</v>
      </c>
      <c r="AC93" s="1245">
        <v>6.9123134016990662E-2</v>
      </c>
      <c r="AD93" s="1245">
        <v>3.5684484988451004E-2</v>
      </c>
      <c r="AE93" s="260">
        <f>'User Add-in Location'!B98</f>
        <v>0</v>
      </c>
      <c r="AF93" s="260">
        <f>'User Add-in Location'!C98</f>
        <v>0</v>
      </c>
      <c r="AG93" s="1245">
        <v>5.3451154381036758E-2</v>
      </c>
      <c r="AH93" s="1245">
        <v>4.3343976140022278E-2</v>
      </c>
      <c r="AI93" s="1245">
        <v>9.70463827252388E-2</v>
      </c>
      <c r="AJ93" s="1245">
        <v>8.948969841003418E-2</v>
      </c>
      <c r="AK93" s="1245">
        <v>3.7393219769001007E-2</v>
      </c>
      <c r="AL93" s="1245">
        <v>7.8088678419589996E-2</v>
      </c>
      <c r="AM93" s="1245">
        <v>6.587519496679306E-2</v>
      </c>
      <c r="AN93" s="1245">
        <v>4.0829084813594818E-2</v>
      </c>
      <c r="AO93" s="1245">
        <v>7.8357353806495667E-2</v>
      </c>
      <c r="AP93" s="1245">
        <v>6.1624087393283844E-2</v>
      </c>
      <c r="AQ93" s="1245">
        <v>7.7829182147979736E-2</v>
      </c>
      <c r="AR93" s="1245">
        <v>9.0799681842327118E-2</v>
      </c>
      <c r="AS93" s="1245">
        <v>8.5836246609687805E-2</v>
      </c>
      <c r="AT93" s="1245">
        <v>4.953736811876297E-2</v>
      </c>
      <c r="AU93" s="1245">
        <v>5.3062833845615387E-2</v>
      </c>
      <c r="AV93" s="1245">
        <v>7.2507306933403015E-2</v>
      </c>
      <c r="AW93" s="1245">
        <v>7.5242385268211365E-2</v>
      </c>
      <c r="AX93" s="1245">
        <v>0.19469669461250305</v>
      </c>
      <c r="AY93" s="1245">
        <v>7.1650281548500061E-2</v>
      </c>
      <c r="AZ93" s="1245">
        <v>6.2456518411636353E-2</v>
      </c>
      <c r="BA93" s="1245">
        <v>6.4361624419689178E-2</v>
      </c>
      <c r="BB93" s="1245">
        <v>6.7825600504875183E-2</v>
      </c>
      <c r="BC93" s="1245">
        <v>3.7841841578483582E-2</v>
      </c>
      <c r="BD93" s="1245">
        <v>7.6781377196311951E-2</v>
      </c>
      <c r="BE93" s="1245">
        <v>1.804468035697937E-2</v>
      </c>
    </row>
    <row r="94" spans="1:57" s="220" customFormat="1" x14ac:dyDescent="0.25">
      <c r="A94" s="1254"/>
      <c r="B94" s="1249"/>
      <c r="C94" s="1247" t="s">
        <v>598</v>
      </c>
      <c r="D94" s="1245">
        <v>6.7896567285060883E-2</v>
      </c>
      <c r="E94" s="1245">
        <v>6.8550817668437958E-2</v>
      </c>
      <c r="F94" s="1245">
        <v>0.11569300293922424</v>
      </c>
      <c r="G94" s="1245">
        <v>6.1295654624700546E-2</v>
      </c>
      <c r="H94" s="1245">
        <v>0.13778650760650635</v>
      </c>
      <c r="I94" s="1245">
        <v>0.11446092277765274</v>
      </c>
      <c r="J94" s="1245">
        <v>0.1222875714302063</v>
      </c>
      <c r="K94" s="1245">
        <v>8.8442690670490265E-2</v>
      </c>
      <c r="L94" s="1245">
        <v>0</v>
      </c>
      <c r="M94" s="1245">
        <v>0.11463059484958649</v>
      </c>
      <c r="N94" s="1245">
        <v>0.10013797879219055</v>
      </c>
      <c r="O94" s="1245">
        <v>7.905106246471405E-2</v>
      </c>
      <c r="P94" s="1245">
        <v>6.9521725177764893E-2</v>
      </c>
      <c r="Q94" s="1245">
        <v>0.13326191902160645</v>
      </c>
      <c r="R94" s="1245">
        <v>7.7486306428909302E-2</v>
      </c>
      <c r="S94" s="1245">
        <v>7.1745075285434723E-2</v>
      </c>
      <c r="T94" s="1245">
        <v>7.4250966310501099E-2</v>
      </c>
      <c r="U94" s="1245">
        <v>7.7844396233558655E-2</v>
      </c>
      <c r="V94" s="1245">
        <v>6.8947523832321167E-2</v>
      </c>
      <c r="W94" s="1245">
        <v>8.8256746530532837E-2</v>
      </c>
      <c r="X94" s="1245">
        <v>9.9115386605262756E-2</v>
      </c>
      <c r="Y94" s="1245">
        <v>0.13775575160980225</v>
      </c>
      <c r="Z94" s="1245">
        <v>0.11227146536111832</v>
      </c>
      <c r="AA94" s="1245">
        <v>0.14200146496295929</v>
      </c>
      <c r="AB94" s="1245">
        <v>5.5036850273609161E-2</v>
      </c>
      <c r="AC94" s="1245">
        <v>0.10334532707929611</v>
      </c>
      <c r="AD94" s="1245">
        <v>6.8319648504257202E-2</v>
      </c>
      <c r="AE94" s="260">
        <f>'User Add-in Location'!B99</f>
        <v>0</v>
      </c>
      <c r="AF94" s="260">
        <f>'User Add-in Location'!C99</f>
        <v>0</v>
      </c>
      <c r="AG94" s="1245">
        <v>7.5437605381011963E-2</v>
      </c>
      <c r="AH94" s="1245">
        <v>5.4753676056861877E-2</v>
      </c>
      <c r="AI94" s="1245">
        <v>0.1138233095407486</v>
      </c>
      <c r="AJ94" s="1245">
        <v>0.13436232507228851</v>
      </c>
      <c r="AK94" s="1245">
        <v>5.0532840192317963E-2</v>
      </c>
      <c r="AL94" s="1245">
        <v>0.10763059556484222</v>
      </c>
      <c r="AM94" s="1245">
        <v>9.8167389631271362E-2</v>
      </c>
      <c r="AN94" s="1245">
        <v>6.1068836599588394E-2</v>
      </c>
      <c r="AO94" s="1245">
        <v>0.11658091098070145</v>
      </c>
      <c r="AP94" s="1245">
        <v>8.0060377717018127E-2</v>
      </c>
      <c r="AQ94" s="1245">
        <v>0.10177133232355118</v>
      </c>
      <c r="AR94" s="1245">
        <v>0.12797001004219055</v>
      </c>
      <c r="AS94" s="1245">
        <v>0.11221928894519806</v>
      </c>
      <c r="AT94" s="1245">
        <v>7.6763391494750977E-2</v>
      </c>
      <c r="AU94" s="1245">
        <v>6.1503779143095016E-2</v>
      </c>
      <c r="AV94" s="1245">
        <v>0.11669067293405533</v>
      </c>
      <c r="AW94" s="1245">
        <v>0.11342543363571167</v>
      </c>
      <c r="AX94" s="1245">
        <v>0.24635151028633118</v>
      </c>
      <c r="AY94" s="1245">
        <v>0.10096005350351334</v>
      </c>
      <c r="AZ94" s="1245">
        <v>8.6899161338806152E-2</v>
      </c>
      <c r="BA94" s="1245">
        <v>0.10370751470327377</v>
      </c>
      <c r="BB94" s="1245">
        <v>9.4521112740039825E-2</v>
      </c>
      <c r="BC94" s="1245">
        <v>5.7305384427309036E-2</v>
      </c>
      <c r="BD94" s="1245">
        <v>0.10435286909341812</v>
      </c>
      <c r="BE94" s="1245">
        <v>3.4598171710968018E-2</v>
      </c>
    </row>
    <row r="95" spans="1:57" s="220" customFormat="1" x14ac:dyDescent="0.25">
      <c r="A95" s="1254"/>
      <c r="B95" s="1249"/>
      <c r="C95" s="1247" t="s">
        <v>599</v>
      </c>
      <c r="D95" s="1245">
        <v>4.7418523579835892E-2</v>
      </c>
      <c r="E95" s="1245">
        <v>4.4291868805885315E-2</v>
      </c>
      <c r="F95" s="1245">
        <v>8.2100264728069305E-2</v>
      </c>
      <c r="G95" s="1245">
        <v>4.6125687658786774E-2</v>
      </c>
      <c r="H95" s="1245">
        <v>0.11371129751205444</v>
      </c>
      <c r="I95" s="1245">
        <v>8.8648810982704163E-2</v>
      </c>
      <c r="J95" s="1245">
        <v>0.1008140817284584</v>
      </c>
      <c r="K95" s="1245">
        <v>7.7703632414340973E-2</v>
      </c>
      <c r="L95" s="1245">
        <v>3.2205134630203247E-2</v>
      </c>
      <c r="M95" s="1245">
        <v>9.0524405241012573E-2</v>
      </c>
      <c r="N95" s="1245">
        <v>7.5071796774864197E-2</v>
      </c>
      <c r="O95" s="1245">
        <v>5.2506759762763977E-2</v>
      </c>
      <c r="P95" s="1245">
        <v>4.6410400420427322E-2</v>
      </c>
      <c r="Q95" s="1245">
        <v>9.1520197689533234E-2</v>
      </c>
      <c r="R95" s="1245">
        <v>5.5282894521951675E-2</v>
      </c>
      <c r="S95" s="1245">
        <v>4.7006674110889435E-2</v>
      </c>
      <c r="T95" s="1245">
        <v>5.4363980889320374E-2</v>
      </c>
      <c r="U95" s="1245">
        <v>5.5737897753715515E-2</v>
      </c>
      <c r="V95" s="1245">
        <v>4.9893148243427277E-2</v>
      </c>
      <c r="W95" s="1245">
        <v>7.8602440655231476E-2</v>
      </c>
      <c r="X95" s="1245">
        <v>6.4608655869960785E-2</v>
      </c>
      <c r="Y95" s="1245">
        <v>0.12338709831237793</v>
      </c>
      <c r="Z95" s="1245">
        <v>9.2017874121665955E-2</v>
      </c>
      <c r="AA95" s="1245">
        <v>0.1076713502407074</v>
      </c>
      <c r="AB95" s="1245">
        <v>3.1118249520659447E-2</v>
      </c>
      <c r="AC95" s="1245">
        <v>6.5907254815101624E-2</v>
      </c>
      <c r="AD95" s="1245">
        <v>3.8552518934011459E-2</v>
      </c>
      <c r="AE95" s="260">
        <f>'User Add-in Location'!B100</f>
        <v>0</v>
      </c>
      <c r="AF95" s="260">
        <f>'User Add-in Location'!C100</f>
        <v>0</v>
      </c>
      <c r="AG95" s="1245">
        <v>4.6577975153923035E-2</v>
      </c>
      <c r="AH95" s="1245">
        <v>4.2350370436906815E-2</v>
      </c>
      <c r="AI95" s="1245">
        <v>0.1435210257768631</v>
      </c>
      <c r="AJ95" s="1245">
        <v>0.11853820085525513</v>
      </c>
      <c r="AK95" s="1245">
        <v>3.6527581512928009E-2</v>
      </c>
      <c r="AL95" s="1245">
        <v>8.4056459367275238E-2</v>
      </c>
      <c r="AM95" s="1245">
        <v>7.5510188937187195E-2</v>
      </c>
      <c r="AN95" s="1245">
        <v>3.8447603583335876E-2</v>
      </c>
      <c r="AO95" s="1245">
        <v>9.6125535666942596E-2</v>
      </c>
      <c r="AP95" s="1245">
        <v>6.4102143049240112E-2</v>
      </c>
      <c r="AQ95" s="1245">
        <v>8.0730848014354706E-2</v>
      </c>
      <c r="AR95" s="1245">
        <v>0.10139284282922745</v>
      </c>
      <c r="AS95" s="1245">
        <v>9.8947018384933472E-2</v>
      </c>
      <c r="AT95" s="1245">
        <v>6.1319403350353241E-2</v>
      </c>
      <c r="AU95" s="1245">
        <v>4.4163614511489868E-2</v>
      </c>
      <c r="AV95" s="1245">
        <v>7.6350666582584381E-2</v>
      </c>
      <c r="AW95" s="1245">
        <v>8.8137894868850708E-2</v>
      </c>
      <c r="AX95" s="1245">
        <v>0.20556285977363586</v>
      </c>
      <c r="AY95" s="1245">
        <v>7.2729811072349548E-2</v>
      </c>
      <c r="AZ95" s="1245">
        <v>8.6070813238620758E-2</v>
      </c>
      <c r="BA95" s="1245">
        <v>7.9884029924869537E-2</v>
      </c>
      <c r="BB95" s="1245">
        <v>8.0416180193424225E-2</v>
      </c>
      <c r="BC95" s="1245">
        <v>5.9179950505495071E-2</v>
      </c>
      <c r="BD95" s="1245">
        <v>6.9827280938625336E-2</v>
      </c>
      <c r="BE95" s="1245">
        <v>2.3273779079318047E-2</v>
      </c>
    </row>
    <row r="96" spans="1:57" s="220" customFormat="1" x14ac:dyDescent="0.25">
      <c r="A96" s="1254"/>
      <c r="B96" s="1249"/>
      <c r="C96" s="1247" t="s">
        <v>601</v>
      </c>
      <c r="D96" s="1245">
        <v>7.200930267572403E-2</v>
      </c>
      <c r="E96" s="1245">
        <v>0</v>
      </c>
      <c r="F96" s="1245">
        <v>0.10283124446868896</v>
      </c>
      <c r="G96" s="1245">
        <v>5.7676307857036591E-2</v>
      </c>
      <c r="H96" s="1245">
        <v>0.13064694404602051</v>
      </c>
      <c r="I96" s="1245">
        <v>9.5962464809417725E-2</v>
      </c>
      <c r="J96" s="1245">
        <v>0.10429424792528152</v>
      </c>
      <c r="K96" s="1245">
        <v>8.9881390333175659E-2</v>
      </c>
      <c r="L96" s="1245">
        <v>1.9538760185241699E-2</v>
      </c>
      <c r="M96" s="1245">
        <v>9.9542848765850067E-2</v>
      </c>
      <c r="N96" s="1245">
        <v>8.1188693642616272E-2</v>
      </c>
      <c r="O96" s="1245">
        <v>4.0437594056129456E-2</v>
      </c>
      <c r="P96" s="1245">
        <v>6.5712854266166687E-2</v>
      </c>
      <c r="Q96" s="1245">
        <v>0.11845402419567108</v>
      </c>
      <c r="R96" s="1245">
        <v>7.4939228594303131E-2</v>
      </c>
      <c r="S96" s="1245">
        <v>6.2510795891284943E-2</v>
      </c>
      <c r="T96" s="1245">
        <v>6.9424204528331757E-2</v>
      </c>
      <c r="U96" s="1245">
        <v>7.2393126785755157E-2</v>
      </c>
      <c r="V96" s="1245">
        <v>6.4144663512706757E-2</v>
      </c>
      <c r="W96" s="1245">
        <v>6.3732437789440155E-2</v>
      </c>
      <c r="X96" s="1245">
        <v>8.4992431104183197E-2</v>
      </c>
      <c r="Y96" s="1245">
        <v>0.11411610990762711</v>
      </c>
      <c r="Z96" s="1245">
        <v>0.10538811236619949</v>
      </c>
      <c r="AA96" s="1245">
        <v>0.11605006456375122</v>
      </c>
      <c r="AB96" s="1245">
        <v>4.1159048676490784E-2</v>
      </c>
      <c r="AC96" s="1245">
        <v>8.5398361086845398E-2</v>
      </c>
      <c r="AD96" s="1245">
        <v>4.1941165924072266E-2</v>
      </c>
      <c r="AE96" s="260">
        <f>'User Add-in Location'!B101</f>
        <v>0</v>
      </c>
      <c r="AF96" s="260">
        <f>'User Add-in Location'!C101</f>
        <v>0</v>
      </c>
      <c r="AG96" s="1245">
        <v>7.8889533877372742E-2</v>
      </c>
      <c r="AH96" s="1245">
        <v>4.7816663980484009E-2</v>
      </c>
      <c r="AI96" s="1245">
        <v>0.11118020117282867</v>
      </c>
      <c r="AJ96" s="1245">
        <v>0.11294171959161758</v>
      </c>
      <c r="AK96" s="1245">
        <v>3.8577862083911896E-2</v>
      </c>
      <c r="AL96" s="1245">
        <v>9.0540610253810883E-2</v>
      </c>
      <c r="AM96" s="1245">
        <v>7.5191020965576172E-2</v>
      </c>
      <c r="AN96" s="1245">
        <v>5.401262640953064E-2</v>
      </c>
      <c r="AO96" s="1245">
        <v>9.7036577761173248E-2</v>
      </c>
      <c r="AP96" s="1245">
        <v>7.3204226791858673E-2</v>
      </c>
      <c r="AQ96" s="1245">
        <v>4.4572331011295319E-2</v>
      </c>
      <c r="AR96" s="1245">
        <v>0.10863802582025528</v>
      </c>
      <c r="AS96" s="1245">
        <v>7.3404543101787567E-2</v>
      </c>
      <c r="AT96" s="1245">
        <v>7.8226484358310699E-2</v>
      </c>
      <c r="AU96" s="1245">
        <v>5.6537963449954987E-2</v>
      </c>
      <c r="AV96" s="1245">
        <v>9.8756425082683563E-2</v>
      </c>
      <c r="AW96" s="1245">
        <v>9.1653198003768921E-2</v>
      </c>
      <c r="AX96" s="1245">
        <v>0.19302189350128174</v>
      </c>
      <c r="AY96" s="1245">
        <v>7.9075001180171967E-2</v>
      </c>
      <c r="AZ96" s="1245">
        <v>7.1034952998161316E-2</v>
      </c>
      <c r="BA96" s="1245">
        <v>8.1676334142684937E-2</v>
      </c>
      <c r="BB96" s="1245">
        <v>6.9278158247470856E-2</v>
      </c>
      <c r="BC96" s="1245">
        <v>4.2635954916477203E-2</v>
      </c>
      <c r="BD96" s="1245">
        <v>9.4941072165966034E-2</v>
      </c>
      <c r="BE96" s="1245">
        <v>2.8632242232561111E-2</v>
      </c>
    </row>
    <row r="97" spans="1:57" s="220" customFormat="1" x14ac:dyDescent="0.25">
      <c r="A97" s="1254"/>
      <c r="B97" s="1249"/>
      <c r="C97" s="1247" t="s">
        <v>602</v>
      </c>
      <c r="D97" s="1245">
        <v>6.9870226085186005E-2</v>
      </c>
      <c r="E97" s="1245">
        <v>4.3729815632104874E-2</v>
      </c>
      <c r="F97" s="1245">
        <v>0.10764679312705994</v>
      </c>
      <c r="G97" s="1245">
        <v>7.3124341666698456E-2</v>
      </c>
      <c r="H97" s="1245">
        <v>0.1368924081325531</v>
      </c>
      <c r="I97" s="1245">
        <v>0.13175167143344879</v>
      </c>
      <c r="J97" s="1245">
        <v>0.11096601933240891</v>
      </c>
      <c r="K97" s="1245">
        <v>8.9447416365146637E-2</v>
      </c>
      <c r="L97" s="1245">
        <v>5.0725556910037994E-2</v>
      </c>
      <c r="M97" s="1245">
        <v>0.10349979251623154</v>
      </c>
      <c r="N97" s="1245">
        <v>0.10754202306270599</v>
      </c>
      <c r="O97" s="1245">
        <v>6.7405954003334045E-2</v>
      </c>
      <c r="P97" s="1245">
        <v>7.4683241546154022E-2</v>
      </c>
      <c r="Q97" s="1245">
        <v>0.13980218768119812</v>
      </c>
      <c r="R97" s="1245">
        <v>8.3159118890762329E-2</v>
      </c>
      <c r="S97" s="1245">
        <v>7.3492825031280518E-2</v>
      </c>
      <c r="T97" s="1245">
        <v>7.7748760581016541E-2</v>
      </c>
      <c r="U97" s="1245">
        <v>7.4083134531974792E-2</v>
      </c>
      <c r="V97" s="1245">
        <v>6.9502241909503937E-2</v>
      </c>
      <c r="W97" s="1245">
        <v>8.6556389927864075E-2</v>
      </c>
      <c r="X97" s="1245">
        <v>9.0297892689704895E-2</v>
      </c>
      <c r="Y97" s="1245">
        <v>0.12925657629966736</v>
      </c>
      <c r="Z97" s="1245">
        <v>0.10482442378997803</v>
      </c>
      <c r="AA97" s="1245">
        <v>0.13068179786205292</v>
      </c>
      <c r="AB97" s="1245">
        <v>5.531754344701767E-2</v>
      </c>
      <c r="AC97" s="1245">
        <v>0.10229189693927765</v>
      </c>
      <c r="AD97" s="1245">
        <v>7.2903141379356384E-2</v>
      </c>
      <c r="AE97" s="260">
        <f>'User Add-in Location'!B102</f>
        <v>0</v>
      </c>
      <c r="AF97" s="260">
        <f>'User Add-in Location'!C102</f>
        <v>0</v>
      </c>
      <c r="AG97" s="1245">
        <v>8.7486661970615387E-2</v>
      </c>
      <c r="AH97" s="1245">
        <v>0</v>
      </c>
      <c r="AI97" s="1245">
        <v>0.10253333300352097</v>
      </c>
      <c r="AJ97" s="1245">
        <v>0.12581008672714233</v>
      </c>
      <c r="AK97" s="1245">
        <v>5.8510094881057739E-2</v>
      </c>
      <c r="AL97" s="1245">
        <v>0.11718147248029709</v>
      </c>
      <c r="AM97" s="1245">
        <v>9.8294727504253387E-2</v>
      </c>
      <c r="AN97" s="1245">
        <v>7.2747461497783661E-2</v>
      </c>
      <c r="AO97" s="1245">
        <v>0.10793863236904144</v>
      </c>
      <c r="AP97" s="1245">
        <v>9.7488783299922943E-2</v>
      </c>
      <c r="AQ97" s="1245">
        <v>9.3721657991409302E-2</v>
      </c>
      <c r="AR97" s="1245">
        <v>0.13781072199344635</v>
      </c>
      <c r="AS97" s="1245">
        <v>0.10280030220746994</v>
      </c>
      <c r="AT97" s="1245">
        <v>6.7046776413917542E-2</v>
      </c>
      <c r="AU97" s="1245">
        <v>7.0936106145381927E-2</v>
      </c>
      <c r="AV97" s="1245">
        <v>0.11584902554750443</v>
      </c>
      <c r="AW97" s="1245">
        <v>0.12903986871242523</v>
      </c>
      <c r="AX97" s="1245">
        <v>0.22648639976978302</v>
      </c>
      <c r="AY97" s="1245">
        <v>0.11734446138143539</v>
      </c>
      <c r="AZ97" s="1245">
        <v>8.6073048412799835E-2</v>
      </c>
      <c r="BA97" s="1245">
        <v>0.10205701738595963</v>
      </c>
      <c r="BB97" s="1245">
        <v>9.204421192407608E-2</v>
      </c>
      <c r="BC97" s="1245">
        <v>6.8021401762962341E-2</v>
      </c>
      <c r="BD97" s="1245">
        <v>9.8615512251853943E-2</v>
      </c>
      <c r="BE97" s="1245">
        <v>3.9074938744306564E-2</v>
      </c>
    </row>
    <row r="98" spans="1:57" s="220" customFormat="1" x14ac:dyDescent="0.25">
      <c r="A98" s="1254"/>
      <c r="B98" s="1249"/>
      <c r="C98" s="1247" t="s">
        <v>603</v>
      </c>
      <c r="D98" s="1245">
        <v>9.6113309264183044E-2</v>
      </c>
      <c r="E98" s="1245">
        <v>7.1412771940231323E-2</v>
      </c>
      <c r="F98" s="1245">
        <v>0.15717005729675293</v>
      </c>
      <c r="G98" s="1245">
        <v>8.004915714263916E-2</v>
      </c>
      <c r="H98" s="1245">
        <v>0.15466809272766113</v>
      </c>
      <c r="I98" s="1245">
        <v>0.1693587601184845</v>
      </c>
      <c r="J98" s="1245">
        <v>0.14914938807487488</v>
      </c>
      <c r="K98" s="1245">
        <v>0.1242232471704483</v>
      </c>
      <c r="L98" s="1245">
        <v>5.6770317256450653E-2</v>
      </c>
      <c r="M98" s="1245">
        <v>0.15061250329017639</v>
      </c>
      <c r="N98" s="1245">
        <v>0.14070925116539001</v>
      </c>
      <c r="O98" s="1245">
        <v>0.1033623069524765</v>
      </c>
      <c r="P98" s="1245">
        <v>9.6592143177986145E-2</v>
      </c>
      <c r="Q98" s="1245">
        <v>0.16824810206890106</v>
      </c>
      <c r="R98" s="1245">
        <v>0.10677599906921387</v>
      </c>
      <c r="S98" s="1245">
        <v>0.10130161792039871</v>
      </c>
      <c r="T98" s="1245">
        <v>0.10363905131816864</v>
      </c>
      <c r="U98" s="1245">
        <v>9.2163905501365662E-2</v>
      </c>
      <c r="V98" s="1245">
        <v>8.9036591351032257E-2</v>
      </c>
      <c r="W98" s="1245">
        <v>0.12125540524721146</v>
      </c>
      <c r="X98" s="1245">
        <v>0.12983763217926025</v>
      </c>
      <c r="Y98" s="1245">
        <v>0.18683366477489471</v>
      </c>
      <c r="Z98" s="1245">
        <v>0.13898655772209167</v>
      </c>
      <c r="AA98" s="1245">
        <v>0.18301759660243988</v>
      </c>
      <c r="AB98" s="1245">
        <v>7.1326516568660736E-2</v>
      </c>
      <c r="AC98" s="1245">
        <v>0.13927119970321655</v>
      </c>
      <c r="AD98" s="1245">
        <v>9.1974146664142609E-2</v>
      </c>
      <c r="AE98" s="260">
        <f>'User Add-in Location'!B103</f>
        <v>0</v>
      </c>
      <c r="AF98" s="260">
        <f>'User Add-in Location'!C103</f>
        <v>0</v>
      </c>
      <c r="AG98" s="1245">
        <v>0.10757581889629364</v>
      </c>
      <c r="AH98" s="1245">
        <v>7.7664688229560852E-2</v>
      </c>
      <c r="AI98" s="1245">
        <v>0.17077760398387909</v>
      </c>
      <c r="AJ98" s="1245">
        <v>0.16060715913772583</v>
      </c>
      <c r="AK98" s="1245">
        <v>7.160148024559021E-2</v>
      </c>
      <c r="AL98" s="1245">
        <v>0.13669773936271667</v>
      </c>
      <c r="AM98" s="1245">
        <v>0.1422354131937027</v>
      </c>
      <c r="AN98" s="1245">
        <v>8.3165243268013E-2</v>
      </c>
      <c r="AO98" s="1245">
        <v>0.14819803833961487</v>
      </c>
      <c r="AP98" s="1245">
        <v>9.6204325556755066E-2</v>
      </c>
      <c r="AQ98" s="1245">
        <v>0.13471022248268127</v>
      </c>
      <c r="AR98" s="1245">
        <v>0.16285702586174011</v>
      </c>
      <c r="AS98" s="1245">
        <v>0.15145552158355713</v>
      </c>
      <c r="AT98" s="1245">
        <v>9.6656039357185364E-2</v>
      </c>
      <c r="AU98" s="1245">
        <v>9.4290345907211304E-2</v>
      </c>
      <c r="AV98" s="1245">
        <v>0.14229705929756165</v>
      </c>
      <c r="AW98" s="1245">
        <v>0.13722944259643555</v>
      </c>
      <c r="AX98" s="1245">
        <v>0.24861553311347961</v>
      </c>
      <c r="AY98" s="1245">
        <v>0.13791711628437042</v>
      </c>
      <c r="AZ98" s="1245">
        <v>0.11026239395141602</v>
      </c>
      <c r="BA98" s="1245">
        <v>0.13555516302585602</v>
      </c>
      <c r="BB98" s="1245">
        <v>0.1189730316400528</v>
      </c>
      <c r="BC98" s="1245">
        <v>8.0618396401405334E-2</v>
      </c>
      <c r="BD98" s="1245">
        <v>0.13142415881156921</v>
      </c>
      <c r="BE98" s="1245">
        <v>4.9289684742689133E-2</v>
      </c>
    </row>
    <row r="99" spans="1:57" s="220" customFormat="1" x14ac:dyDescent="0.25">
      <c r="A99" s="1254"/>
      <c r="B99" s="1249"/>
      <c r="C99" s="1247" t="s">
        <v>604</v>
      </c>
      <c r="D99" s="1245">
        <v>0.10455426573753357</v>
      </c>
      <c r="E99" s="1245">
        <v>0.10990859568119049</v>
      </c>
      <c r="F99" s="1245">
        <v>0.17028030753135681</v>
      </c>
      <c r="G99" s="1245">
        <v>0.10235363245010376</v>
      </c>
      <c r="H99" s="1245">
        <v>0.17313344776630402</v>
      </c>
      <c r="I99" s="1245">
        <v>0.17648924887180328</v>
      </c>
      <c r="J99" s="1245">
        <v>0.17944620549678802</v>
      </c>
      <c r="K99" s="1245">
        <v>0.14357545971870422</v>
      </c>
      <c r="L99" s="1245">
        <v>5.7645343244075775E-2</v>
      </c>
      <c r="M99" s="1245">
        <v>0.17265963554382324</v>
      </c>
      <c r="N99" s="1245">
        <v>0.1586230993270874</v>
      </c>
      <c r="O99" s="1245">
        <v>0.1118585467338562</v>
      </c>
      <c r="P99" s="1245">
        <v>0.11365650594234467</v>
      </c>
      <c r="Q99" s="1245">
        <v>0.18201228976249695</v>
      </c>
      <c r="R99" s="1245">
        <v>0.11845048516988754</v>
      </c>
      <c r="S99" s="1245">
        <v>0.11343388259410858</v>
      </c>
      <c r="T99" s="1245">
        <v>0.10989685356616974</v>
      </c>
      <c r="U99" s="1245">
        <v>0.12127362191677094</v>
      </c>
      <c r="V99" s="1245">
        <v>0.10097016394138336</v>
      </c>
      <c r="W99" s="1245">
        <v>0.14034298062324524</v>
      </c>
      <c r="X99" s="1245">
        <v>0.14489711821079254</v>
      </c>
      <c r="Y99" s="1245">
        <v>0.20965638756752014</v>
      </c>
      <c r="Z99" s="1245">
        <v>0.14585377275943756</v>
      </c>
      <c r="AA99" s="1245">
        <v>0.18376505374908447</v>
      </c>
      <c r="AB99" s="1245">
        <v>8.6376287043094635E-2</v>
      </c>
      <c r="AC99" s="1245">
        <v>0.15513399243354797</v>
      </c>
      <c r="AD99" s="1245">
        <v>0.12331060320138931</v>
      </c>
      <c r="AE99" s="260">
        <f>'User Add-in Location'!B104</f>
        <v>0</v>
      </c>
      <c r="AF99" s="260">
        <f>'User Add-in Location'!C104</f>
        <v>0</v>
      </c>
      <c r="AG99" s="1245">
        <v>0.11789817363023758</v>
      </c>
      <c r="AH99" s="1245">
        <v>5.6533001363277435E-2</v>
      </c>
      <c r="AI99" s="1245">
        <v>0.19529081881046295</v>
      </c>
      <c r="AJ99" s="1245">
        <v>0.18505021929740906</v>
      </c>
      <c r="AK99" s="1245">
        <v>9.1723404824733734E-2</v>
      </c>
      <c r="AL99" s="1245">
        <v>0.1599789559841156</v>
      </c>
      <c r="AM99" s="1245">
        <v>0.16648422181606293</v>
      </c>
      <c r="AN99" s="1245">
        <v>9.5559701323509216E-2</v>
      </c>
      <c r="AO99" s="1245">
        <v>0.16122065484523773</v>
      </c>
      <c r="AP99" s="1245">
        <v>0.12203708291053772</v>
      </c>
      <c r="AQ99" s="1245">
        <v>0.16732653975486755</v>
      </c>
      <c r="AR99" s="1245">
        <v>0.18837149441242218</v>
      </c>
      <c r="AS99" s="1245">
        <v>0.17401677370071411</v>
      </c>
      <c r="AT99" s="1245">
        <v>0.11391493678092957</v>
      </c>
      <c r="AU99" s="1245">
        <v>0.10873106122016907</v>
      </c>
      <c r="AV99" s="1245">
        <v>0.1684613972902298</v>
      </c>
      <c r="AW99" s="1245">
        <v>0.15031802654266357</v>
      </c>
      <c r="AX99" s="1245">
        <v>0.2753351628780365</v>
      </c>
      <c r="AY99" s="1245">
        <v>0.15536946058273315</v>
      </c>
      <c r="AZ99" s="1245">
        <v>0.13397930562496185</v>
      </c>
      <c r="BA99" s="1245">
        <v>0.14355073869228363</v>
      </c>
      <c r="BB99" s="1245">
        <v>0.12850359082221985</v>
      </c>
      <c r="BC99" s="1245">
        <v>9.6920415759086609E-2</v>
      </c>
      <c r="BD99" s="1245">
        <v>0.14018870890140533</v>
      </c>
      <c r="BE99" s="1245">
        <v>6.0013893991708755E-2</v>
      </c>
    </row>
    <row r="100" spans="1:57" s="220" customFormat="1" x14ac:dyDescent="0.25">
      <c r="A100" s="1254"/>
      <c r="B100" s="1249"/>
      <c r="C100" s="1247" t="s">
        <v>605</v>
      </c>
      <c r="D100" s="1245">
        <v>7.8206546604633331E-2</v>
      </c>
      <c r="E100" s="1245">
        <v>6.1796572059392929E-2</v>
      </c>
      <c r="F100" s="1245">
        <v>0.12851446866989136</v>
      </c>
      <c r="G100" s="1245">
        <v>6.2698222696781158E-2</v>
      </c>
      <c r="H100" s="1245">
        <v>0.1223742663860321</v>
      </c>
      <c r="I100" s="1245">
        <v>0.12701913714408875</v>
      </c>
      <c r="J100" s="1245">
        <v>0.14209847152233124</v>
      </c>
      <c r="K100" s="1245">
        <v>7.2448059916496277E-2</v>
      </c>
      <c r="L100" s="1245">
        <v>4.0503397583961487E-2</v>
      </c>
      <c r="M100" s="1245">
        <v>0.124976746737957</v>
      </c>
      <c r="N100" s="1245">
        <v>0.10673096030950546</v>
      </c>
      <c r="O100" s="1245">
        <v>7.1465767920017242E-2</v>
      </c>
      <c r="P100" s="1245">
        <v>6.8197377026081085E-2</v>
      </c>
      <c r="Q100" s="1245">
        <v>0.1312154233455658</v>
      </c>
      <c r="R100" s="1245">
        <v>7.3899537324905396E-2</v>
      </c>
      <c r="S100" s="1245">
        <v>7.5270257890224457E-2</v>
      </c>
      <c r="T100" s="1245">
        <v>8.2480072975158691E-2</v>
      </c>
      <c r="U100" s="1245">
        <v>8.025369793176651E-2</v>
      </c>
      <c r="V100" s="1245">
        <v>6.8600006401538849E-2</v>
      </c>
      <c r="W100" s="1245">
        <v>8.9268207550048828E-2</v>
      </c>
      <c r="X100" s="1245">
        <v>9.3044735491275787E-2</v>
      </c>
      <c r="Y100" s="1245">
        <v>0.1594042032957077</v>
      </c>
      <c r="Z100" s="1245">
        <v>0.1041128933429718</v>
      </c>
      <c r="AA100" s="1245">
        <v>0.15468142926692963</v>
      </c>
      <c r="AB100" s="1245">
        <v>5.6557916104793549E-2</v>
      </c>
      <c r="AC100" s="1245">
        <v>0.10296107828617096</v>
      </c>
      <c r="AD100" s="1245">
        <v>6.4958781003952026E-2</v>
      </c>
      <c r="AE100" s="260">
        <f>'User Add-in Location'!B105</f>
        <v>0</v>
      </c>
      <c r="AF100" s="260">
        <f>'User Add-in Location'!C105</f>
        <v>0</v>
      </c>
      <c r="AG100" s="1245">
        <v>8.1360697746276855E-2</v>
      </c>
      <c r="AH100" s="1245">
        <v>0</v>
      </c>
      <c r="AI100" s="1245">
        <v>0.12064278125762939</v>
      </c>
      <c r="AJ100" s="1245">
        <v>0.12645217776298523</v>
      </c>
      <c r="AK100" s="1245">
        <v>4.562847688794136E-2</v>
      </c>
      <c r="AL100" s="1245">
        <v>0.12641012668609619</v>
      </c>
      <c r="AM100" s="1245">
        <v>0.12061743438243866</v>
      </c>
      <c r="AN100" s="1245">
        <v>6.5395168960094452E-2</v>
      </c>
      <c r="AO100" s="1245">
        <v>0.10631218552589417</v>
      </c>
      <c r="AP100" s="1245">
        <v>8.0355554819107056E-2</v>
      </c>
      <c r="AQ100" s="1245">
        <v>8.8156037032604218E-2</v>
      </c>
      <c r="AR100" s="1245">
        <v>0.13137373328208923</v>
      </c>
      <c r="AS100" s="1245">
        <v>0.12196839600801468</v>
      </c>
      <c r="AT100" s="1245">
        <v>8.8150948286056519E-2</v>
      </c>
      <c r="AU100" s="1245">
        <v>6.5597698092460632E-2</v>
      </c>
      <c r="AV100" s="1245">
        <v>0.11978045105934143</v>
      </c>
      <c r="AW100" s="1245">
        <v>0.12423213571310043</v>
      </c>
      <c r="AX100" s="1245">
        <v>0.20506180822849274</v>
      </c>
      <c r="AY100" s="1245">
        <v>9.2236913740634918E-2</v>
      </c>
      <c r="AZ100" s="1245">
        <v>8.0077908933162689E-2</v>
      </c>
      <c r="BA100" s="1245">
        <v>9.5234796404838562E-2</v>
      </c>
      <c r="BB100" s="1245">
        <v>8.287348598241806E-2</v>
      </c>
      <c r="BC100" s="1245">
        <v>5.8801136910915375E-2</v>
      </c>
      <c r="BD100" s="1245">
        <v>9.1579228639602661E-2</v>
      </c>
      <c r="BE100" s="1245">
        <v>3.4442733973264694E-2</v>
      </c>
    </row>
    <row r="101" spans="1:57" s="220" customFormat="1" x14ac:dyDescent="0.25">
      <c r="A101" s="1254"/>
      <c r="B101" s="1249"/>
      <c r="C101" s="1247" t="s">
        <v>606</v>
      </c>
      <c r="D101" s="1245">
        <v>0.13663017749786377</v>
      </c>
      <c r="E101" s="1245">
        <v>0.12762466073036194</v>
      </c>
      <c r="F101" s="1245">
        <v>0.21511486172676086</v>
      </c>
      <c r="G101" s="1245">
        <v>0.11744352430105209</v>
      </c>
      <c r="H101" s="1245">
        <v>0.22832545638084412</v>
      </c>
      <c r="I101" s="1245">
        <v>0.22436848282814026</v>
      </c>
      <c r="J101" s="1245">
        <v>0.2137267142534256</v>
      </c>
      <c r="K101" s="1245">
        <v>0.16316482424736023</v>
      </c>
      <c r="L101" s="1245">
        <v>7.7069252729415894E-2</v>
      </c>
      <c r="M101" s="1245">
        <v>0.21273645758628845</v>
      </c>
      <c r="N101" s="1245">
        <v>0.20023106038570404</v>
      </c>
      <c r="O101" s="1245">
        <v>0.13930746912956238</v>
      </c>
      <c r="P101" s="1245">
        <v>0.12416022270917892</v>
      </c>
      <c r="Q101" s="1245">
        <v>0.23292049765586853</v>
      </c>
      <c r="R101" s="1245">
        <v>0.12460972368717194</v>
      </c>
      <c r="S101" s="1245">
        <v>0.12693169713020325</v>
      </c>
      <c r="T101" s="1245">
        <v>0.14299222826957703</v>
      </c>
      <c r="U101" s="1245">
        <v>0.13715261220932007</v>
      </c>
      <c r="V101" s="1245">
        <v>0.13084115087985992</v>
      </c>
      <c r="W101" s="1245">
        <v>0.16520318388938904</v>
      </c>
      <c r="X101" s="1245">
        <v>0.17851395905017853</v>
      </c>
      <c r="Y101" s="1245">
        <v>0.23877060413360596</v>
      </c>
      <c r="Z101" s="1245">
        <v>0.1975284218788147</v>
      </c>
      <c r="AA101" s="1245">
        <v>0.23120814561843872</v>
      </c>
      <c r="AB101" s="1245">
        <v>9.9788494408130646E-2</v>
      </c>
      <c r="AC101" s="1245">
        <v>0.18325063586235046</v>
      </c>
      <c r="AD101" s="1245">
        <v>0.12577755749225616</v>
      </c>
      <c r="AE101" s="260">
        <f>'User Add-in Location'!B106</f>
        <v>0</v>
      </c>
      <c r="AF101" s="260">
        <f>'User Add-in Location'!C106</f>
        <v>0</v>
      </c>
      <c r="AG101" s="1245">
        <v>0.13698017597198486</v>
      </c>
      <c r="AH101" s="1245">
        <v>0.11239653080701828</v>
      </c>
      <c r="AI101" s="1245">
        <v>0.20352724194526672</v>
      </c>
      <c r="AJ101" s="1245">
        <v>0.22572524845600128</v>
      </c>
      <c r="AK101" s="1245">
        <v>0.10229144245386124</v>
      </c>
      <c r="AL101" s="1245">
        <v>0.19380025565624237</v>
      </c>
      <c r="AM101" s="1245">
        <v>0.17769505083560944</v>
      </c>
      <c r="AN101" s="1245">
        <v>0.11466191709041595</v>
      </c>
      <c r="AO101" s="1245">
        <v>0.20081508159637451</v>
      </c>
      <c r="AP101" s="1245">
        <v>0.13880643248558044</v>
      </c>
      <c r="AQ101" s="1245">
        <v>0.15512855350971222</v>
      </c>
      <c r="AR101" s="1245">
        <v>0.21911859512329102</v>
      </c>
      <c r="AS101" s="1245">
        <v>0.19556951522827148</v>
      </c>
      <c r="AT101" s="1245">
        <v>0.14185231924057007</v>
      </c>
      <c r="AU101" s="1245">
        <v>0.11721476167440414</v>
      </c>
      <c r="AV101" s="1245">
        <v>0.19978737831115723</v>
      </c>
      <c r="AW101" s="1245">
        <v>0.19828565418720245</v>
      </c>
      <c r="AX101" s="1245">
        <v>0.34100866317749023</v>
      </c>
      <c r="AY101" s="1245">
        <v>0.18284508585929871</v>
      </c>
      <c r="AZ101" s="1245">
        <v>0.14848455786705017</v>
      </c>
      <c r="BA101" s="1245">
        <v>0.19393572211265564</v>
      </c>
      <c r="BB101" s="1245">
        <v>0.16276556253433228</v>
      </c>
      <c r="BC101" s="1245">
        <v>0.11259737610816956</v>
      </c>
      <c r="BD101" s="1245">
        <v>0.16794618964195251</v>
      </c>
      <c r="BE101" s="1245">
        <v>7.0822000503540039E-2</v>
      </c>
    </row>
    <row r="102" spans="1:57" s="220" customFormat="1" x14ac:dyDescent="0.25">
      <c r="A102" s="1254"/>
      <c r="B102" s="1249"/>
      <c r="C102" s="1247" t="s">
        <v>607</v>
      </c>
      <c r="D102" s="1245">
        <v>0.10020158439874649</v>
      </c>
      <c r="E102" s="1245">
        <v>9.3267567455768585E-2</v>
      </c>
      <c r="F102" s="1245">
        <v>0.16473440825939178</v>
      </c>
      <c r="G102" s="1245">
        <v>8.6621470749378204E-2</v>
      </c>
      <c r="H102" s="1245">
        <v>0.1730511337518692</v>
      </c>
      <c r="I102" s="1245">
        <v>0.16454513370990753</v>
      </c>
      <c r="J102" s="1245">
        <v>0.1668114960193634</v>
      </c>
      <c r="K102" s="1245">
        <v>0.13465327024459839</v>
      </c>
      <c r="L102" s="1245">
        <v>6.5087750554084778E-2</v>
      </c>
      <c r="M102" s="1245">
        <v>0.16181512176990509</v>
      </c>
      <c r="N102" s="1245">
        <v>0.14570055902004242</v>
      </c>
      <c r="O102" s="1245">
        <v>0.11247842758893967</v>
      </c>
      <c r="P102" s="1245">
        <v>0.10093313455581665</v>
      </c>
      <c r="Q102" s="1245">
        <v>0.17690357565879822</v>
      </c>
      <c r="R102" s="1245">
        <v>0.11312173306941986</v>
      </c>
      <c r="S102" s="1245">
        <v>0.10011539608240128</v>
      </c>
      <c r="T102" s="1245">
        <v>0.10667608678340912</v>
      </c>
      <c r="U102" s="1245">
        <v>0.10858170688152313</v>
      </c>
      <c r="V102" s="1245">
        <v>9.4581872224807739E-2</v>
      </c>
      <c r="W102" s="1245">
        <v>0.1341235339641571</v>
      </c>
      <c r="X102" s="1245">
        <v>0.13820642232894897</v>
      </c>
      <c r="Y102" s="1245">
        <v>0.19631309807300568</v>
      </c>
      <c r="Z102" s="1245">
        <v>0.14854660630226135</v>
      </c>
      <c r="AA102" s="1245">
        <v>0.18303413689136505</v>
      </c>
      <c r="AB102" s="1245">
        <v>7.6456882059574127E-2</v>
      </c>
      <c r="AC102" s="1245">
        <v>0.14328640699386597</v>
      </c>
      <c r="AD102" s="1245">
        <v>9.8169103264808655E-2</v>
      </c>
      <c r="AE102" s="260">
        <f>'User Add-in Location'!B107</f>
        <v>0</v>
      </c>
      <c r="AF102" s="260">
        <f>'User Add-in Location'!C107</f>
        <v>0</v>
      </c>
      <c r="AG102" s="1245">
        <v>0.11401751637458801</v>
      </c>
      <c r="AH102" s="1245">
        <v>8.0097906291484833E-2</v>
      </c>
      <c r="AI102" s="1245">
        <v>0.16641329228878021</v>
      </c>
      <c r="AJ102" s="1245">
        <v>0.17623239755630493</v>
      </c>
      <c r="AK102" s="1245">
        <v>7.5736060738563538E-2</v>
      </c>
      <c r="AL102" s="1245">
        <v>0.15345685184001923</v>
      </c>
      <c r="AM102" s="1245">
        <v>0.14754973351955414</v>
      </c>
      <c r="AN102" s="1245">
        <v>8.4745608270168304E-2</v>
      </c>
      <c r="AO102" s="1245">
        <v>0.16009850800037384</v>
      </c>
      <c r="AP102" s="1245">
        <v>0.10352835059165955</v>
      </c>
      <c r="AQ102" s="1245">
        <v>0.14404773712158203</v>
      </c>
      <c r="AR102" s="1245">
        <v>0.18072670698165894</v>
      </c>
      <c r="AS102" s="1245">
        <v>0.16109126806259155</v>
      </c>
      <c r="AT102" s="1245">
        <v>0.10286487638950348</v>
      </c>
      <c r="AU102" s="1245">
        <v>0.10041923820972443</v>
      </c>
      <c r="AV102" s="1245">
        <v>0.16434414684772491</v>
      </c>
      <c r="AW102" s="1245">
        <v>0.14599087834358215</v>
      </c>
      <c r="AX102" s="1245">
        <v>0.27031335234642029</v>
      </c>
      <c r="AY102" s="1245">
        <v>0.13725756108760834</v>
      </c>
      <c r="AZ102" s="1245">
        <v>0.1205299124121666</v>
      </c>
      <c r="BA102" s="1245">
        <v>0.14391189813613892</v>
      </c>
      <c r="BB102" s="1245">
        <v>0.12340943515300751</v>
      </c>
      <c r="BC102" s="1245">
        <v>9.2372149229049683E-2</v>
      </c>
      <c r="BD102" s="1245">
        <v>0.13372926414012909</v>
      </c>
      <c r="BE102" s="1245">
        <v>5.0549108535051346E-2</v>
      </c>
    </row>
    <row r="103" spans="1:57" s="220" customFormat="1" x14ac:dyDescent="0.25">
      <c r="A103" s="1254"/>
      <c r="B103" s="1249"/>
      <c r="C103" s="1247" t="s">
        <v>609</v>
      </c>
      <c r="D103" s="1245">
        <v>0.15283650159835815</v>
      </c>
      <c r="E103" s="1245">
        <v>0.16667214035987854</v>
      </c>
      <c r="F103" s="1245">
        <v>0.2310967743396759</v>
      </c>
      <c r="G103" s="1245">
        <v>0.1644311398267746</v>
      </c>
      <c r="H103" s="1245">
        <v>0.25122275948524475</v>
      </c>
      <c r="I103" s="1245">
        <v>0.25579068064689636</v>
      </c>
      <c r="J103" s="1245">
        <v>0.21450182795524597</v>
      </c>
      <c r="K103" s="1245">
        <v>0.18529145419597626</v>
      </c>
      <c r="L103" s="1245">
        <v>6.9978967308998108E-2</v>
      </c>
      <c r="M103" s="1245">
        <v>0.24422141909599304</v>
      </c>
      <c r="N103" s="1245">
        <v>0.24546471238136292</v>
      </c>
      <c r="O103" s="1245">
        <v>0.1862795352935791</v>
      </c>
      <c r="P103" s="1245">
        <v>0.17007939517498016</v>
      </c>
      <c r="Q103" s="1245">
        <v>0.28110933303833008</v>
      </c>
      <c r="R103" s="1245">
        <v>0.19551986455917358</v>
      </c>
      <c r="S103" s="1245">
        <v>0.17435047030448914</v>
      </c>
      <c r="T103" s="1245">
        <v>0.18614935874938965</v>
      </c>
      <c r="U103" s="1245">
        <v>0.18210659921169281</v>
      </c>
      <c r="V103" s="1245">
        <v>0.16856668889522552</v>
      </c>
      <c r="W103" s="1245">
        <v>0.22053593397140503</v>
      </c>
      <c r="X103" s="1245">
        <v>0.18216545879840851</v>
      </c>
      <c r="Y103" s="1245">
        <v>0.21674627065658569</v>
      </c>
      <c r="Z103" s="1245">
        <v>0.23710443079471588</v>
      </c>
      <c r="AA103" s="1245">
        <v>0.26000472903251648</v>
      </c>
      <c r="AB103" s="1245">
        <v>0.14400050044059753</v>
      </c>
      <c r="AC103" s="1245">
        <v>0.23208171129226685</v>
      </c>
      <c r="AD103" s="1245">
        <v>0.16723074018955231</v>
      </c>
      <c r="AE103" s="260">
        <f>'User Add-in Location'!B108</f>
        <v>0</v>
      </c>
      <c r="AF103" s="260">
        <f>'User Add-in Location'!C108</f>
        <v>0</v>
      </c>
      <c r="AG103" s="1245">
        <v>0.19770041108131409</v>
      </c>
      <c r="AH103" s="1245">
        <v>0.13256825506687164</v>
      </c>
      <c r="AI103" s="1245">
        <v>0.20558694005012512</v>
      </c>
      <c r="AJ103" s="1245">
        <v>0.26760929822921753</v>
      </c>
      <c r="AK103" s="1245">
        <v>0.10174676775932312</v>
      </c>
      <c r="AL103" s="1245">
        <v>0.21698160469532013</v>
      </c>
      <c r="AM103" s="1245">
        <v>0.24310961365699768</v>
      </c>
      <c r="AN103" s="1245">
        <v>0.14484240114688873</v>
      </c>
      <c r="AO103" s="1245">
        <v>0.24172484874725342</v>
      </c>
      <c r="AP103" s="1245">
        <v>0.16276641190052032</v>
      </c>
      <c r="AQ103" s="1245">
        <v>0.21938565373420715</v>
      </c>
      <c r="AR103" s="1245">
        <v>0.25953295826911926</v>
      </c>
      <c r="AS103" s="1245">
        <v>0.21066252887248993</v>
      </c>
      <c r="AT103" s="1245">
        <v>0.18262436985969543</v>
      </c>
      <c r="AU103" s="1245">
        <v>0.16244806349277496</v>
      </c>
      <c r="AV103" s="1245">
        <v>0.23640771210193634</v>
      </c>
      <c r="AW103" s="1245">
        <v>0.22383598983287811</v>
      </c>
      <c r="AX103" s="1245">
        <v>0.36965274810791016</v>
      </c>
      <c r="AY103" s="1245">
        <v>0.21669599413871765</v>
      </c>
      <c r="AZ103" s="1245">
        <v>0.20529082417488098</v>
      </c>
      <c r="BA103" s="1245">
        <v>0.19614987075328827</v>
      </c>
      <c r="BB103" s="1245">
        <v>0.18845605850219727</v>
      </c>
      <c r="BC103" s="1245">
        <v>0.14663015305995941</v>
      </c>
      <c r="BD103" s="1245">
        <v>0.2125554084777832</v>
      </c>
      <c r="BE103" s="1245">
        <v>0.10078434646129608</v>
      </c>
    </row>
    <row r="104" spans="1:57" s="220" customFormat="1" x14ac:dyDescent="0.25">
      <c r="A104" s="1254"/>
      <c r="B104" s="1249"/>
      <c r="C104" s="1247"/>
      <c r="D104" s="1245"/>
      <c r="E104" s="1245"/>
      <c r="F104" s="1245"/>
      <c r="G104" s="1245"/>
      <c r="H104" s="1245"/>
      <c r="I104" s="1245"/>
      <c r="J104" s="1245"/>
      <c r="K104" s="1245"/>
      <c r="L104" s="1245"/>
      <c r="M104" s="1245"/>
      <c r="N104" s="1245"/>
      <c r="O104" s="1245"/>
      <c r="P104" s="1245"/>
      <c r="Q104" s="1245"/>
      <c r="R104" s="1245"/>
      <c r="S104" s="1245"/>
      <c r="T104" s="1245"/>
      <c r="U104" s="1245"/>
      <c r="V104" s="1245"/>
      <c r="W104" s="1245"/>
      <c r="X104" s="1245"/>
      <c r="Y104" s="1245"/>
      <c r="Z104" s="1245"/>
      <c r="AA104" s="1245"/>
      <c r="AB104" s="1245"/>
      <c r="AC104" s="1245"/>
      <c r="AD104" s="1245"/>
      <c r="AE104" s="260"/>
      <c r="AF104" s="260"/>
      <c r="AG104" s="1245"/>
      <c r="AH104" s="1245"/>
      <c r="AI104" s="1245"/>
      <c r="AJ104" s="1245"/>
      <c r="AK104" s="1245"/>
      <c r="AL104" s="1245"/>
      <c r="AM104" s="1245"/>
      <c r="AN104" s="1245"/>
      <c r="AO104" s="1245"/>
      <c r="AP104" s="1245"/>
      <c r="AQ104" s="1245"/>
      <c r="AR104" s="1245"/>
      <c r="AS104" s="1245"/>
      <c r="AT104" s="1245"/>
      <c r="AU104" s="1245"/>
      <c r="AV104" s="1245"/>
      <c r="AW104" s="1245"/>
      <c r="AX104" s="1245"/>
      <c r="AY104" s="1245"/>
      <c r="AZ104" s="1245"/>
      <c r="BA104" s="1245"/>
      <c r="BB104" s="1245"/>
      <c r="BC104" s="1245"/>
      <c r="BD104" s="1245"/>
      <c r="BE104" s="1245"/>
    </row>
    <row r="105" spans="1:57" s="220" customFormat="1" x14ac:dyDescent="0.25">
      <c r="A105" s="1254"/>
      <c r="B105" s="1249"/>
      <c r="C105" s="1258" t="s">
        <v>616</v>
      </c>
      <c r="D105" s="1245"/>
      <c r="E105" s="1245"/>
      <c r="F105" s="1245"/>
      <c r="G105" s="1245"/>
      <c r="H105" s="1245"/>
      <c r="I105" s="1245"/>
      <c r="J105" s="1245"/>
      <c r="K105" s="1245"/>
      <c r="L105" s="1245"/>
      <c r="M105" s="1245"/>
      <c r="N105" s="1245"/>
      <c r="O105" s="1245"/>
      <c r="P105" s="1245"/>
      <c r="Q105" s="1245"/>
      <c r="R105" s="1245"/>
      <c r="S105" s="1245"/>
      <c r="T105" s="1245"/>
      <c r="U105" s="1245"/>
      <c r="V105" s="1245"/>
      <c r="W105" s="1245"/>
      <c r="X105" s="1245"/>
      <c r="Y105" s="1245"/>
      <c r="Z105" s="1245"/>
      <c r="AA105" s="1245"/>
      <c r="AB105" s="1245"/>
      <c r="AC105" s="1245"/>
      <c r="AD105" s="1245"/>
      <c r="AE105" s="260"/>
      <c r="AF105" s="260"/>
      <c r="AG105" s="1245"/>
      <c r="AH105" s="1245"/>
      <c r="AI105" s="1245"/>
      <c r="AJ105" s="1245"/>
      <c r="AK105" s="1245"/>
      <c r="AL105" s="1245"/>
      <c r="AM105" s="1245"/>
      <c r="AN105" s="1245"/>
      <c r="AO105" s="1245"/>
      <c r="AP105" s="1245"/>
      <c r="AQ105" s="1245"/>
      <c r="AR105" s="1245"/>
      <c r="AS105" s="1245"/>
      <c r="AT105" s="1245"/>
      <c r="AU105" s="1245"/>
      <c r="AV105" s="1245"/>
      <c r="AW105" s="1245"/>
      <c r="AX105" s="1245"/>
      <c r="AY105" s="1245"/>
      <c r="AZ105" s="1245"/>
      <c r="BA105" s="1245"/>
      <c r="BB105" s="1245"/>
      <c r="BC105" s="1245"/>
      <c r="BD105" s="1245"/>
      <c r="BE105" s="1245"/>
    </row>
    <row r="106" spans="1:57" s="220" customFormat="1" ht="15" customHeight="1" x14ac:dyDescent="0.25">
      <c r="A106" s="1254"/>
      <c r="B106" s="1249"/>
      <c r="C106" s="1257" t="s">
        <v>617</v>
      </c>
      <c r="D106" s="1245" t="s">
        <v>539</v>
      </c>
      <c r="E106" s="1245" t="s">
        <v>540</v>
      </c>
      <c r="F106" s="1245" t="s">
        <v>541</v>
      </c>
      <c r="G106" s="1245" t="s">
        <v>542</v>
      </c>
      <c r="H106" s="1245" t="s">
        <v>543</v>
      </c>
      <c r="I106" s="1245" t="s">
        <v>143</v>
      </c>
      <c r="J106" s="1245" t="s">
        <v>544</v>
      </c>
      <c r="K106" s="1245" t="s">
        <v>545</v>
      </c>
      <c r="L106" s="1245" t="s">
        <v>546</v>
      </c>
      <c r="M106" s="1245" t="s">
        <v>547</v>
      </c>
      <c r="N106" s="1245" t="s">
        <v>548</v>
      </c>
      <c r="O106" s="1245" t="s">
        <v>549</v>
      </c>
      <c r="P106" s="1245" t="s">
        <v>550</v>
      </c>
      <c r="Q106" s="1245" t="s">
        <v>551</v>
      </c>
      <c r="R106" s="1245" t="s">
        <v>552</v>
      </c>
      <c r="S106" s="1245" t="s">
        <v>553</v>
      </c>
      <c r="T106" s="1245" t="s">
        <v>554</v>
      </c>
      <c r="U106" s="1245" t="s">
        <v>555</v>
      </c>
      <c r="V106" s="1245" t="s">
        <v>556</v>
      </c>
      <c r="W106" s="1245" t="s">
        <v>557</v>
      </c>
      <c r="X106" s="1245" t="s">
        <v>558</v>
      </c>
      <c r="Y106" s="1245" t="s">
        <v>559</v>
      </c>
      <c r="Z106" s="1245" t="s">
        <v>560</v>
      </c>
      <c r="AA106" s="1245" t="s">
        <v>561</v>
      </c>
      <c r="AB106" s="1245" t="s">
        <v>562</v>
      </c>
      <c r="AC106" s="1245" t="s">
        <v>563</v>
      </c>
      <c r="AD106" s="1245" t="s">
        <v>564</v>
      </c>
      <c r="AE106" s="260" t="s">
        <v>565</v>
      </c>
      <c r="AF106" s="260" t="s">
        <v>566</v>
      </c>
      <c r="AG106" s="1245" t="s">
        <v>567</v>
      </c>
      <c r="AH106" s="1245" t="s">
        <v>568</v>
      </c>
      <c r="AI106" s="1245" t="s">
        <v>569</v>
      </c>
      <c r="AJ106" s="1245" t="s">
        <v>570</v>
      </c>
      <c r="AK106" s="1245" t="s">
        <v>571</v>
      </c>
      <c r="AL106" s="1245" t="s">
        <v>572</v>
      </c>
      <c r="AM106" s="1245" t="s">
        <v>573</v>
      </c>
      <c r="AN106" s="1245" t="s">
        <v>574</v>
      </c>
      <c r="AO106" s="1245" t="s">
        <v>575</v>
      </c>
      <c r="AP106" s="1245" t="s">
        <v>576</v>
      </c>
      <c r="AQ106" s="1245" t="s">
        <v>577</v>
      </c>
      <c r="AR106" s="1245" t="s">
        <v>578</v>
      </c>
      <c r="AS106" s="1245" t="s">
        <v>579</v>
      </c>
      <c r="AT106" s="1245" t="s">
        <v>580</v>
      </c>
      <c r="AU106" s="1245" t="s">
        <v>581</v>
      </c>
      <c r="AV106" s="1245" t="s">
        <v>582</v>
      </c>
      <c r="AW106" s="1245" t="s">
        <v>583</v>
      </c>
      <c r="AX106" s="1245" t="s">
        <v>1404</v>
      </c>
      <c r="AY106" s="1245" t="s">
        <v>584</v>
      </c>
      <c r="AZ106" s="1245" t="s">
        <v>585</v>
      </c>
      <c r="BA106" s="1245" t="s">
        <v>586</v>
      </c>
      <c r="BB106" s="1245" t="s">
        <v>587</v>
      </c>
      <c r="BC106" s="1245" t="s">
        <v>588</v>
      </c>
      <c r="BD106" s="1245" t="s">
        <v>589</v>
      </c>
      <c r="BE106" s="1245" t="s">
        <v>590</v>
      </c>
    </row>
    <row r="107" spans="1:57" s="220" customFormat="1" x14ac:dyDescent="0.25">
      <c r="A107" s="1254"/>
      <c r="B107" s="1249"/>
      <c r="C107" s="1247" t="s">
        <v>592</v>
      </c>
      <c r="D107" s="1245">
        <v>1</v>
      </c>
      <c r="E107" s="1245">
        <v>1</v>
      </c>
      <c r="F107" s="1245">
        <v>1</v>
      </c>
      <c r="G107" s="1245">
        <v>1</v>
      </c>
      <c r="H107" s="1245">
        <v>1</v>
      </c>
      <c r="I107" s="1245">
        <v>1</v>
      </c>
      <c r="J107" s="1245">
        <v>1</v>
      </c>
      <c r="K107" s="1245">
        <v>1</v>
      </c>
      <c r="L107" s="1245">
        <v>1</v>
      </c>
      <c r="M107" s="1245">
        <v>1</v>
      </c>
      <c r="N107" s="1245">
        <v>1</v>
      </c>
      <c r="O107" s="1245">
        <v>1</v>
      </c>
      <c r="P107" s="1245">
        <v>1</v>
      </c>
      <c r="Q107" s="1245">
        <v>1</v>
      </c>
      <c r="R107" s="1245">
        <v>1</v>
      </c>
      <c r="S107" s="1245">
        <v>1</v>
      </c>
      <c r="T107" s="1245">
        <v>1</v>
      </c>
      <c r="U107" s="1245">
        <v>1</v>
      </c>
      <c r="V107" s="1245">
        <v>1</v>
      </c>
      <c r="W107" s="1245">
        <v>1</v>
      </c>
      <c r="X107" s="1245">
        <v>1</v>
      </c>
      <c r="Y107" s="1245">
        <v>1</v>
      </c>
      <c r="Z107" s="1245">
        <v>1</v>
      </c>
      <c r="AA107" s="1245">
        <v>1</v>
      </c>
      <c r="AB107" s="1245">
        <v>1</v>
      </c>
      <c r="AC107" s="1245">
        <v>1</v>
      </c>
      <c r="AD107" s="1245">
        <v>1</v>
      </c>
      <c r="AE107" s="260">
        <f>'User Add-in Location'!B112</f>
        <v>0</v>
      </c>
      <c r="AF107" s="260">
        <f>'User Add-in Location'!C112</f>
        <v>0</v>
      </c>
      <c r="AG107" s="1245">
        <v>1</v>
      </c>
      <c r="AH107" s="1245">
        <v>1</v>
      </c>
      <c r="AI107" s="1245">
        <v>1</v>
      </c>
      <c r="AJ107" s="1245">
        <v>1</v>
      </c>
      <c r="AK107" s="1245">
        <v>1</v>
      </c>
      <c r="AL107" s="1245">
        <v>1</v>
      </c>
      <c r="AM107" s="1245">
        <v>1</v>
      </c>
      <c r="AN107" s="1245">
        <v>1</v>
      </c>
      <c r="AO107" s="1245">
        <v>1</v>
      </c>
      <c r="AP107" s="1245">
        <v>1</v>
      </c>
      <c r="AQ107" s="1245">
        <v>1</v>
      </c>
      <c r="AR107" s="1245">
        <v>1</v>
      </c>
      <c r="AS107" s="1245">
        <v>1</v>
      </c>
      <c r="AT107" s="1245">
        <v>1</v>
      </c>
      <c r="AU107" s="1245">
        <v>1</v>
      </c>
      <c r="AV107" s="1245">
        <v>1</v>
      </c>
      <c r="AW107" s="1245">
        <v>1</v>
      </c>
      <c r="AX107" s="1245">
        <v>1</v>
      </c>
      <c r="AY107" s="1245">
        <v>1</v>
      </c>
      <c r="AZ107" s="1245">
        <v>1</v>
      </c>
      <c r="BA107" s="1245">
        <v>1</v>
      </c>
      <c r="BB107" s="1245">
        <v>1</v>
      </c>
      <c r="BC107" s="1245">
        <v>1</v>
      </c>
      <c r="BD107" s="1245">
        <v>1</v>
      </c>
      <c r="BE107" s="1245">
        <v>1</v>
      </c>
    </row>
    <row r="108" spans="1:57" s="220" customFormat="1" x14ac:dyDescent="0.25">
      <c r="A108" s="1254"/>
      <c r="B108" s="1249"/>
      <c r="C108" s="1247" t="s">
        <v>593</v>
      </c>
      <c r="D108" s="1245">
        <v>1</v>
      </c>
      <c r="E108" s="1245">
        <v>1</v>
      </c>
      <c r="F108" s="1245">
        <v>1</v>
      </c>
      <c r="G108" s="1245">
        <v>1</v>
      </c>
      <c r="H108" s="1245">
        <v>1</v>
      </c>
      <c r="I108" s="1245">
        <v>1</v>
      </c>
      <c r="J108" s="1245">
        <v>1</v>
      </c>
      <c r="K108" s="1245">
        <v>1</v>
      </c>
      <c r="L108" s="1245">
        <v>1</v>
      </c>
      <c r="M108" s="1245">
        <v>1</v>
      </c>
      <c r="N108" s="1245">
        <v>1</v>
      </c>
      <c r="O108" s="1245">
        <v>1</v>
      </c>
      <c r="P108" s="1245">
        <v>1</v>
      </c>
      <c r="Q108" s="1245">
        <v>1</v>
      </c>
      <c r="R108" s="1245">
        <v>1</v>
      </c>
      <c r="S108" s="1245">
        <v>1</v>
      </c>
      <c r="T108" s="1245">
        <v>1</v>
      </c>
      <c r="U108" s="1245">
        <v>1</v>
      </c>
      <c r="V108" s="1245">
        <v>1</v>
      </c>
      <c r="W108" s="1245">
        <v>1</v>
      </c>
      <c r="X108" s="1245">
        <v>1</v>
      </c>
      <c r="Y108" s="1245">
        <v>1</v>
      </c>
      <c r="Z108" s="1245">
        <v>1</v>
      </c>
      <c r="AA108" s="1245">
        <v>1</v>
      </c>
      <c r="AB108" s="1245">
        <v>1</v>
      </c>
      <c r="AC108" s="1245">
        <v>1</v>
      </c>
      <c r="AD108" s="1245">
        <v>1</v>
      </c>
      <c r="AE108" s="260">
        <f>'User Add-in Location'!B113</f>
        <v>0</v>
      </c>
      <c r="AF108" s="260">
        <f>'User Add-in Location'!C113</f>
        <v>0</v>
      </c>
      <c r="AG108" s="1245">
        <v>1</v>
      </c>
      <c r="AH108" s="1245">
        <v>1</v>
      </c>
      <c r="AI108" s="1245">
        <v>1</v>
      </c>
      <c r="AJ108" s="1245">
        <v>1</v>
      </c>
      <c r="AK108" s="1245">
        <v>1</v>
      </c>
      <c r="AL108" s="1245">
        <v>1</v>
      </c>
      <c r="AM108" s="1245">
        <v>1</v>
      </c>
      <c r="AN108" s="1245">
        <v>1</v>
      </c>
      <c r="AO108" s="1245">
        <v>1</v>
      </c>
      <c r="AP108" s="1245">
        <v>1</v>
      </c>
      <c r="AQ108" s="1245">
        <v>1</v>
      </c>
      <c r="AR108" s="1245">
        <v>1</v>
      </c>
      <c r="AS108" s="1245">
        <v>1</v>
      </c>
      <c r="AT108" s="1245">
        <v>1</v>
      </c>
      <c r="AU108" s="1245">
        <v>1</v>
      </c>
      <c r="AV108" s="1245">
        <v>1</v>
      </c>
      <c r="AW108" s="1245">
        <v>1</v>
      </c>
      <c r="AX108" s="1245">
        <v>1</v>
      </c>
      <c r="AY108" s="1245">
        <v>1</v>
      </c>
      <c r="AZ108" s="1245">
        <v>1</v>
      </c>
      <c r="BA108" s="1245">
        <v>1</v>
      </c>
      <c r="BB108" s="1245">
        <v>1</v>
      </c>
      <c r="BC108" s="1245">
        <v>1</v>
      </c>
      <c r="BD108" s="1245">
        <v>1</v>
      </c>
      <c r="BE108" s="1245">
        <v>1</v>
      </c>
    </row>
    <row r="109" spans="1:57" s="220" customFormat="1" x14ac:dyDescent="0.25">
      <c r="A109" s="1254"/>
      <c r="B109" s="1249"/>
      <c r="C109" s="1247" t="s">
        <v>595</v>
      </c>
      <c r="D109" s="1245">
        <v>1</v>
      </c>
      <c r="E109" s="1245">
        <v>1</v>
      </c>
      <c r="F109" s="1245">
        <v>1</v>
      </c>
      <c r="G109" s="1245">
        <v>1</v>
      </c>
      <c r="H109" s="1245">
        <v>1</v>
      </c>
      <c r="I109" s="1245">
        <v>1</v>
      </c>
      <c r="J109" s="1245">
        <v>1</v>
      </c>
      <c r="K109" s="1245">
        <v>1</v>
      </c>
      <c r="L109" s="1245">
        <v>1</v>
      </c>
      <c r="M109" s="1245">
        <v>1</v>
      </c>
      <c r="N109" s="1245">
        <v>1</v>
      </c>
      <c r="O109" s="1245">
        <v>1</v>
      </c>
      <c r="P109" s="1245">
        <v>1</v>
      </c>
      <c r="Q109" s="1245">
        <v>1</v>
      </c>
      <c r="R109" s="1245">
        <v>1</v>
      </c>
      <c r="S109" s="1245">
        <v>1</v>
      </c>
      <c r="T109" s="1245">
        <v>1</v>
      </c>
      <c r="U109" s="1245">
        <v>1</v>
      </c>
      <c r="V109" s="1245">
        <v>1</v>
      </c>
      <c r="W109" s="1245">
        <v>1</v>
      </c>
      <c r="X109" s="1245">
        <v>1</v>
      </c>
      <c r="Y109" s="1245">
        <v>1</v>
      </c>
      <c r="Z109" s="1245">
        <v>1</v>
      </c>
      <c r="AA109" s="1245">
        <v>1</v>
      </c>
      <c r="AB109" s="1245">
        <v>1</v>
      </c>
      <c r="AC109" s="1245">
        <v>1</v>
      </c>
      <c r="AD109" s="1245">
        <v>1</v>
      </c>
      <c r="AE109" s="260">
        <f>'User Add-in Location'!B114</f>
        <v>0</v>
      </c>
      <c r="AF109" s="260">
        <f>'User Add-in Location'!C114</f>
        <v>0</v>
      </c>
      <c r="AG109" s="1245">
        <v>1</v>
      </c>
      <c r="AH109" s="1245">
        <v>1</v>
      </c>
      <c r="AI109" s="1245">
        <v>1</v>
      </c>
      <c r="AJ109" s="1245">
        <v>1</v>
      </c>
      <c r="AK109" s="1245">
        <v>1</v>
      </c>
      <c r="AL109" s="1245">
        <v>1</v>
      </c>
      <c r="AM109" s="1245">
        <v>1</v>
      </c>
      <c r="AN109" s="1245">
        <v>1</v>
      </c>
      <c r="AO109" s="1245">
        <v>1</v>
      </c>
      <c r="AP109" s="1245">
        <v>1</v>
      </c>
      <c r="AQ109" s="1245">
        <v>1</v>
      </c>
      <c r="AR109" s="1245">
        <v>1</v>
      </c>
      <c r="AS109" s="1245">
        <v>1</v>
      </c>
      <c r="AT109" s="1245">
        <v>1</v>
      </c>
      <c r="AU109" s="1245">
        <v>1</v>
      </c>
      <c r="AV109" s="1245">
        <v>1</v>
      </c>
      <c r="AW109" s="1245">
        <v>1</v>
      </c>
      <c r="AX109" s="1245">
        <v>1</v>
      </c>
      <c r="AY109" s="1245">
        <v>1</v>
      </c>
      <c r="AZ109" s="1245">
        <v>1</v>
      </c>
      <c r="BA109" s="1245">
        <v>1</v>
      </c>
      <c r="BB109" s="1245">
        <v>1</v>
      </c>
      <c r="BC109" s="1245">
        <v>1</v>
      </c>
      <c r="BD109" s="1245">
        <v>1</v>
      </c>
      <c r="BE109" s="1245">
        <v>1</v>
      </c>
    </row>
    <row r="110" spans="1:57" s="220" customFormat="1" x14ac:dyDescent="0.25">
      <c r="A110" s="1254"/>
      <c r="B110" s="1249"/>
      <c r="C110" s="1247" t="s">
        <v>596</v>
      </c>
      <c r="D110" s="1245">
        <v>1</v>
      </c>
      <c r="E110" s="1245">
        <v>1</v>
      </c>
      <c r="F110" s="1245">
        <v>1</v>
      </c>
      <c r="G110" s="1245">
        <v>1</v>
      </c>
      <c r="H110" s="1245">
        <v>1</v>
      </c>
      <c r="I110" s="1245">
        <v>1</v>
      </c>
      <c r="J110" s="1245">
        <v>1</v>
      </c>
      <c r="K110" s="1245">
        <v>1</v>
      </c>
      <c r="L110" s="1245">
        <v>1</v>
      </c>
      <c r="M110" s="1245">
        <v>1</v>
      </c>
      <c r="N110" s="1245">
        <v>1</v>
      </c>
      <c r="O110" s="1245">
        <v>1</v>
      </c>
      <c r="P110" s="1245">
        <v>1</v>
      </c>
      <c r="Q110" s="1245">
        <v>1</v>
      </c>
      <c r="R110" s="1245">
        <v>1</v>
      </c>
      <c r="S110" s="1245">
        <v>1</v>
      </c>
      <c r="T110" s="1245">
        <v>1</v>
      </c>
      <c r="U110" s="1245">
        <v>1</v>
      </c>
      <c r="V110" s="1245">
        <v>1</v>
      </c>
      <c r="W110" s="1245">
        <v>1</v>
      </c>
      <c r="X110" s="1245">
        <v>1</v>
      </c>
      <c r="Y110" s="1245">
        <v>1</v>
      </c>
      <c r="Z110" s="1245">
        <v>1</v>
      </c>
      <c r="AA110" s="1245">
        <v>1</v>
      </c>
      <c r="AB110" s="1245">
        <v>1</v>
      </c>
      <c r="AC110" s="1245">
        <v>1</v>
      </c>
      <c r="AD110" s="1245">
        <v>1</v>
      </c>
      <c r="AE110" s="260">
        <f>'User Add-in Location'!B115</f>
        <v>0</v>
      </c>
      <c r="AF110" s="260">
        <f>'User Add-in Location'!C115</f>
        <v>0</v>
      </c>
      <c r="AG110" s="1245">
        <v>1</v>
      </c>
      <c r="AH110" s="1245">
        <v>1</v>
      </c>
      <c r="AI110" s="1245">
        <v>1</v>
      </c>
      <c r="AJ110" s="1245">
        <v>1</v>
      </c>
      <c r="AK110" s="1245">
        <v>1</v>
      </c>
      <c r="AL110" s="1245">
        <v>1</v>
      </c>
      <c r="AM110" s="1245">
        <v>1</v>
      </c>
      <c r="AN110" s="1245">
        <v>1</v>
      </c>
      <c r="AO110" s="1245">
        <v>1</v>
      </c>
      <c r="AP110" s="1245">
        <v>1</v>
      </c>
      <c r="AQ110" s="1245">
        <v>1</v>
      </c>
      <c r="AR110" s="1245">
        <v>1</v>
      </c>
      <c r="AS110" s="1245">
        <v>1</v>
      </c>
      <c r="AT110" s="1245">
        <v>1</v>
      </c>
      <c r="AU110" s="1245">
        <v>1</v>
      </c>
      <c r="AV110" s="1245">
        <v>1</v>
      </c>
      <c r="AW110" s="1245">
        <v>1</v>
      </c>
      <c r="AX110" s="1245">
        <v>1</v>
      </c>
      <c r="AY110" s="1245">
        <v>1</v>
      </c>
      <c r="AZ110" s="1245">
        <v>1</v>
      </c>
      <c r="BA110" s="1245">
        <v>1</v>
      </c>
      <c r="BB110" s="1245">
        <v>1</v>
      </c>
      <c r="BC110" s="1245">
        <v>1</v>
      </c>
      <c r="BD110" s="1245">
        <v>1</v>
      </c>
      <c r="BE110" s="1245">
        <v>1</v>
      </c>
    </row>
    <row r="111" spans="1:57" s="220" customFormat="1" x14ac:dyDescent="0.25">
      <c r="A111" s="1254"/>
      <c r="B111" s="1249"/>
      <c r="C111" s="1247" t="s">
        <v>598</v>
      </c>
      <c r="D111" s="1245">
        <v>1</v>
      </c>
      <c r="E111" s="1245">
        <v>1</v>
      </c>
      <c r="F111" s="1245">
        <v>1</v>
      </c>
      <c r="G111" s="1245">
        <v>1</v>
      </c>
      <c r="H111" s="1245">
        <v>1</v>
      </c>
      <c r="I111" s="1245">
        <v>1</v>
      </c>
      <c r="J111" s="1245">
        <v>1</v>
      </c>
      <c r="K111" s="1245">
        <v>1</v>
      </c>
      <c r="L111" s="1245">
        <v>1</v>
      </c>
      <c r="M111" s="1245">
        <v>1</v>
      </c>
      <c r="N111" s="1245">
        <v>1</v>
      </c>
      <c r="O111" s="1245">
        <v>1</v>
      </c>
      <c r="P111" s="1245">
        <v>1</v>
      </c>
      <c r="Q111" s="1245">
        <v>1</v>
      </c>
      <c r="R111" s="1245">
        <v>1</v>
      </c>
      <c r="S111" s="1245">
        <v>1</v>
      </c>
      <c r="T111" s="1245">
        <v>1</v>
      </c>
      <c r="U111" s="1245">
        <v>1</v>
      </c>
      <c r="V111" s="1245">
        <v>1</v>
      </c>
      <c r="W111" s="1245">
        <v>1</v>
      </c>
      <c r="X111" s="1245">
        <v>1</v>
      </c>
      <c r="Y111" s="1245">
        <v>1</v>
      </c>
      <c r="Z111" s="1245">
        <v>1</v>
      </c>
      <c r="AA111" s="1245">
        <v>1</v>
      </c>
      <c r="AB111" s="1245">
        <v>1</v>
      </c>
      <c r="AC111" s="1245">
        <v>1</v>
      </c>
      <c r="AD111" s="1245">
        <v>1</v>
      </c>
      <c r="AE111" s="260">
        <f>'User Add-in Location'!B116</f>
        <v>0</v>
      </c>
      <c r="AF111" s="260">
        <f>'User Add-in Location'!C116</f>
        <v>0</v>
      </c>
      <c r="AG111" s="1245">
        <v>1</v>
      </c>
      <c r="AH111" s="1245">
        <v>1</v>
      </c>
      <c r="AI111" s="1245">
        <v>1</v>
      </c>
      <c r="AJ111" s="1245">
        <v>1</v>
      </c>
      <c r="AK111" s="1245">
        <v>1</v>
      </c>
      <c r="AL111" s="1245">
        <v>1</v>
      </c>
      <c r="AM111" s="1245">
        <v>1</v>
      </c>
      <c r="AN111" s="1245">
        <v>1</v>
      </c>
      <c r="AO111" s="1245">
        <v>1</v>
      </c>
      <c r="AP111" s="1245">
        <v>1</v>
      </c>
      <c r="AQ111" s="1245">
        <v>1</v>
      </c>
      <c r="AR111" s="1245">
        <v>1</v>
      </c>
      <c r="AS111" s="1245">
        <v>1</v>
      </c>
      <c r="AT111" s="1245">
        <v>1</v>
      </c>
      <c r="AU111" s="1245">
        <v>1</v>
      </c>
      <c r="AV111" s="1245">
        <v>1</v>
      </c>
      <c r="AW111" s="1245">
        <v>1</v>
      </c>
      <c r="AX111" s="1245">
        <v>1</v>
      </c>
      <c r="AY111" s="1245">
        <v>1</v>
      </c>
      <c r="AZ111" s="1245">
        <v>1</v>
      </c>
      <c r="BA111" s="1245">
        <v>1</v>
      </c>
      <c r="BB111" s="1245">
        <v>1</v>
      </c>
      <c r="BC111" s="1245">
        <v>1</v>
      </c>
      <c r="BD111" s="1245">
        <v>1</v>
      </c>
      <c r="BE111" s="1245">
        <v>1</v>
      </c>
    </row>
    <row r="112" spans="1:57" s="220" customFormat="1" x14ac:dyDescent="0.25">
      <c r="A112" s="1254"/>
      <c r="B112" s="1249"/>
      <c r="C112" s="1247" t="s">
        <v>599</v>
      </c>
      <c r="D112" s="1245">
        <v>1</v>
      </c>
      <c r="E112" s="1245">
        <v>1</v>
      </c>
      <c r="F112" s="1245">
        <v>1</v>
      </c>
      <c r="G112" s="1245">
        <v>1</v>
      </c>
      <c r="H112" s="1245">
        <v>1</v>
      </c>
      <c r="I112" s="1245">
        <v>1</v>
      </c>
      <c r="J112" s="1245">
        <v>1</v>
      </c>
      <c r="K112" s="1245">
        <v>1</v>
      </c>
      <c r="L112" s="1245">
        <v>1</v>
      </c>
      <c r="M112" s="1245">
        <v>1</v>
      </c>
      <c r="N112" s="1245">
        <v>1</v>
      </c>
      <c r="O112" s="1245">
        <v>1</v>
      </c>
      <c r="P112" s="1245">
        <v>1</v>
      </c>
      <c r="Q112" s="1245">
        <v>1</v>
      </c>
      <c r="R112" s="1245">
        <v>1</v>
      </c>
      <c r="S112" s="1245">
        <v>1</v>
      </c>
      <c r="T112" s="1245">
        <v>1</v>
      </c>
      <c r="U112" s="1245">
        <v>1</v>
      </c>
      <c r="V112" s="1245">
        <v>1</v>
      </c>
      <c r="W112" s="1245">
        <v>1</v>
      </c>
      <c r="X112" s="1245">
        <v>1</v>
      </c>
      <c r="Y112" s="1245">
        <v>1</v>
      </c>
      <c r="Z112" s="1245">
        <v>1</v>
      </c>
      <c r="AA112" s="1245">
        <v>1</v>
      </c>
      <c r="AB112" s="1245">
        <v>1</v>
      </c>
      <c r="AC112" s="1245">
        <v>1</v>
      </c>
      <c r="AD112" s="1245">
        <v>1</v>
      </c>
      <c r="AE112" s="260">
        <f>'User Add-in Location'!B117</f>
        <v>0</v>
      </c>
      <c r="AF112" s="260">
        <f>'User Add-in Location'!C117</f>
        <v>0</v>
      </c>
      <c r="AG112" s="1245">
        <v>1</v>
      </c>
      <c r="AH112" s="1245">
        <v>1</v>
      </c>
      <c r="AI112" s="1245">
        <v>1</v>
      </c>
      <c r="AJ112" s="1245">
        <v>1</v>
      </c>
      <c r="AK112" s="1245">
        <v>1</v>
      </c>
      <c r="AL112" s="1245">
        <v>1</v>
      </c>
      <c r="AM112" s="1245">
        <v>1</v>
      </c>
      <c r="AN112" s="1245">
        <v>1</v>
      </c>
      <c r="AO112" s="1245">
        <v>1</v>
      </c>
      <c r="AP112" s="1245">
        <v>1</v>
      </c>
      <c r="AQ112" s="1245">
        <v>1</v>
      </c>
      <c r="AR112" s="1245">
        <v>1</v>
      </c>
      <c r="AS112" s="1245">
        <v>1</v>
      </c>
      <c r="AT112" s="1245">
        <v>1</v>
      </c>
      <c r="AU112" s="1245">
        <v>1</v>
      </c>
      <c r="AV112" s="1245">
        <v>1</v>
      </c>
      <c r="AW112" s="1245">
        <v>1</v>
      </c>
      <c r="AX112" s="1245">
        <v>1</v>
      </c>
      <c r="AY112" s="1245">
        <v>1</v>
      </c>
      <c r="AZ112" s="1245">
        <v>1</v>
      </c>
      <c r="BA112" s="1245">
        <v>1</v>
      </c>
      <c r="BB112" s="1245">
        <v>1</v>
      </c>
      <c r="BC112" s="1245">
        <v>1</v>
      </c>
      <c r="BD112" s="1245">
        <v>1</v>
      </c>
      <c r="BE112" s="1245">
        <v>1</v>
      </c>
    </row>
    <row r="113" spans="1:57" s="220" customFormat="1" x14ac:dyDescent="0.25">
      <c r="A113" s="1254"/>
      <c r="B113" s="1249"/>
      <c r="C113" s="1247" t="s">
        <v>601</v>
      </c>
      <c r="D113" s="1245">
        <v>1</v>
      </c>
      <c r="E113" s="1245">
        <v>1</v>
      </c>
      <c r="F113" s="1245">
        <v>1</v>
      </c>
      <c r="G113" s="1245">
        <v>1</v>
      </c>
      <c r="H113" s="1245">
        <v>1</v>
      </c>
      <c r="I113" s="1245">
        <v>1</v>
      </c>
      <c r="J113" s="1245">
        <v>1</v>
      </c>
      <c r="K113" s="1245">
        <v>1</v>
      </c>
      <c r="L113" s="1245">
        <v>1</v>
      </c>
      <c r="M113" s="1245">
        <v>1</v>
      </c>
      <c r="N113" s="1245">
        <v>1</v>
      </c>
      <c r="O113" s="1245">
        <v>1</v>
      </c>
      <c r="P113" s="1245">
        <v>1</v>
      </c>
      <c r="Q113" s="1245">
        <v>1</v>
      </c>
      <c r="R113" s="1245">
        <v>1</v>
      </c>
      <c r="S113" s="1245">
        <v>1</v>
      </c>
      <c r="T113" s="1245">
        <v>1</v>
      </c>
      <c r="U113" s="1245">
        <v>1</v>
      </c>
      <c r="V113" s="1245">
        <v>1</v>
      </c>
      <c r="W113" s="1245">
        <v>1</v>
      </c>
      <c r="X113" s="1245">
        <v>1</v>
      </c>
      <c r="Y113" s="1245">
        <v>1</v>
      </c>
      <c r="Z113" s="1245">
        <v>1</v>
      </c>
      <c r="AA113" s="1245">
        <v>1</v>
      </c>
      <c r="AB113" s="1245">
        <v>1</v>
      </c>
      <c r="AC113" s="1245">
        <v>1</v>
      </c>
      <c r="AD113" s="1245">
        <v>1</v>
      </c>
      <c r="AE113" s="260">
        <f>'User Add-in Location'!B118</f>
        <v>0</v>
      </c>
      <c r="AF113" s="260">
        <f>'User Add-in Location'!C118</f>
        <v>0</v>
      </c>
      <c r="AG113" s="1245">
        <v>1</v>
      </c>
      <c r="AH113" s="1245">
        <v>1</v>
      </c>
      <c r="AI113" s="1245">
        <v>1</v>
      </c>
      <c r="AJ113" s="1245">
        <v>1</v>
      </c>
      <c r="AK113" s="1245">
        <v>1</v>
      </c>
      <c r="AL113" s="1245">
        <v>1</v>
      </c>
      <c r="AM113" s="1245">
        <v>1</v>
      </c>
      <c r="AN113" s="1245">
        <v>1</v>
      </c>
      <c r="AO113" s="1245">
        <v>1</v>
      </c>
      <c r="AP113" s="1245">
        <v>1</v>
      </c>
      <c r="AQ113" s="1245">
        <v>1</v>
      </c>
      <c r="AR113" s="1245">
        <v>1</v>
      </c>
      <c r="AS113" s="1245">
        <v>1</v>
      </c>
      <c r="AT113" s="1245">
        <v>1</v>
      </c>
      <c r="AU113" s="1245">
        <v>1</v>
      </c>
      <c r="AV113" s="1245">
        <v>1</v>
      </c>
      <c r="AW113" s="1245">
        <v>1</v>
      </c>
      <c r="AX113" s="1245">
        <v>1</v>
      </c>
      <c r="AY113" s="1245">
        <v>1</v>
      </c>
      <c r="AZ113" s="1245">
        <v>1</v>
      </c>
      <c r="BA113" s="1245">
        <v>1</v>
      </c>
      <c r="BB113" s="1245">
        <v>1</v>
      </c>
      <c r="BC113" s="1245">
        <v>1</v>
      </c>
      <c r="BD113" s="1245">
        <v>1</v>
      </c>
      <c r="BE113" s="1245">
        <v>1</v>
      </c>
    </row>
    <row r="114" spans="1:57" s="220" customFormat="1" x14ac:dyDescent="0.25">
      <c r="A114" s="1254"/>
      <c r="B114" s="1249"/>
      <c r="C114" s="1247" t="s">
        <v>602</v>
      </c>
      <c r="D114" s="1245">
        <v>1</v>
      </c>
      <c r="E114" s="1245">
        <v>1</v>
      </c>
      <c r="F114" s="1245">
        <v>1</v>
      </c>
      <c r="G114" s="1245">
        <v>1</v>
      </c>
      <c r="H114" s="1245">
        <v>1</v>
      </c>
      <c r="I114" s="1245">
        <v>1</v>
      </c>
      <c r="J114" s="1245">
        <v>1</v>
      </c>
      <c r="K114" s="1245">
        <v>1</v>
      </c>
      <c r="L114" s="1245">
        <v>1</v>
      </c>
      <c r="M114" s="1245">
        <v>1</v>
      </c>
      <c r="N114" s="1245">
        <v>1</v>
      </c>
      <c r="O114" s="1245">
        <v>1</v>
      </c>
      <c r="P114" s="1245">
        <v>1</v>
      </c>
      <c r="Q114" s="1245">
        <v>1</v>
      </c>
      <c r="R114" s="1245">
        <v>1</v>
      </c>
      <c r="S114" s="1245">
        <v>1</v>
      </c>
      <c r="T114" s="1245">
        <v>1</v>
      </c>
      <c r="U114" s="1245">
        <v>1</v>
      </c>
      <c r="V114" s="1245">
        <v>1</v>
      </c>
      <c r="W114" s="1245">
        <v>1</v>
      </c>
      <c r="X114" s="1245">
        <v>1</v>
      </c>
      <c r="Y114" s="1245">
        <v>1</v>
      </c>
      <c r="Z114" s="1245">
        <v>1</v>
      </c>
      <c r="AA114" s="1245">
        <v>1</v>
      </c>
      <c r="AB114" s="1245">
        <v>1</v>
      </c>
      <c r="AC114" s="1245">
        <v>1</v>
      </c>
      <c r="AD114" s="1245">
        <v>1</v>
      </c>
      <c r="AE114" s="260">
        <f>'User Add-in Location'!B119</f>
        <v>0</v>
      </c>
      <c r="AF114" s="260">
        <f>'User Add-in Location'!C119</f>
        <v>0</v>
      </c>
      <c r="AG114" s="1245">
        <v>1</v>
      </c>
      <c r="AH114" s="1245">
        <v>1</v>
      </c>
      <c r="AI114" s="1245">
        <v>1</v>
      </c>
      <c r="AJ114" s="1245">
        <v>1</v>
      </c>
      <c r="AK114" s="1245">
        <v>1</v>
      </c>
      <c r="AL114" s="1245">
        <v>1</v>
      </c>
      <c r="AM114" s="1245">
        <v>1</v>
      </c>
      <c r="AN114" s="1245">
        <v>1</v>
      </c>
      <c r="AO114" s="1245">
        <v>1</v>
      </c>
      <c r="AP114" s="1245">
        <v>1</v>
      </c>
      <c r="AQ114" s="1245">
        <v>1</v>
      </c>
      <c r="AR114" s="1245">
        <v>1</v>
      </c>
      <c r="AS114" s="1245">
        <v>1</v>
      </c>
      <c r="AT114" s="1245">
        <v>1</v>
      </c>
      <c r="AU114" s="1245">
        <v>1</v>
      </c>
      <c r="AV114" s="1245">
        <v>1</v>
      </c>
      <c r="AW114" s="1245">
        <v>1</v>
      </c>
      <c r="AX114" s="1245">
        <v>1</v>
      </c>
      <c r="AY114" s="1245">
        <v>1</v>
      </c>
      <c r="AZ114" s="1245">
        <v>1</v>
      </c>
      <c r="BA114" s="1245">
        <v>1</v>
      </c>
      <c r="BB114" s="1245">
        <v>1</v>
      </c>
      <c r="BC114" s="1245">
        <v>1</v>
      </c>
      <c r="BD114" s="1245">
        <v>1</v>
      </c>
      <c r="BE114" s="1245">
        <v>1</v>
      </c>
    </row>
    <row r="115" spans="1:57" s="220" customFormat="1" x14ac:dyDescent="0.25">
      <c r="A115" s="1254"/>
      <c r="B115" s="1249"/>
      <c r="C115" s="1247" t="s">
        <v>603</v>
      </c>
      <c r="D115" s="1245">
        <v>1</v>
      </c>
      <c r="E115" s="1245">
        <v>1</v>
      </c>
      <c r="F115" s="1245">
        <v>1</v>
      </c>
      <c r="G115" s="1245">
        <v>1</v>
      </c>
      <c r="H115" s="1245">
        <v>1</v>
      </c>
      <c r="I115" s="1245">
        <v>1</v>
      </c>
      <c r="J115" s="1245">
        <v>1</v>
      </c>
      <c r="K115" s="1245">
        <v>1</v>
      </c>
      <c r="L115" s="1245">
        <v>1</v>
      </c>
      <c r="M115" s="1245">
        <v>1</v>
      </c>
      <c r="N115" s="1245">
        <v>1</v>
      </c>
      <c r="O115" s="1245">
        <v>1</v>
      </c>
      <c r="P115" s="1245">
        <v>1</v>
      </c>
      <c r="Q115" s="1245">
        <v>1</v>
      </c>
      <c r="R115" s="1245">
        <v>1</v>
      </c>
      <c r="S115" s="1245">
        <v>1</v>
      </c>
      <c r="T115" s="1245">
        <v>1</v>
      </c>
      <c r="U115" s="1245">
        <v>1</v>
      </c>
      <c r="V115" s="1245">
        <v>1</v>
      </c>
      <c r="W115" s="1245">
        <v>1</v>
      </c>
      <c r="X115" s="1245">
        <v>1</v>
      </c>
      <c r="Y115" s="1245">
        <v>1</v>
      </c>
      <c r="Z115" s="1245">
        <v>1</v>
      </c>
      <c r="AA115" s="1245">
        <v>1</v>
      </c>
      <c r="AB115" s="1245">
        <v>1</v>
      </c>
      <c r="AC115" s="1245">
        <v>1</v>
      </c>
      <c r="AD115" s="1245">
        <v>1</v>
      </c>
      <c r="AE115" s="260">
        <f>'User Add-in Location'!B120</f>
        <v>0</v>
      </c>
      <c r="AF115" s="260">
        <f>'User Add-in Location'!C120</f>
        <v>0</v>
      </c>
      <c r="AG115" s="1245">
        <v>1</v>
      </c>
      <c r="AH115" s="1245">
        <v>1</v>
      </c>
      <c r="AI115" s="1245">
        <v>1</v>
      </c>
      <c r="AJ115" s="1245">
        <v>1</v>
      </c>
      <c r="AK115" s="1245">
        <v>1</v>
      </c>
      <c r="AL115" s="1245">
        <v>1</v>
      </c>
      <c r="AM115" s="1245">
        <v>1</v>
      </c>
      <c r="AN115" s="1245">
        <v>1</v>
      </c>
      <c r="AO115" s="1245">
        <v>1</v>
      </c>
      <c r="AP115" s="1245">
        <v>1</v>
      </c>
      <c r="AQ115" s="1245">
        <v>1</v>
      </c>
      <c r="AR115" s="1245">
        <v>1</v>
      </c>
      <c r="AS115" s="1245">
        <v>1</v>
      </c>
      <c r="AT115" s="1245">
        <v>1</v>
      </c>
      <c r="AU115" s="1245">
        <v>1</v>
      </c>
      <c r="AV115" s="1245">
        <v>1</v>
      </c>
      <c r="AW115" s="1245">
        <v>1</v>
      </c>
      <c r="AX115" s="1245">
        <v>1</v>
      </c>
      <c r="AY115" s="1245">
        <v>1</v>
      </c>
      <c r="AZ115" s="1245">
        <v>1</v>
      </c>
      <c r="BA115" s="1245">
        <v>1</v>
      </c>
      <c r="BB115" s="1245">
        <v>1</v>
      </c>
      <c r="BC115" s="1245">
        <v>1</v>
      </c>
      <c r="BD115" s="1245">
        <v>1</v>
      </c>
      <c r="BE115" s="1245">
        <v>1</v>
      </c>
    </row>
    <row r="116" spans="1:57" s="220" customFormat="1" x14ac:dyDescent="0.25">
      <c r="A116" s="1254"/>
      <c r="B116" s="1249"/>
      <c r="C116" s="1247" t="s">
        <v>604</v>
      </c>
      <c r="D116" s="1245">
        <v>1</v>
      </c>
      <c r="E116" s="1245">
        <v>1</v>
      </c>
      <c r="F116" s="1245">
        <v>1</v>
      </c>
      <c r="G116" s="1245">
        <v>1</v>
      </c>
      <c r="H116" s="1245">
        <v>1</v>
      </c>
      <c r="I116" s="1245">
        <v>1</v>
      </c>
      <c r="J116" s="1245">
        <v>1</v>
      </c>
      <c r="K116" s="1245">
        <v>1</v>
      </c>
      <c r="L116" s="1245">
        <v>1</v>
      </c>
      <c r="M116" s="1245">
        <v>1</v>
      </c>
      <c r="N116" s="1245">
        <v>1</v>
      </c>
      <c r="O116" s="1245">
        <v>1</v>
      </c>
      <c r="P116" s="1245">
        <v>1</v>
      </c>
      <c r="Q116" s="1245">
        <v>1</v>
      </c>
      <c r="R116" s="1245">
        <v>1</v>
      </c>
      <c r="S116" s="1245">
        <v>1</v>
      </c>
      <c r="T116" s="1245">
        <v>1</v>
      </c>
      <c r="U116" s="1245">
        <v>1</v>
      </c>
      <c r="V116" s="1245">
        <v>1</v>
      </c>
      <c r="W116" s="1245">
        <v>1</v>
      </c>
      <c r="X116" s="1245">
        <v>1</v>
      </c>
      <c r="Y116" s="1245">
        <v>1</v>
      </c>
      <c r="Z116" s="1245">
        <v>1</v>
      </c>
      <c r="AA116" s="1245">
        <v>1</v>
      </c>
      <c r="AB116" s="1245">
        <v>1</v>
      </c>
      <c r="AC116" s="1245">
        <v>1</v>
      </c>
      <c r="AD116" s="1245">
        <v>1</v>
      </c>
      <c r="AE116" s="260">
        <f>'User Add-in Location'!B121</f>
        <v>0</v>
      </c>
      <c r="AF116" s="260">
        <f>'User Add-in Location'!C121</f>
        <v>0</v>
      </c>
      <c r="AG116" s="1245">
        <v>1</v>
      </c>
      <c r="AH116" s="1245">
        <v>1</v>
      </c>
      <c r="AI116" s="1245">
        <v>1</v>
      </c>
      <c r="AJ116" s="1245">
        <v>1</v>
      </c>
      <c r="AK116" s="1245">
        <v>1</v>
      </c>
      <c r="AL116" s="1245">
        <v>1</v>
      </c>
      <c r="AM116" s="1245">
        <v>1</v>
      </c>
      <c r="AN116" s="1245">
        <v>1</v>
      </c>
      <c r="AO116" s="1245">
        <v>1</v>
      </c>
      <c r="AP116" s="1245">
        <v>1</v>
      </c>
      <c r="AQ116" s="1245">
        <v>1</v>
      </c>
      <c r="AR116" s="1245">
        <v>1</v>
      </c>
      <c r="AS116" s="1245">
        <v>1</v>
      </c>
      <c r="AT116" s="1245">
        <v>1</v>
      </c>
      <c r="AU116" s="1245">
        <v>1</v>
      </c>
      <c r="AV116" s="1245">
        <v>1</v>
      </c>
      <c r="AW116" s="1245">
        <v>1</v>
      </c>
      <c r="AX116" s="1245">
        <v>1</v>
      </c>
      <c r="AY116" s="1245">
        <v>1</v>
      </c>
      <c r="AZ116" s="1245">
        <v>1</v>
      </c>
      <c r="BA116" s="1245">
        <v>1</v>
      </c>
      <c r="BB116" s="1245">
        <v>1</v>
      </c>
      <c r="BC116" s="1245">
        <v>1</v>
      </c>
      <c r="BD116" s="1245">
        <v>1</v>
      </c>
      <c r="BE116" s="1245">
        <v>1</v>
      </c>
    </row>
    <row r="117" spans="1:57" s="220" customFormat="1" x14ac:dyDescent="0.25">
      <c r="A117" s="1254"/>
      <c r="B117" s="1249"/>
      <c r="C117" s="1247" t="s">
        <v>605</v>
      </c>
      <c r="D117" s="1245">
        <v>1</v>
      </c>
      <c r="E117" s="1245">
        <v>1</v>
      </c>
      <c r="F117" s="1245">
        <v>1</v>
      </c>
      <c r="G117" s="1245">
        <v>1</v>
      </c>
      <c r="H117" s="1245">
        <v>1</v>
      </c>
      <c r="I117" s="1245">
        <v>1</v>
      </c>
      <c r="J117" s="1245">
        <v>1</v>
      </c>
      <c r="K117" s="1245">
        <v>1</v>
      </c>
      <c r="L117" s="1245">
        <v>1</v>
      </c>
      <c r="M117" s="1245">
        <v>1</v>
      </c>
      <c r="N117" s="1245">
        <v>1</v>
      </c>
      <c r="O117" s="1245">
        <v>1</v>
      </c>
      <c r="P117" s="1245">
        <v>1</v>
      </c>
      <c r="Q117" s="1245">
        <v>1</v>
      </c>
      <c r="R117" s="1245">
        <v>1</v>
      </c>
      <c r="S117" s="1245">
        <v>1</v>
      </c>
      <c r="T117" s="1245">
        <v>1</v>
      </c>
      <c r="U117" s="1245">
        <v>1</v>
      </c>
      <c r="V117" s="1245">
        <v>1</v>
      </c>
      <c r="W117" s="1245">
        <v>1</v>
      </c>
      <c r="X117" s="1245">
        <v>1</v>
      </c>
      <c r="Y117" s="1245">
        <v>1</v>
      </c>
      <c r="Z117" s="1245">
        <v>1</v>
      </c>
      <c r="AA117" s="1245">
        <v>1</v>
      </c>
      <c r="AB117" s="1245">
        <v>1</v>
      </c>
      <c r="AC117" s="1245">
        <v>1</v>
      </c>
      <c r="AD117" s="1245">
        <v>1</v>
      </c>
      <c r="AE117" s="260">
        <f>'User Add-in Location'!B122</f>
        <v>0</v>
      </c>
      <c r="AF117" s="260">
        <f>'User Add-in Location'!C122</f>
        <v>0</v>
      </c>
      <c r="AG117" s="1245">
        <v>1</v>
      </c>
      <c r="AH117" s="1245">
        <v>1</v>
      </c>
      <c r="AI117" s="1245">
        <v>1</v>
      </c>
      <c r="AJ117" s="1245">
        <v>1</v>
      </c>
      <c r="AK117" s="1245">
        <v>1</v>
      </c>
      <c r="AL117" s="1245">
        <v>1</v>
      </c>
      <c r="AM117" s="1245">
        <v>1</v>
      </c>
      <c r="AN117" s="1245">
        <v>1</v>
      </c>
      <c r="AO117" s="1245">
        <v>1</v>
      </c>
      <c r="AP117" s="1245">
        <v>1</v>
      </c>
      <c r="AQ117" s="1245">
        <v>1</v>
      </c>
      <c r="AR117" s="1245">
        <v>1</v>
      </c>
      <c r="AS117" s="1245">
        <v>1</v>
      </c>
      <c r="AT117" s="1245">
        <v>1</v>
      </c>
      <c r="AU117" s="1245">
        <v>1</v>
      </c>
      <c r="AV117" s="1245">
        <v>1</v>
      </c>
      <c r="AW117" s="1245">
        <v>1</v>
      </c>
      <c r="AX117" s="1245">
        <v>1</v>
      </c>
      <c r="AY117" s="1245">
        <v>1</v>
      </c>
      <c r="AZ117" s="1245">
        <v>1</v>
      </c>
      <c r="BA117" s="1245">
        <v>1</v>
      </c>
      <c r="BB117" s="1245">
        <v>1</v>
      </c>
      <c r="BC117" s="1245">
        <v>1</v>
      </c>
      <c r="BD117" s="1245">
        <v>1</v>
      </c>
      <c r="BE117" s="1245">
        <v>1</v>
      </c>
    </row>
    <row r="118" spans="1:57" s="220" customFormat="1" x14ac:dyDescent="0.25">
      <c r="A118" s="1254"/>
      <c r="B118" s="1249"/>
      <c r="C118" s="1247" t="s">
        <v>606</v>
      </c>
      <c r="D118" s="1245">
        <v>1</v>
      </c>
      <c r="E118" s="1245">
        <v>1</v>
      </c>
      <c r="F118" s="1245">
        <v>1</v>
      </c>
      <c r="G118" s="1245">
        <v>1</v>
      </c>
      <c r="H118" s="1245">
        <v>1</v>
      </c>
      <c r="I118" s="1245">
        <v>1</v>
      </c>
      <c r="J118" s="1245">
        <v>1</v>
      </c>
      <c r="K118" s="1245">
        <v>1</v>
      </c>
      <c r="L118" s="1245">
        <v>1</v>
      </c>
      <c r="M118" s="1245">
        <v>1</v>
      </c>
      <c r="N118" s="1245">
        <v>1</v>
      </c>
      <c r="O118" s="1245">
        <v>1</v>
      </c>
      <c r="P118" s="1245">
        <v>1</v>
      </c>
      <c r="Q118" s="1245">
        <v>1</v>
      </c>
      <c r="R118" s="1245">
        <v>1</v>
      </c>
      <c r="S118" s="1245">
        <v>1</v>
      </c>
      <c r="T118" s="1245">
        <v>1</v>
      </c>
      <c r="U118" s="1245">
        <v>1</v>
      </c>
      <c r="V118" s="1245">
        <v>1</v>
      </c>
      <c r="W118" s="1245">
        <v>1</v>
      </c>
      <c r="X118" s="1245">
        <v>1</v>
      </c>
      <c r="Y118" s="1245">
        <v>1</v>
      </c>
      <c r="Z118" s="1245">
        <v>1</v>
      </c>
      <c r="AA118" s="1245">
        <v>1</v>
      </c>
      <c r="AB118" s="1245">
        <v>1</v>
      </c>
      <c r="AC118" s="1245">
        <v>1</v>
      </c>
      <c r="AD118" s="1245">
        <v>1</v>
      </c>
      <c r="AE118" s="260">
        <f>'User Add-in Location'!B123</f>
        <v>0</v>
      </c>
      <c r="AF118" s="260">
        <f>'User Add-in Location'!C123</f>
        <v>0</v>
      </c>
      <c r="AG118" s="1245">
        <v>1</v>
      </c>
      <c r="AH118" s="1245">
        <v>1</v>
      </c>
      <c r="AI118" s="1245">
        <v>1</v>
      </c>
      <c r="AJ118" s="1245">
        <v>1</v>
      </c>
      <c r="AK118" s="1245">
        <v>1</v>
      </c>
      <c r="AL118" s="1245">
        <v>1</v>
      </c>
      <c r="AM118" s="1245">
        <v>1</v>
      </c>
      <c r="AN118" s="1245">
        <v>1</v>
      </c>
      <c r="AO118" s="1245">
        <v>1</v>
      </c>
      <c r="AP118" s="1245">
        <v>1</v>
      </c>
      <c r="AQ118" s="1245">
        <v>1</v>
      </c>
      <c r="AR118" s="1245">
        <v>1</v>
      </c>
      <c r="AS118" s="1245">
        <v>1</v>
      </c>
      <c r="AT118" s="1245">
        <v>1</v>
      </c>
      <c r="AU118" s="1245">
        <v>1</v>
      </c>
      <c r="AV118" s="1245">
        <v>1</v>
      </c>
      <c r="AW118" s="1245">
        <v>1</v>
      </c>
      <c r="AX118" s="1245">
        <v>1</v>
      </c>
      <c r="AY118" s="1245">
        <v>1</v>
      </c>
      <c r="AZ118" s="1245">
        <v>1</v>
      </c>
      <c r="BA118" s="1245">
        <v>1</v>
      </c>
      <c r="BB118" s="1245">
        <v>1</v>
      </c>
      <c r="BC118" s="1245">
        <v>1</v>
      </c>
      <c r="BD118" s="1245">
        <v>1</v>
      </c>
      <c r="BE118" s="1245">
        <v>1</v>
      </c>
    </row>
    <row r="119" spans="1:57" s="220" customFormat="1" x14ac:dyDescent="0.25">
      <c r="A119" s="1254"/>
      <c r="B119" s="1249"/>
      <c r="C119" s="1247" t="s">
        <v>607</v>
      </c>
      <c r="D119" s="1245">
        <v>1</v>
      </c>
      <c r="E119" s="1245">
        <v>1</v>
      </c>
      <c r="F119" s="1245">
        <v>1</v>
      </c>
      <c r="G119" s="1245">
        <v>1</v>
      </c>
      <c r="H119" s="1245">
        <v>1</v>
      </c>
      <c r="I119" s="1245">
        <v>1</v>
      </c>
      <c r="J119" s="1245">
        <v>1</v>
      </c>
      <c r="K119" s="1245">
        <v>1</v>
      </c>
      <c r="L119" s="1245">
        <v>1</v>
      </c>
      <c r="M119" s="1245">
        <v>1</v>
      </c>
      <c r="N119" s="1245">
        <v>1</v>
      </c>
      <c r="O119" s="1245">
        <v>1</v>
      </c>
      <c r="P119" s="1245">
        <v>1</v>
      </c>
      <c r="Q119" s="1245">
        <v>1</v>
      </c>
      <c r="R119" s="1245">
        <v>1</v>
      </c>
      <c r="S119" s="1245">
        <v>1</v>
      </c>
      <c r="T119" s="1245">
        <v>1</v>
      </c>
      <c r="U119" s="1245">
        <v>1</v>
      </c>
      <c r="V119" s="1245">
        <v>1</v>
      </c>
      <c r="W119" s="1245">
        <v>1</v>
      </c>
      <c r="X119" s="1245">
        <v>1</v>
      </c>
      <c r="Y119" s="1245">
        <v>1</v>
      </c>
      <c r="Z119" s="1245">
        <v>1</v>
      </c>
      <c r="AA119" s="1245">
        <v>1</v>
      </c>
      <c r="AB119" s="1245">
        <v>1</v>
      </c>
      <c r="AC119" s="1245">
        <v>1</v>
      </c>
      <c r="AD119" s="1245">
        <v>1</v>
      </c>
      <c r="AE119" s="260">
        <f>'User Add-in Location'!B124</f>
        <v>0</v>
      </c>
      <c r="AF119" s="260">
        <f>'User Add-in Location'!C124</f>
        <v>0</v>
      </c>
      <c r="AG119" s="1245">
        <v>1</v>
      </c>
      <c r="AH119" s="1245">
        <v>1</v>
      </c>
      <c r="AI119" s="1245">
        <v>1</v>
      </c>
      <c r="AJ119" s="1245">
        <v>1</v>
      </c>
      <c r="AK119" s="1245">
        <v>1</v>
      </c>
      <c r="AL119" s="1245">
        <v>1</v>
      </c>
      <c r="AM119" s="1245">
        <v>1</v>
      </c>
      <c r="AN119" s="1245">
        <v>1</v>
      </c>
      <c r="AO119" s="1245">
        <v>1</v>
      </c>
      <c r="AP119" s="1245">
        <v>1</v>
      </c>
      <c r="AQ119" s="1245">
        <v>1</v>
      </c>
      <c r="AR119" s="1245">
        <v>1</v>
      </c>
      <c r="AS119" s="1245">
        <v>1</v>
      </c>
      <c r="AT119" s="1245">
        <v>1</v>
      </c>
      <c r="AU119" s="1245">
        <v>1</v>
      </c>
      <c r="AV119" s="1245">
        <v>1</v>
      </c>
      <c r="AW119" s="1245">
        <v>1</v>
      </c>
      <c r="AX119" s="1245">
        <v>1</v>
      </c>
      <c r="AY119" s="1245">
        <v>1</v>
      </c>
      <c r="AZ119" s="1245">
        <v>1</v>
      </c>
      <c r="BA119" s="1245">
        <v>1</v>
      </c>
      <c r="BB119" s="1245">
        <v>1</v>
      </c>
      <c r="BC119" s="1245">
        <v>1</v>
      </c>
      <c r="BD119" s="1245">
        <v>1</v>
      </c>
      <c r="BE119" s="1245">
        <v>1</v>
      </c>
    </row>
    <row r="120" spans="1:57" s="220" customFormat="1" x14ac:dyDescent="0.25">
      <c r="A120" s="1254"/>
      <c r="B120" s="1249"/>
      <c r="C120" s="1247" t="s">
        <v>609</v>
      </c>
      <c r="D120" s="1245">
        <v>1</v>
      </c>
      <c r="E120" s="1245">
        <v>1</v>
      </c>
      <c r="F120" s="1245">
        <v>1</v>
      </c>
      <c r="G120" s="1245">
        <v>1</v>
      </c>
      <c r="H120" s="1245">
        <v>1</v>
      </c>
      <c r="I120" s="1245">
        <v>1</v>
      </c>
      <c r="J120" s="1245">
        <v>1</v>
      </c>
      <c r="K120" s="1245">
        <v>1</v>
      </c>
      <c r="L120" s="1245">
        <v>1</v>
      </c>
      <c r="M120" s="1245">
        <v>1</v>
      </c>
      <c r="N120" s="1245">
        <v>1</v>
      </c>
      <c r="O120" s="1245">
        <v>1</v>
      </c>
      <c r="P120" s="1245">
        <v>1</v>
      </c>
      <c r="Q120" s="1245">
        <v>1</v>
      </c>
      <c r="R120" s="1245">
        <v>1</v>
      </c>
      <c r="S120" s="1245">
        <v>1</v>
      </c>
      <c r="T120" s="1245">
        <v>1</v>
      </c>
      <c r="U120" s="1245">
        <v>1</v>
      </c>
      <c r="V120" s="1245">
        <v>1</v>
      </c>
      <c r="W120" s="1245">
        <v>1</v>
      </c>
      <c r="X120" s="1245">
        <v>1</v>
      </c>
      <c r="Y120" s="1245">
        <v>1</v>
      </c>
      <c r="Z120" s="1245">
        <v>1</v>
      </c>
      <c r="AA120" s="1245">
        <v>1</v>
      </c>
      <c r="AB120" s="1245">
        <v>1</v>
      </c>
      <c r="AC120" s="1245">
        <v>1</v>
      </c>
      <c r="AD120" s="1245">
        <v>1</v>
      </c>
      <c r="AE120" s="260">
        <f>'User Add-in Location'!B125</f>
        <v>0</v>
      </c>
      <c r="AF120" s="260">
        <f>'User Add-in Location'!C125</f>
        <v>0</v>
      </c>
      <c r="AG120" s="1245">
        <v>1</v>
      </c>
      <c r="AH120" s="1245">
        <v>1</v>
      </c>
      <c r="AI120" s="1245">
        <v>1</v>
      </c>
      <c r="AJ120" s="1245">
        <v>1</v>
      </c>
      <c r="AK120" s="1245">
        <v>1</v>
      </c>
      <c r="AL120" s="1245">
        <v>1</v>
      </c>
      <c r="AM120" s="1245">
        <v>1</v>
      </c>
      <c r="AN120" s="1245">
        <v>1</v>
      </c>
      <c r="AO120" s="1245">
        <v>1</v>
      </c>
      <c r="AP120" s="1245">
        <v>1</v>
      </c>
      <c r="AQ120" s="1245">
        <v>1</v>
      </c>
      <c r="AR120" s="1245">
        <v>1</v>
      </c>
      <c r="AS120" s="1245">
        <v>1</v>
      </c>
      <c r="AT120" s="1245">
        <v>1</v>
      </c>
      <c r="AU120" s="1245">
        <v>1</v>
      </c>
      <c r="AV120" s="1245">
        <v>1</v>
      </c>
      <c r="AW120" s="1245">
        <v>1</v>
      </c>
      <c r="AX120" s="1245">
        <v>1</v>
      </c>
      <c r="AY120" s="1245">
        <v>1</v>
      </c>
      <c r="AZ120" s="1245">
        <v>1</v>
      </c>
      <c r="BA120" s="1245">
        <v>1</v>
      </c>
      <c r="BB120" s="1245">
        <v>1</v>
      </c>
      <c r="BC120" s="1245">
        <v>1</v>
      </c>
      <c r="BD120" s="1245">
        <v>1</v>
      </c>
      <c r="BE120" s="1245">
        <v>1</v>
      </c>
    </row>
    <row r="121" spans="1:57" s="220" customFormat="1" x14ac:dyDescent="0.25">
      <c r="A121" s="1254"/>
      <c r="B121" s="1249"/>
      <c r="C121" s="1247"/>
      <c r="D121" s="1245"/>
      <c r="E121" s="1245"/>
      <c r="F121" s="1245"/>
      <c r="G121" s="1245"/>
      <c r="H121" s="1245"/>
      <c r="I121" s="1245"/>
      <c r="J121" s="1245"/>
      <c r="K121" s="1245"/>
      <c r="L121" s="1245"/>
      <c r="M121" s="1245"/>
      <c r="N121" s="1245"/>
      <c r="O121" s="1245"/>
      <c r="P121" s="1245"/>
      <c r="Q121" s="1245"/>
      <c r="R121" s="1245"/>
      <c r="S121" s="1245"/>
      <c r="T121" s="1245"/>
      <c r="U121" s="1245"/>
      <c r="V121" s="1245"/>
      <c r="W121" s="1245"/>
      <c r="X121" s="1245"/>
      <c r="Y121" s="1245"/>
      <c r="Z121" s="1245"/>
      <c r="AA121" s="1245"/>
      <c r="AB121" s="1245"/>
      <c r="AC121" s="1245"/>
      <c r="AD121" s="1245"/>
      <c r="AE121" s="260"/>
      <c r="AF121" s="260"/>
      <c r="AG121" s="1245"/>
      <c r="AH121" s="1245"/>
      <c r="AI121" s="1245"/>
      <c r="AJ121" s="1245"/>
      <c r="AK121" s="1245"/>
      <c r="AL121" s="1245"/>
      <c r="AM121" s="1245"/>
      <c r="AN121" s="1245"/>
      <c r="AO121" s="1245"/>
      <c r="AP121" s="1245"/>
      <c r="AQ121" s="1245"/>
      <c r="AR121" s="1245"/>
      <c r="AS121" s="1245"/>
      <c r="AT121" s="1245"/>
      <c r="AU121" s="1245"/>
      <c r="AV121" s="1245"/>
      <c r="AW121" s="1245"/>
      <c r="AX121" s="1245"/>
      <c r="AY121" s="1245"/>
      <c r="AZ121" s="1245"/>
      <c r="BA121" s="1245"/>
      <c r="BB121" s="1245"/>
      <c r="BC121" s="1245"/>
      <c r="BD121" s="1245"/>
      <c r="BE121" s="1245"/>
    </row>
    <row r="122" spans="1:57" s="220" customFormat="1" x14ac:dyDescent="0.25">
      <c r="A122" s="1254"/>
      <c r="B122" s="1249"/>
      <c r="C122" s="1258" t="s">
        <v>616</v>
      </c>
      <c r="D122" s="1245"/>
      <c r="E122" s="1245"/>
      <c r="F122" s="1245"/>
      <c r="G122" s="1245"/>
      <c r="H122" s="1245"/>
      <c r="I122" s="1245"/>
      <c r="J122" s="1245"/>
      <c r="K122" s="1245"/>
      <c r="L122" s="1245"/>
      <c r="M122" s="1245"/>
      <c r="N122" s="1245"/>
      <c r="O122" s="1245"/>
      <c r="P122" s="1245"/>
      <c r="Q122" s="1245"/>
      <c r="R122" s="1245"/>
      <c r="S122" s="1245"/>
      <c r="T122" s="1245"/>
      <c r="U122" s="1245"/>
      <c r="V122" s="1245"/>
      <c r="W122" s="1245"/>
      <c r="X122" s="1245"/>
      <c r="Y122" s="1245"/>
      <c r="Z122" s="1245"/>
      <c r="AA122" s="1245"/>
      <c r="AB122" s="1245"/>
      <c r="AC122" s="1245"/>
      <c r="AD122" s="1245"/>
      <c r="AE122" s="260"/>
      <c r="AF122" s="260"/>
      <c r="AG122" s="1245"/>
      <c r="AH122" s="1245"/>
      <c r="AI122" s="1245"/>
      <c r="AJ122" s="1245"/>
      <c r="AK122" s="1245"/>
      <c r="AL122" s="1245"/>
      <c r="AM122" s="1245"/>
      <c r="AN122" s="1245"/>
      <c r="AO122" s="1245"/>
      <c r="AP122" s="1245"/>
      <c r="AQ122" s="1245"/>
      <c r="AR122" s="1245"/>
      <c r="AS122" s="1245"/>
      <c r="AT122" s="1245"/>
      <c r="AU122" s="1245"/>
      <c r="AV122" s="1245"/>
      <c r="AW122" s="1245"/>
      <c r="AX122" s="1245"/>
      <c r="AY122" s="1245"/>
      <c r="AZ122" s="1245"/>
      <c r="BA122" s="1245"/>
      <c r="BB122" s="1245"/>
      <c r="BC122" s="1245"/>
      <c r="BD122" s="1245"/>
      <c r="BE122" s="1245"/>
    </row>
    <row r="123" spans="1:57" s="220" customFormat="1" ht="15" customHeight="1" x14ac:dyDescent="0.25">
      <c r="A123" s="1254"/>
      <c r="B123" s="1249"/>
      <c r="C123" s="1257" t="s">
        <v>618</v>
      </c>
      <c r="D123" s="1245" t="s">
        <v>539</v>
      </c>
      <c r="E123" s="1245" t="s">
        <v>540</v>
      </c>
      <c r="F123" s="1245" t="s">
        <v>541</v>
      </c>
      <c r="G123" s="1245" t="s">
        <v>542</v>
      </c>
      <c r="H123" s="1245" t="s">
        <v>543</v>
      </c>
      <c r="I123" s="1245" t="s">
        <v>143</v>
      </c>
      <c r="J123" s="1245" t="s">
        <v>544</v>
      </c>
      <c r="K123" s="1245" t="s">
        <v>545</v>
      </c>
      <c r="L123" s="1245" t="s">
        <v>546</v>
      </c>
      <c r="M123" s="1245" t="s">
        <v>547</v>
      </c>
      <c r="N123" s="1245" t="s">
        <v>548</v>
      </c>
      <c r="O123" s="1245" t="s">
        <v>549</v>
      </c>
      <c r="P123" s="1245" t="s">
        <v>550</v>
      </c>
      <c r="Q123" s="1245" t="s">
        <v>551</v>
      </c>
      <c r="R123" s="1245" t="s">
        <v>552</v>
      </c>
      <c r="S123" s="1245" t="s">
        <v>553</v>
      </c>
      <c r="T123" s="1245" t="s">
        <v>554</v>
      </c>
      <c r="U123" s="1245" t="s">
        <v>555</v>
      </c>
      <c r="V123" s="1245" t="s">
        <v>556</v>
      </c>
      <c r="W123" s="1245" t="s">
        <v>557</v>
      </c>
      <c r="X123" s="1245" t="s">
        <v>558</v>
      </c>
      <c r="Y123" s="1245" t="s">
        <v>559</v>
      </c>
      <c r="Z123" s="1245" t="s">
        <v>560</v>
      </c>
      <c r="AA123" s="1245" t="s">
        <v>561</v>
      </c>
      <c r="AB123" s="1245" t="s">
        <v>562</v>
      </c>
      <c r="AC123" s="1245" t="s">
        <v>563</v>
      </c>
      <c r="AD123" s="1245" t="s">
        <v>564</v>
      </c>
      <c r="AE123" s="260" t="s">
        <v>565</v>
      </c>
      <c r="AF123" s="260" t="s">
        <v>566</v>
      </c>
      <c r="AG123" s="1245" t="s">
        <v>567</v>
      </c>
      <c r="AH123" s="1245" t="s">
        <v>568</v>
      </c>
      <c r="AI123" s="1245" t="s">
        <v>569</v>
      </c>
      <c r="AJ123" s="1245" t="s">
        <v>570</v>
      </c>
      <c r="AK123" s="1245" t="s">
        <v>571</v>
      </c>
      <c r="AL123" s="1245" t="s">
        <v>572</v>
      </c>
      <c r="AM123" s="1245" t="s">
        <v>573</v>
      </c>
      <c r="AN123" s="1245" t="s">
        <v>574</v>
      </c>
      <c r="AO123" s="1245" t="s">
        <v>575</v>
      </c>
      <c r="AP123" s="1245" t="s">
        <v>576</v>
      </c>
      <c r="AQ123" s="1245" t="s">
        <v>577</v>
      </c>
      <c r="AR123" s="1245" t="s">
        <v>578</v>
      </c>
      <c r="AS123" s="1245" t="s">
        <v>579</v>
      </c>
      <c r="AT123" s="1245" t="s">
        <v>580</v>
      </c>
      <c r="AU123" s="1245" t="s">
        <v>581</v>
      </c>
      <c r="AV123" s="1245" t="s">
        <v>582</v>
      </c>
      <c r="AW123" s="1245" t="s">
        <v>583</v>
      </c>
      <c r="AX123" s="1245" t="s">
        <v>1404</v>
      </c>
      <c r="AY123" s="1245" t="s">
        <v>584</v>
      </c>
      <c r="AZ123" s="1245" t="s">
        <v>585</v>
      </c>
      <c r="BA123" s="1245" t="s">
        <v>586</v>
      </c>
      <c r="BB123" s="1245" t="s">
        <v>587</v>
      </c>
      <c r="BC123" s="1245" t="s">
        <v>588</v>
      </c>
      <c r="BD123" s="1245" t="s">
        <v>589</v>
      </c>
      <c r="BE123" s="1245" t="s">
        <v>590</v>
      </c>
    </row>
    <row r="124" spans="1:57" s="220" customFormat="1" x14ac:dyDescent="0.25">
      <c r="A124" s="1254"/>
      <c r="B124" s="1249"/>
      <c r="C124" s="1247" t="s">
        <v>592</v>
      </c>
      <c r="D124" s="1245">
        <v>0.26157271862030029</v>
      </c>
      <c r="E124" s="1245">
        <v>0.10876667499542236</v>
      </c>
      <c r="F124" s="1245">
        <v>0.21263396739959717</v>
      </c>
      <c r="G124" s="1245">
        <v>0.40233433246612549</v>
      </c>
      <c r="H124" s="1245">
        <v>0.18266880512237549</v>
      </c>
      <c r="I124" s="1245">
        <v>0.43537545204162598</v>
      </c>
      <c r="J124" s="1245">
        <v>0.10988247394561768</v>
      </c>
      <c r="K124" s="1245">
        <v>0.31075286865234375</v>
      </c>
      <c r="L124" s="1245">
        <v>0.13212990760803223</v>
      </c>
      <c r="M124" s="1245">
        <v>0.15501177310943604</v>
      </c>
      <c r="N124" s="1245">
        <v>0.29092717170715332</v>
      </c>
      <c r="O124" s="1245">
        <v>0.13808989524841309</v>
      </c>
      <c r="P124" s="1245">
        <v>0.36452841758728027</v>
      </c>
      <c r="Q124" s="1245">
        <v>0.30969762802124023</v>
      </c>
      <c r="R124" s="1245">
        <v>0.21295523643493652</v>
      </c>
      <c r="S124" s="1245">
        <v>0.35397875308990479</v>
      </c>
      <c r="T124" s="1245">
        <v>0.46925270557403564</v>
      </c>
      <c r="U124" s="1245">
        <v>0.19515490531921387</v>
      </c>
      <c r="V124" s="1245">
        <v>0.16306221485137939</v>
      </c>
      <c r="W124" s="1245">
        <v>0.19720542430877686</v>
      </c>
      <c r="X124" s="1245">
        <v>0.18589794635772705</v>
      </c>
      <c r="Y124" s="1245">
        <v>9.7021937370300293E-2</v>
      </c>
      <c r="Z124" s="1245">
        <v>0.21246445178985596</v>
      </c>
      <c r="AA124" s="1245">
        <v>0.36046338081359863</v>
      </c>
      <c r="AB124" s="1245">
        <v>0.26462638378143311</v>
      </c>
      <c r="AC124" s="1245">
        <v>0.26113200187683105</v>
      </c>
      <c r="AD124" s="1245">
        <v>0.36063647270202637</v>
      </c>
      <c r="AE124" s="260">
        <f>'User Add-in Location'!B129</f>
        <v>0</v>
      </c>
      <c r="AF124" s="260">
        <f>'User Add-in Location'!C129</f>
        <v>0</v>
      </c>
      <c r="AG124" s="1245">
        <v>0.46627557277679443</v>
      </c>
      <c r="AH124" s="1245">
        <v>9.9615693092346191E-2</v>
      </c>
      <c r="AI124" s="1245">
        <v>0.14453685283660889</v>
      </c>
      <c r="AJ124" s="1245">
        <v>9.6693277359008789E-2</v>
      </c>
      <c r="AK124" s="1245">
        <v>0.25976324081420898</v>
      </c>
      <c r="AL124" s="1245">
        <v>0.20423352718353271</v>
      </c>
      <c r="AM124" s="1245">
        <v>0.23688197135925293</v>
      </c>
      <c r="AN124" s="1245">
        <v>0.32466840744018555</v>
      </c>
      <c r="AO124" s="1245">
        <v>0.2362443208694458</v>
      </c>
      <c r="AP124" s="1245">
        <v>0.27843630313873291</v>
      </c>
      <c r="AQ124" s="1245">
        <v>0.22565579414367676</v>
      </c>
      <c r="AR124" s="1245">
        <v>0.23627805709838867</v>
      </c>
      <c r="AS124" s="1245">
        <v>9.8947048187255859E-2</v>
      </c>
      <c r="AT124" s="1245">
        <v>0.17169868946075439</v>
      </c>
      <c r="AU124" s="1245">
        <v>0.42417252063751221</v>
      </c>
      <c r="AV124" s="1245">
        <v>0.20046448707580566</v>
      </c>
      <c r="AW124" s="1245">
        <v>0.33491361141204834</v>
      </c>
      <c r="AX124" s="1245">
        <v>0.63790655136108398</v>
      </c>
      <c r="AY124" s="1245">
        <v>0.24776935577392578</v>
      </c>
      <c r="AZ124" s="1245">
        <v>0.30969727039337158</v>
      </c>
      <c r="BA124" s="1245">
        <v>0.20997607707977295</v>
      </c>
      <c r="BB124" s="1245">
        <v>0.17596614360809326</v>
      </c>
      <c r="BC124" s="1245">
        <v>0.15225315093994141</v>
      </c>
      <c r="BD124" s="1245">
        <v>0.38006722927093506</v>
      </c>
      <c r="BE124" s="1245">
        <v>0.19798374176025391</v>
      </c>
    </row>
    <row r="125" spans="1:57" s="220" customFormat="1" x14ac:dyDescent="0.25">
      <c r="A125" s="1254"/>
      <c r="B125" s="1249"/>
      <c r="C125" s="1247" t="s">
        <v>593</v>
      </c>
      <c r="D125" s="1245">
        <v>0.24988961219787598</v>
      </c>
      <c r="E125" s="1245">
        <v>0.12598335742950439</v>
      </c>
      <c r="F125" s="1245">
        <v>0.32482612133026123</v>
      </c>
      <c r="G125" s="1245">
        <v>0.28941166400909424</v>
      </c>
      <c r="H125" s="1245">
        <v>0.24997413158416748</v>
      </c>
      <c r="I125" s="1245">
        <v>0.31567716598510742</v>
      </c>
      <c r="J125" s="1245">
        <v>0.31345880031585693</v>
      </c>
      <c r="K125" s="1245">
        <v>0.28373849391937256</v>
      </c>
      <c r="L125" s="1245">
        <v>0.24335992336273193</v>
      </c>
      <c r="M125" s="1245">
        <v>0.47727441787719727</v>
      </c>
      <c r="N125" s="1245">
        <v>0.29525887966156006</v>
      </c>
      <c r="O125" s="1245">
        <v>0.31390416622161865</v>
      </c>
      <c r="P125" s="1245">
        <v>0.3093874454498291</v>
      </c>
      <c r="Q125" s="1245">
        <v>0.35704004764556885</v>
      </c>
      <c r="R125" s="1245">
        <v>0.30276119709014893</v>
      </c>
      <c r="S125" s="1245">
        <v>0.2687833309173584</v>
      </c>
      <c r="T125" s="1245">
        <v>0.52029287815093994</v>
      </c>
      <c r="U125" s="1245">
        <v>0.28278148174285889</v>
      </c>
      <c r="V125" s="1245">
        <v>0.24060678482055664</v>
      </c>
      <c r="W125" s="1245">
        <v>0.42488527297973633</v>
      </c>
      <c r="X125" s="1245">
        <v>0.39102184772491455</v>
      </c>
      <c r="Y125" s="1245">
        <v>0.41548383235931396</v>
      </c>
      <c r="Z125" s="1245">
        <v>0.4090193510055542</v>
      </c>
      <c r="AA125" s="1245">
        <v>0.29601788520812988</v>
      </c>
      <c r="AB125" s="1245">
        <v>0.28491306304931641</v>
      </c>
      <c r="AC125" s="1245">
        <v>0.32036685943603516</v>
      </c>
      <c r="AD125" s="1245">
        <v>0.36254918575286865</v>
      </c>
      <c r="AE125" s="260">
        <f>'User Add-in Location'!B130</f>
        <v>0</v>
      </c>
      <c r="AF125" s="260">
        <f>'User Add-in Location'!C130</f>
        <v>0</v>
      </c>
      <c r="AG125" s="1245">
        <v>0.2833627462387085</v>
      </c>
      <c r="AH125" s="1245">
        <v>0.19620883464813232</v>
      </c>
      <c r="AI125" s="1245">
        <v>0.30438148975372314</v>
      </c>
      <c r="AJ125" s="1245">
        <v>0.35963523387908936</v>
      </c>
      <c r="AK125" s="1245">
        <v>0.3321077823638916</v>
      </c>
      <c r="AL125" s="1245">
        <v>0.37904763221740723</v>
      </c>
      <c r="AM125" s="1245">
        <v>0.27946710586547852</v>
      </c>
      <c r="AN125" s="1245">
        <v>0.22910046577453613</v>
      </c>
      <c r="AO125" s="1245">
        <v>0.37685668468475342</v>
      </c>
      <c r="AP125" s="1245">
        <v>0.4083627462387085</v>
      </c>
      <c r="AQ125" s="1245">
        <v>0.38049781322479248</v>
      </c>
      <c r="AR125" s="1245">
        <v>0.283622145652771</v>
      </c>
      <c r="AS125" s="1245">
        <v>0.32722926139831543</v>
      </c>
      <c r="AT125" s="1245">
        <v>0.28583598136901855</v>
      </c>
      <c r="AU125" s="1245">
        <v>0.32389247417449951</v>
      </c>
      <c r="AV125" s="1245">
        <v>0.29014575481414795</v>
      </c>
      <c r="AW125" s="1245">
        <v>0.30056118965148926</v>
      </c>
      <c r="AX125" s="1245">
        <v>0.51409494876861572</v>
      </c>
      <c r="AY125" s="1245">
        <v>0.34032070636749268</v>
      </c>
      <c r="AZ125" s="1245">
        <v>0.23893749713897705</v>
      </c>
      <c r="BA125" s="1245">
        <v>0.30193018913269043</v>
      </c>
      <c r="BB125" s="1245">
        <v>0.35655653476715088</v>
      </c>
      <c r="BC125" s="1245">
        <v>0.33017182350158691</v>
      </c>
      <c r="BD125" s="1245">
        <v>0.2439274787902832</v>
      </c>
      <c r="BE125" s="1245">
        <v>0.25366902351379395</v>
      </c>
    </row>
    <row r="126" spans="1:57" s="220" customFormat="1" x14ac:dyDescent="0.25">
      <c r="A126" s="1254"/>
      <c r="B126" s="1249"/>
      <c r="C126" s="1247" t="s">
        <v>595</v>
      </c>
      <c r="D126" s="1245">
        <v>0.38916492462158203</v>
      </c>
      <c r="E126" s="1245">
        <v>0.28123247623443604</v>
      </c>
      <c r="F126" s="1245">
        <v>0.39715981483459473</v>
      </c>
      <c r="G126" s="1245">
        <v>0.39712762832641602</v>
      </c>
      <c r="H126" s="1245">
        <v>0.52964448928833008</v>
      </c>
      <c r="I126" s="1245">
        <v>0.47307956218719482</v>
      </c>
      <c r="J126" s="1245">
        <v>0.3889995813369751</v>
      </c>
      <c r="K126" s="1245">
        <v>0.36489951610565186</v>
      </c>
      <c r="L126" s="1245">
        <v>0.18371069431304932</v>
      </c>
      <c r="M126" s="1245">
        <v>0.4605940580368042</v>
      </c>
      <c r="N126" s="1245">
        <v>0.45488548278808594</v>
      </c>
      <c r="O126" s="1245">
        <v>0.31091737747192383</v>
      </c>
      <c r="P126" s="1245">
        <v>0.42445194721221924</v>
      </c>
      <c r="Q126" s="1245">
        <v>0.42869234085083008</v>
      </c>
      <c r="R126" s="1245">
        <v>0.40114152431488037</v>
      </c>
      <c r="S126" s="1245">
        <v>0.36245036125183105</v>
      </c>
      <c r="T126" s="1245">
        <v>0.41443502902984619</v>
      </c>
      <c r="U126" s="1245">
        <v>0.36311328411102295</v>
      </c>
      <c r="V126" s="1245">
        <v>0.34797549247741699</v>
      </c>
      <c r="W126" s="1245">
        <v>0.4450608491897583</v>
      </c>
      <c r="X126" s="1245">
        <v>0.33105885982513428</v>
      </c>
      <c r="Y126" s="1245">
        <v>0.39448988437652588</v>
      </c>
      <c r="Z126" s="1245">
        <v>0.458640456199646</v>
      </c>
      <c r="AA126" s="1245">
        <v>0.44953835010528564</v>
      </c>
      <c r="AB126" s="1245">
        <v>0.34779047966003418</v>
      </c>
      <c r="AC126" s="1245">
        <v>0.431740403175354</v>
      </c>
      <c r="AD126" s="1245">
        <v>0.39101612567901611</v>
      </c>
      <c r="AE126" s="260">
        <f>'User Add-in Location'!B131</f>
        <v>0</v>
      </c>
      <c r="AF126" s="260">
        <f>'User Add-in Location'!C131</f>
        <v>0</v>
      </c>
      <c r="AG126" s="1245">
        <v>0.371512770652771</v>
      </c>
      <c r="AH126" s="1245">
        <v>0.16153419017791748</v>
      </c>
      <c r="AI126" s="1245">
        <v>0.42651462554931641</v>
      </c>
      <c r="AJ126" s="1245">
        <v>0.38594460487365723</v>
      </c>
      <c r="AK126" s="1245">
        <v>0.35141170024871826</v>
      </c>
      <c r="AL126" s="1245">
        <v>0.35484695434570313</v>
      </c>
      <c r="AM126" s="1245">
        <v>0.45969498157501221</v>
      </c>
      <c r="AN126" s="1245">
        <v>0.34094035625457764</v>
      </c>
      <c r="AO126" s="1245">
        <v>0.484732985496521</v>
      </c>
      <c r="AP126" s="1245">
        <v>0.42571580410003662</v>
      </c>
      <c r="AQ126" s="1245">
        <v>0.39993727207183838</v>
      </c>
      <c r="AR126" s="1245">
        <v>0.45307517051696777</v>
      </c>
      <c r="AS126" s="1245">
        <v>0.33240389823913574</v>
      </c>
      <c r="AT126" s="1245">
        <v>0.37586414813995361</v>
      </c>
      <c r="AU126" s="1245">
        <v>0.38148486614227295</v>
      </c>
      <c r="AV126" s="1245">
        <v>0.44695818424224854</v>
      </c>
      <c r="AW126" s="1245">
        <v>0.51713383197784424</v>
      </c>
      <c r="AX126" s="1245">
        <v>0.9154200553894043</v>
      </c>
      <c r="AY126" s="1245">
        <v>0.46621942520141602</v>
      </c>
      <c r="AZ126" s="1245">
        <v>0.39622008800506592</v>
      </c>
      <c r="BA126" s="1245">
        <v>0.37509894371032715</v>
      </c>
      <c r="BB126" s="1245">
        <v>0.41225874423980713</v>
      </c>
      <c r="BC126" s="1245">
        <v>0.27503347396850586</v>
      </c>
      <c r="BD126" s="1245">
        <v>0.43158376216888428</v>
      </c>
      <c r="BE126" s="1245">
        <v>0.26344728469848633</v>
      </c>
    </row>
    <row r="127" spans="1:57" s="220" customFormat="1" x14ac:dyDescent="0.25">
      <c r="A127" s="1254"/>
      <c r="B127" s="1249"/>
      <c r="C127" s="1247" t="s">
        <v>596</v>
      </c>
      <c r="D127" s="1245">
        <v>0.3344123363494873</v>
      </c>
      <c r="E127" s="1245">
        <v>0.39449608325958252</v>
      </c>
      <c r="F127" s="1245">
        <v>0.35610771179199219</v>
      </c>
      <c r="G127" s="1245">
        <v>0.38265585899353027</v>
      </c>
      <c r="H127" s="1245">
        <v>0.53448808193206787</v>
      </c>
      <c r="I127" s="1245">
        <v>0.47489321231842041</v>
      </c>
      <c r="J127" s="1245">
        <v>0.26870274543762207</v>
      </c>
      <c r="K127" s="1245">
        <v>0.3025895357131958</v>
      </c>
      <c r="L127" s="1245">
        <v>0.12852728366851807</v>
      </c>
      <c r="M127" s="1245">
        <v>0.39389646053314209</v>
      </c>
      <c r="N127" s="1245">
        <v>0.36730241775512695</v>
      </c>
      <c r="O127" s="1245">
        <v>0.36630380153656006</v>
      </c>
      <c r="P127" s="1245">
        <v>0.39698696136474609</v>
      </c>
      <c r="Q127" s="1245">
        <v>0.4058384895324707</v>
      </c>
      <c r="R127" s="1245">
        <v>0.31643342971801758</v>
      </c>
      <c r="S127" s="1245">
        <v>0.34504532814025879</v>
      </c>
      <c r="T127" s="1245">
        <v>0.45289885997772217</v>
      </c>
      <c r="U127" s="1245">
        <v>0.31033265590667725</v>
      </c>
      <c r="V127" s="1245">
        <v>0.38727796077728271</v>
      </c>
      <c r="W127" s="1245">
        <v>0.32791328430175781</v>
      </c>
      <c r="X127" s="1245">
        <v>0.24533963203430176</v>
      </c>
      <c r="Y127" s="1245">
        <v>0.29886627197265625</v>
      </c>
      <c r="Z127" s="1245">
        <v>0.37695908546447754</v>
      </c>
      <c r="AA127" s="1245">
        <v>0.44561517238616943</v>
      </c>
      <c r="AB127" s="1245">
        <v>0.33668303489685059</v>
      </c>
      <c r="AC127" s="1245">
        <v>0.35196983814239502</v>
      </c>
      <c r="AD127" s="1245">
        <v>0.41470348834991455</v>
      </c>
      <c r="AE127" s="260">
        <f>'User Add-in Location'!B132</f>
        <v>0</v>
      </c>
      <c r="AF127" s="260">
        <f>'User Add-in Location'!C132</f>
        <v>0</v>
      </c>
      <c r="AG127" s="1245">
        <v>0.36661076545715332</v>
      </c>
      <c r="AH127" s="1245">
        <v>0.19642078876495361</v>
      </c>
      <c r="AI127" s="1245">
        <v>0.26139223575592041</v>
      </c>
      <c r="AJ127" s="1245">
        <v>0.33242559432983398</v>
      </c>
      <c r="AK127" s="1245">
        <v>0.42901742458343506</v>
      </c>
      <c r="AL127" s="1245">
        <v>0.31921303272247314</v>
      </c>
      <c r="AM127" s="1245">
        <v>0.33699488639831543</v>
      </c>
      <c r="AN127" s="1245">
        <v>0.40972054004669189</v>
      </c>
      <c r="AO127" s="1245">
        <v>0.41225337982177734</v>
      </c>
      <c r="AP127" s="1245">
        <v>0.46427202224731445</v>
      </c>
      <c r="AQ127" s="1245">
        <v>0.36918509006500244</v>
      </c>
      <c r="AR127" s="1245">
        <v>0.40912425518035889</v>
      </c>
      <c r="AS127" s="1245">
        <v>0.26079308986663818</v>
      </c>
      <c r="AT127" s="1245">
        <v>0.28367376327514648</v>
      </c>
      <c r="AU127" s="1245">
        <v>0.34844779968261719</v>
      </c>
      <c r="AV127" s="1245">
        <v>0.33032238483428955</v>
      </c>
      <c r="AW127" s="1245">
        <v>0.63190865516662598</v>
      </c>
      <c r="AX127" s="1245">
        <v>1.0921313762664795</v>
      </c>
      <c r="AY127" s="1245">
        <v>0.46310436725616455</v>
      </c>
      <c r="AZ127" s="1245">
        <v>0.33806169033050537</v>
      </c>
      <c r="BA127" s="1245">
        <v>0.27148914337158203</v>
      </c>
      <c r="BB127" s="1245">
        <v>0.3828885555267334</v>
      </c>
      <c r="BC127" s="1245">
        <v>0.28209364414215088</v>
      </c>
      <c r="BD127" s="1245">
        <v>0.3858189582824707</v>
      </c>
      <c r="BE127" s="1245">
        <v>0.39157652854919434</v>
      </c>
    </row>
    <row r="128" spans="1:57" s="220" customFormat="1" x14ac:dyDescent="0.25">
      <c r="A128" s="1254"/>
      <c r="B128" s="1249"/>
      <c r="C128" s="1247" t="s">
        <v>598</v>
      </c>
      <c r="D128" s="1245">
        <v>0.29140353202819824</v>
      </c>
      <c r="E128" s="1245">
        <v>0.2995305061340332</v>
      </c>
      <c r="F128" s="1245">
        <v>0.34711205959320068</v>
      </c>
      <c r="G128" s="1245">
        <v>0.26948642730712891</v>
      </c>
      <c r="H128" s="1245">
        <v>0.54984128475189209</v>
      </c>
      <c r="I128" s="1245">
        <v>0.39103841781616211</v>
      </c>
      <c r="J128" s="1245">
        <v>0.28394925594329834</v>
      </c>
      <c r="K128" s="1245">
        <v>0.25335240364074707</v>
      </c>
      <c r="L128" s="1245">
        <v>0</v>
      </c>
      <c r="M128" s="1245">
        <v>0.38344454765319824</v>
      </c>
      <c r="N128" s="1245">
        <v>0.35021018981933594</v>
      </c>
      <c r="O128" s="1245">
        <v>0.32520675659179688</v>
      </c>
      <c r="P128" s="1245">
        <v>0.31689167022705078</v>
      </c>
      <c r="Q128" s="1245">
        <v>0.3877178430557251</v>
      </c>
      <c r="R128" s="1245">
        <v>0.3140714168548584</v>
      </c>
      <c r="S128" s="1245">
        <v>0.27789509296417236</v>
      </c>
      <c r="T128" s="1245">
        <v>0.30912435054779053</v>
      </c>
      <c r="U128" s="1245">
        <v>0.27358067035675049</v>
      </c>
      <c r="V128" s="1245">
        <v>0.279610276222229</v>
      </c>
      <c r="W128" s="1245">
        <v>0.2907860279083252</v>
      </c>
      <c r="X128" s="1245">
        <v>0.26515316963195801</v>
      </c>
      <c r="Y128" s="1245">
        <v>0.31354010105133057</v>
      </c>
      <c r="Z128" s="1245">
        <v>0.36986827850341797</v>
      </c>
      <c r="AA128" s="1245">
        <v>0.40151429176330566</v>
      </c>
      <c r="AB128" s="1245">
        <v>0.2642066478729248</v>
      </c>
      <c r="AC128" s="1245">
        <v>0.31392371654510498</v>
      </c>
      <c r="AD128" s="1245">
        <v>0.30038559436798096</v>
      </c>
      <c r="AE128" s="260">
        <f>'User Add-in Location'!B133</f>
        <v>0</v>
      </c>
      <c r="AF128" s="260">
        <f>'User Add-in Location'!C133</f>
        <v>0</v>
      </c>
      <c r="AG128" s="1245">
        <v>0.26926243305206299</v>
      </c>
      <c r="AH128" s="1245">
        <v>0.17982447147369385</v>
      </c>
      <c r="AI128" s="1245">
        <v>0.26360666751861572</v>
      </c>
      <c r="AJ128" s="1245">
        <v>0.3257133960723877</v>
      </c>
      <c r="AK128" s="1245">
        <v>0.29929137229919434</v>
      </c>
      <c r="AL128" s="1245">
        <v>0.31788372993469238</v>
      </c>
      <c r="AM128" s="1245">
        <v>0.36931288242340088</v>
      </c>
      <c r="AN128" s="1245">
        <v>0.271728515625</v>
      </c>
      <c r="AO128" s="1245">
        <v>0.38698101043701172</v>
      </c>
      <c r="AP128" s="1245">
        <v>0.29759252071380615</v>
      </c>
      <c r="AQ128" s="1245">
        <v>0.33671724796295166</v>
      </c>
      <c r="AR128" s="1245">
        <v>0.37948310375213623</v>
      </c>
      <c r="AS128" s="1245">
        <v>0.29347085952758789</v>
      </c>
      <c r="AT128" s="1245">
        <v>0.26283299922943115</v>
      </c>
      <c r="AU128" s="1245">
        <v>0.24922895431518555</v>
      </c>
      <c r="AV128" s="1245">
        <v>0.31190001964569092</v>
      </c>
      <c r="AW128" s="1245">
        <v>0.51178669929504395</v>
      </c>
      <c r="AX128" s="1245">
        <v>1.0504641532897949</v>
      </c>
      <c r="AY128" s="1245">
        <v>0.4341433048248291</v>
      </c>
      <c r="AZ128" s="1245">
        <v>0.25798332691192627</v>
      </c>
      <c r="BA128" s="1245">
        <v>0.26179420948028564</v>
      </c>
      <c r="BB128" s="1245">
        <v>0.37797951698303223</v>
      </c>
      <c r="BC128" s="1245">
        <v>0.21770584583282471</v>
      </c>
      <c r="BD128" s="1245">
        <v>0.3396296501159668</v>
      </c>
      <c r="BE128" s="1245">
        <v>0.22744143009185791</v>
      </c>
    </row>
    <row r="129" spans="1:57" s="220" customFormat="1" x14ac:dyDescent="0.25">
      <c r="A129" s="1254"/>
      <c r="B129" s="1249"/>
      <c r="C129" s="1247" t="s">
        <v>599</v>
      </c>
      <c r="D129" s="1245">
        <v>0.34155237674713135</v>
      </c>
      <c r="E129" s="1245">
        <v>0.29713833332061768</v>
      </c>
      <c r="F129" s="1245">
        <v>0.33325469493865967</v>
      </c>
      <c r="G129" s="1245">
        <v>0.33336055278778076</v>
      </c>
      <c r="H129" s="1245">
        <v>0.54007112979888916</v>
      </c>
      <c r="I129" s="1245">
        <v>0.45226085186004639</v>
      </c>
      <c r="J129" s="1245">
        <v>0.30527234077453613</v>
      </c>
      <c r="K129" s="1245">
        <v>0.24576699733734131</v>
      </c>
      <c r="L129" s="1245">
        <v>0.20273840427398682</v>
      </c>
      <c r="M129" s="1245">
        <v>0.42598855495452881</v>
      </c>
      <c r="N129" s="1245">
        <v>0.37166249752044678</v>
      </c>
      <c r="O129" s="1245">
        <v>0.39293575286865234</v>
      </c>
      <c r="P129" s="1245">
        <v>0.36100435256958008</v>
      </c>
      <c r="Q129" s="1245">
        <v>0.38464975357055664</v>
      </c>
      <c r="R129" s="1245">
        <v>0.35881149768829346</v>
      </c>
      <c r="S129" s="1245">
        <v>0.28663027286529541</v>
      </c>
      <c r="T129" s="1245">
        <v>0.37257266044616699</v>
      </c>
      <c r="U129" s="1245">
        <v>0.31368649005889893</v>
      </c>
      <c r="V129" s="1245">
        <v>0.32164263725280762</v>
      </c>
      <c r="W129" s="1245">
        <v>0.3141629695892334</v>
      </c>
      <c r="X129" s="1245">
        <v>0.31235218048095703</v>
      </c>
      <c r="Y129" s="1245">
        <v>0.33630239963531494</v>
      </c>
      <c r="Z129" s="1245">
        <v>0.37974274158477783</v>
      </c>
      <c r="AA129" s="1245">
        <v>0.47189652919769287</v>
      </c>
      <c r="AB129" s="1245">
        <v>0.29356229305267334</v>
      </c>
      <c r="AC129" s="1245">
        <v>0.3990706205368042</v>
      </c>
      <c r="AD129" s="1245">
        <v>0.36462676525115967</v>
      </c>
      <c r="AE129" s="260">
        <f>'User Add-in Location'!B134</f>
        <v>0</v>
      </c>
      <c r="AF129" s="260">
        <f>'User Add-in Location'!C134</f>
        <v>0</v>
      </c>
      <c r="AG129" s="1245">
        <v>0.2980039119720459</v>
      </c>
      <c r="AH129" s="1245">
        <v>0.19985246658325195</v>
      </c>
      <c r="AI129" s="1245">
        <v>0.21808755397796631</v>
      </c>
      <c r="AJ129" s="1245">
        <v>0.32617533206939697</v>
      </c>
      <c r="AK129" s="1245">
        <v>0.31599628925323486</v>
      </c>
      <c r="AL129" s="1245">
        <v>0.32724881172180176</v>
      </c>
      <c r="AM129" s="1245">
        <v>0.3396761417388916</v>
      </c>
      <c r="AN129" s="1245">
        <v>0.32859981060028076</v>
      </c>
      <c r="AO129" s="1245">
        <v>0.41274642944335938</v>
      </c>
      <c r="AP129" s="1245">
        <v>0.30493450164794922</v>
      </c>
      <c r="AQ129" s="1245">
        <v>0.37514305114746094</v>
      </c>
      <c r="AR129" s="1245">
        <v>0.38981366157531738</v>
      </c>
      <c r="AS129" s="1245">
        <v>0.2517850399017334</v>
      </c>
      <c r="AT129" s="1245">
        <v>0.27832889556884766</v>
      </c>
      <c r="AU129" s="1245">
        <v>0.31413912773132324</v>
      </c>
      <c r="AV129" s="1245">
        <v>0.34461784362792969</v>
      </c>
      <c r="AW129" s="1245">
        <v>0.51205968856811523</v>
      </c>
      <c r="AX129" s="1245">
        <v>1.1309583187103271</v>
      </c>
      <c r="AY129" s="1245">
        <v>0.4357222318649292</v>
      </c>
      <c r="AZ129" s="1245">
        <v>0.23416042327880859</v>
      </c>
      <c r="BA129" s="1245">
        <v>0.29168474674224854</v>
      </c>
      <c r="BB129" s="1245">
        <v>0.41285824775695801</v>
      </c>
      <c r="BC129" s="1245">
        <v>0.2065126895904541</v>
      </c>
      <c r="BD129" s="1245">
        <v>0.38984131813049316</v>
      </c>
      <c r="BE129" s="1245">
        <v>0.27953863143920898</v>
      </c>
    </row>
    <row r="130" spans="1:57" s="220" customFormat="1" x14ac:dyDescent="0.25">
      <c r="A130" s="1254"/>
      <c r="B130" s="1249"/>
      <c r="C130" s="1247" t="s">
        <v>601</v>
      </c>
      <c r="D130" s="1245">
        <v>0.33950340747833252</v>
      </c>
      <c r="E130" s="1245">
        <v>0</v>
      </c>
      <c r="F130" s="1245">
        <v>0.47571718692779541</v>
      </c>
      <c r="G130" s="1245">
        <v>0.33786857128143311</v>
      </c>
      <c r="H130" s="1245">
        <v>0.62066030502319336</v>
      </c>
      <c r="I130" s="1245">
        <v>0.48079788684844971</v>
      </c>
      <c r="J130" s="1245">
        <v>0.35082650184631348</v>
      </c>
      <c r="K130" s="1245">
        <v>0.27194023132324219</v>
      </c>
      <c r="L130" s="1245">
        <v>0.12318634986877441</v>
      </c>
      <c r="M130" s="1245">
        <v>0.48749637603759766</v>
      </c>
      <c r="N130" s="1245">
        <v>0.40869343280792236</v>
      </c>
      <c r="O130" s="1245">
        <v>0.33306431770324707</v>
      </c>
      <c r="P130" s="1245">
        <v>0.4153292179107666</v>
      </c>
      <c r="Q130" s="1245">
        <v>0.40182149410247803</v>
      </c>
      <c r="R130" s="1245">
        <v>0.30553388595581055</v>
      </c>
      <c r="S130" s="1245">
        <v>0.30883336067199707</v>
      </c>
      <c r="T130" s="1245">
        <v>0.3095853328704834</v>
      </c>
      <c r="U130" s="1245">
        <v>0.33051657676696777</v>
      </c>
      <c r="V130" s="1245">
        <v>0.28489696979522705</v>
      </c>
      <c r="W130" s="1245">
        <v>0.32363748550415039</v>
      </c>
      <c r="X130" s="1245">
        <v>0.32188832759857178</v>
      </c>
      <c r="Y130" s="1245">
        <v>0.47055280208587646</v>
      </c>
      <c r="Z130" s="1245">
        <v>0.42393946647644043</v>
      </c>
      <c r="AA130" s="1245">
        <v>0.5301671028137207</v>
      </c>
      <c r="AB130" s="1245">
        <v>0.322487473487854</v>
      </c>
      <c r="AC130" s="1245">
        <v>0.29522383213043213</v>
      </c>
      <c r="AD130" s="1245">
        <v>0.3837273120880127</v>
      </c>
      <c r="AE130" s="260">
        <f>'User Add-in Location'!B135</f>
        <v>0</v>
      </c>
      <c r="AF130" s="260">
        <f>'User Add-in Location'!C135</f>
        <v>0</v>
      </c>
      <c r="AG130" s="1245">
        <v>0.30598700046539307</v>
      </c>
      <c r="AH130" s="1245">
        <v>0.16617631912231445</v>
      </c>
      <c r="AI130" s="1245">
        <v>0.35654592514038086</v>
      </c>
      <c r="AJ130" s="1245">
        <v>0.39458239078521729</v>
      </c>
      <c r="AK130" s="1245">
        <v>0.29185390472412109</v>
      </c>
      <c r="AL130" s="1245">
        <v>0.42979168891906738</v>
      </c>
      <c r="AM130" s="1245">
        <v>0.42050635814666748</v>
      </c>
      <c r="AN130" s="1245">
        <v>0.3686295747756958</v>
      </c>
      <c r="AO130" s="1245">
        <v>0.42824101448059082</v>
      </c>
      <c r="AP130" s="1245">
        <v>0.35281014442443848</v>
      </c>
      <c r="AQ130" s="1245">
        <v>0.2317739725112915</v>
      </c>
      <c r="AR130" s="1245">
        <v>0.39227879047393799</v>
      </c>
      <c r="AS130" s="1245">
        <v>0.36557590961456299</v>
      </c>
      <c r="AT130" s="1245">
        <v>0.27165794372558594</v>
      </c>
      <c r="AU130" s="1245">
        <v>0.33923649787902832</v>
      </c>
      <c r="AV130" s="1245">
        <v>0.32939398288726807</v>
      </c>
      <c r="AW130" s="1245">
        <v>0.54335534572601318</v>
      </c>
      <c r="AX130" s="1245">
        <v>0.91872119903564453</v>
      </c>
      <c r="AY130" s="1245">
        <v>0.50663936138153076</v>
      </c>
      <c r="AZ130" s="1245">
        <v>0.43539762496948242</v>
      </c>
      <c r="BA130" s="1245">
        <v>0.36633503437042236</v>
      </c>
      <c r="BB130" s="1245">
        <v>0.42195022106170654</v>
      </c>
      <c r="BC130" s="1245">
        <v>0.28236496448516846</v>
      </c>
      <c r="BD130" s="1245">
        <v>0.39617645740509033</v>
      </c>
      <c r="BE130" s="1245">
        <v>0.29132616519927979</v>
      </c>
    </row>
    <row r="131" spans="1:57" s="220" customFormat="1" x14ac:dyDescent="0.25">
      <c r="A131" s="1254"/>
      <c r="B131" s="1249"/>
      <c r="C131" s="1247" t="s">
        <v>602</v>
      </c>
      <c r="D131" s="1245">
        <v>0.47965860366821289</v>
      </c>
      <c r="E131" s="1245">
        <v>0.33448517322540283</v>
      </c>
      <c r="F131" s="1245">
        <v>0.46461653709411621</v>
      </c>
      <c r="G131" s="1245">
        <v>0.44298136234283447</v>
      </c>
      <c r="H131" s="1245">
        <v>0.50138568878173828</v>
      </c>
      <c r="I131" s="1245">
        <v>0.5193641185760498</v>
      </c>
      <c r="J131" s="1245">
        <v>0.38134801387786865</v>
      </c>
      <c r="K131" s="1245">
        <v>0.39891564846038818</v>
      </c>
      <c r="L131" s="1245">
        <v>0.2434389591217041</v>
      </c>
      <c r="M131" s="1245">
        <v>0.49805128574371338</v>
      </c>
      <c r="N131" s="1245">
        <v>0.47961187362670898</v>
      </c>
      <c r="O131" s="1245">
        <v>0.38816666603088379</v>
      </c>
      <c r="P131" s="1245">
        <v>0.43269073963165283</v>
      </c>
      <c r="Q131" s="1245">
        <v>0.50674223899841309</v>
      </c>
      <c r="R131" s="1245">
        <v>0.44379830360412598</v>
      </c>
      <c r="S131" s="1245">
        <v>0.40597403049468994</v>
      </c>
      <c r="T131" s="1245">
        <v>0.43143630027770996</v>
      </c>
      <c r="U131" s="1245">
        <v>0.42356026172637939</v>
      </c>
      <c r="V131" s="1245">
        <v>0.48765528202056885</v>
      </c>
      <c r="W131" s="1245">
        <v>0.38985288143157959</v>
      </c>
      <c r="X131" s="1245">
        <v>0.39249503612518311</v>
      </c>
      <c r="Y131" s="1245">
        <v>0.42316508293151855</v>
      </c>
      <c r="Z131" s="1245">
        <v>0.47121632099151611</v>
      </c>
      <c r="AA131" s="1245">
        <v>0.54934000968933105</v>
      </c>
      <c r="AB131" s="1245">
        <v>0.43946874141693115</v>
      </c>
      <c r="AC131" s="1245">
        <v>0.45268237590789795</v>
      </c>
      <c r="AD131" s="1245">
        <v>0.47140562534332275</v>
      </c>
      <c r="AE131" s="260">
        <f>'User Add-in Location'!B136</f>
        <v>0</v>
      </c>
      <c r="AF131" s="260">
        <f>'User Add-in Location'!C136</f>
        <v>0</v>
      </c>
      <c r="AG131" s="1245">
        <v>0.29682314395904541</v>
      </c>
      <c r="AH131" s="1245">
        <v>0</v>
      </c>
      <c r="AI131" s="1245">
        <v>0.38048946857452393</v>
      </c>
      <c r="AJ131" s="1245">
        <v>0.38786447048187256</v>
      </c>
      <c r="AK131" s="1245">
        <v>0.45615172386169434</v>
      </c>
      <c r="AL131" s="1245">
        <v>0.45881927013397217</v>
      </c>
      <c r="AM131" s="1245">
        <v>0.41966378688812256</v>
      </c>
      <c r="AN131" s="1245">
        <v>0.45369160175323486</v>
      </c>
      <c r="AO131" s="1245">
        <v>0.45156514644622803</v>
      </c>
      <c r="AP131" s="1245">
        <v>0.4931032657623291</v>
      </c>
      <c r="AQ131" s="1245">
        <v>0.41049325466156006</v>
      </c>
      <c r="AR131" s="1245">
        <v>0.46567809581756592</v>
      </c>
      <c r="AS131" s="1245">
        <v>0.36610221862792969</v>
      </c>
      <c r="AT131" s="1245">
        <v>0.40209317207336426</v>
      </c>
      <c r="AU131" s="1245">
        <v>0.42768526077270508</v>
      </c>
      <c r="AV131" s="1245">
        <v>0.47006213665008545</v>
      </c>
      <c r="AW131" s="1245">
        <v>0.57927072048187256</v>
      </c>
      <c r="AX131" s="1245">
        <v>0.87065482139587402</v>
      </c>
      <c r="AY131" s="1245">
        <v>0.54225242137908936</v>
      </c>
      <c r="AZ131" s="1245">
        <v>0.44525671005249023</v>
      </c>
      <c r="BA131" s="1245">
        <v>0.39929664134979248</v>
      </c>
      <c r="BB131" s="1245">
        <v>0.42378878593444824</v>
      </c>
      <c r="BC131" s="1245">
        <v>0.42800605297088623</v>
      </c>
      <c r="BD131" s="1245">
        <v>0.43369638919830322</v>
      </c>
      <c r="BE131" s="1245">
        <v>0.41115915775299072</v>
      </c>
    </row>
    <row r="132" spans="1:57" s="220" customFormat="1" x14ac:dyDescent="0.25">
      <c r="A132" s="1254"/>
      <c r="B132" s="1249"/>
      <c r="C132" s="1247" t="s">
        <v>603</v>
      </c>
      <c r="D132" s="1245">
        <v>0.34100556373596191</v>
      </c>
      <c r="E132" s="1245">
        <v>0.28620302677154541</v>
      </c>
      <c r="F132" s="1245">
        <v>0.41215777397155762</v>
      </c>
      <c r="G132" s="1245">
        <v>0.3005603551864624</v>
      </c>
      <c r="H132" s="1245">
        <v>0.41196525096893311</v>
      </c>
      <c r="I132" s="1245">
        <v>0.42914581298828125</v>
      </c>
      <c r="J132" s="1245">
        <v>0.33092212677001953</v>
      </c>
      <c r="K132" s="1245">
        <v>0.32071232795715332</v>
      </c>
      <c r="L132" s="1245">
        <v>0.26084721088409424</v>
      </c>
      <c r="M132" s="1245">
        <v>0.42724728584289551</v>
      </c>
      <c r="N132" s="1245">
        <v>0.3789360523223877</v>
      </c>
      <c r="O132" s="1245">
        <v>0.39804303646087646</v>
      </c>
      <c r="P132" s="1245">
        <v>0.38926589488983154</v>
      </c>
      <c r="Q132" s="1245">
        <v>0.39240849018096924</v>
      </c>
      <c r="R132" s="1245">
        <v>0.34674942493438721</v>
      </c>
      <c r="S132" s="1245">
        <v>0.34936332702636719</v>
      </c>
      <c r="T132" s="1245">
        <v>0.34553408622741699</v>
      </c>
      <c r="U132" s="1245">
        <v>0.31257331371307373</v>
      </c>
      <c r="V132" s="1245">
        <v>0.30721151828765869</v>
      </c>
      <c r="W132" s="1245">
        <v>0.38037741184234619</v>
      </c>
      <c r="X132" s="1245">
        <v>0.35277366638183594</v>
      </c>
      <c r="Y132" s="1245">
        <v>0.38669013977050781</v>
      </c>
      <c r="Z132" s="1245">
        <v>0.36094081401824951</v>
      </c>
      <c r="AA132" s="1245">
        <v>0.41762697696685791</v>
      </c>
      <c r="AB132" s="1245">
        <v>0.31226801872253418</v>
      </c>
      <c r="AC132" s="1245">
        <v>0.40475344657897949</v>
      </c>
      <c r="AD132" s="1245">
        <v>0.35264754295349121</v>
      </c>
      <c r="AE132" s="260">
        <f>'User Add-in Location'!B137</f>
        <v>0</v>
      </c>
      <c r="AF132" s="260">
        <f>'User Add-in Location'!C137</f>
        <v>0</v>
      </c>
      <c r="AG132" s="1245">
        <v>0.37944138050079346</v>
      </c>
      <c r="AH132" s="1245">
        <v>0.26137828826904297</v>
      </c>
      <c r="AI132" s="1245">
        <v>0.3745121955871582</v>
      </c>
      <c r="AJ132" s="1245">
        <v>0.34836256504058838</v>
      </c>
      <c r="AK132" s="1245">
        <v>0.36731636524200439</v>
      </c>
      <c r="AL132" s="1245">
        <v>0.35212302207946777</v>
      </c>
      <c r="AM132" s="1245">
        <v>0.39530611038208008</v>
      </c>
      <c r="AN132" s="1245">
        <v>0.30793917179107666</v>
      </c>
      <c r="AO132" s="1245">
        <v>0.40365540981292725</v>
      </c>
      <c r="AP132" s="1245">
        <v>0.35549938678741455</v>
      </c>
      <c r="AQ132" s="1245">
        <v>0.39007854461669922</v>
      </c>
      <c r="AR132" s="1245">
        <v>0.37293171882629395</v>
      </c>
      <c r="AS132" s="1245">
        <v>0.40083062648773193</v>
      </c>
      <c r="AT132" s="1245">
        <v>0.32827019691467285</v>
      </c>
      <c r="AU132" s="1245">
        <v>0.34740257263183594</v>
      </c>
      <c r="AV132" s="1245">
        <v>0.37098896503448486</v>
      </c>
      <c r="AW132" s="1245">
        <v>0.36747908592224121</v>
      </c>
      <c r="AX132" s="1245">
        <v>0.53838193416595459</v>
      </c>
      <c r="AY132" s="1245">
        <v>0.46256649494171143</v>
      </c>
      <c r="AZ132" s="1245">
        <v>0.38232612609863281</v>
      </c>
      <c r="BA132" s="1245">
        <v>0.3528134822845459</v>
      </c>
      <c r="BB132" s="1245">
        <v>0.36096012592315674</v>
      </c>
      <c r="BC132" s="1245">
        <v>0.28721034526824951</v>
      </c>
      <c r="BD132" s="1245">
        <v>0.39792561531066895</v>
      </c>
      <c r="BE132" s="1245">
        <v>0.24436569213867188</v>
      </c>
    </row>
    <row r="133" spans="1:57" s="220" customFormat="1" x14ac:dyDescent="0.25">
      <c r="A133" s="1254"/>
      <c r="B133" s="1249"/>
      <c r="C133" s="1247" t="s">
        <v>604</v>
      </c>
      <c r="D133" s="1245">
        <v>0.30420947074890137</v>
      </c>
      <c r="E133" s="1245">
        <v>0.29237914085388184</v>
      </c>
      <c r="F133" s="1245">
        <v>0.37288343906402588</v>
      </c>
      <c r="G133" s="1245">
        <v>0.32004356384277344</v>
      </c>
      <c r="H133" s="1245">
        <v>0.35289716720581055</v>
      </c>
      <c r="I133" s="1245">
        <v>0.42052328586578369</v>
      </c>
      <c r="J133" s="1245">
        <v>0.35092651844024658</v>
      </c>
      <c r="K133" s="1245">
        <v>0.3723137378692627</v>
      </c>
      <c r="L133" s="1245">
        <v>0.26917016506195068</v>
      </c>
      <c r="M133" s="1245">
        <v>0.41910779476165771</v>
      </c>
      <c r="N133" s="1245">
        <v>0.39616644382476807</v>
      </c>
      <c r="O133" s="1245">
        <v>0.2910609245300293</v>
      </c>
      <c r="P133" s="1245">
        <v>0.35305249691009521</v>
      </c>
      <c r="Q133" s="1245">
        <v>0.40739941596984863</v>
      </c>
      <c r="R133" s="1245">
        <v>0.33877623081207275</v>
      </c>
      <c r="S133" s="1245">
        <v>0.36667037010192871</v>
      </c>
      <c r="T133" s="1245">
        <v>0.33840250968933105</v>
      </c>
      <c r="U133" s="1245">
        <v>0.33695137500762939</v>
      </c>
      <c r="V133" s="1245">
        <v>0.28668725490570068</v>
      </c>
      <c r="W133" s="1245">
        <v>0.3665999174118042</v>
      </c>
      <c r="X133" s="1245">
        <v>0.34122598171234131</v>
      </c>
      <c r="Y133" s="1245">
        <v>0.40427279472351074</v>
      </c>
      <c r="Z133" s="1245">
        <v>0.34669768810272217</v>
      </c>
      <c r="AA133" s="1245">
        <v>0.42026102542877197</v>
      </c>
      <c r="AB133" s="1245">
        <v>0.2898719310760498</v>
      </c>
      <c r="AC133" s="1245">
        <v>0.40307724475860596</v>
      </c>
      <c r="AD133" s="1245">
        <v>0.36958932876586914</v>
      </c>
      <c r="AE133" s="260">
        <f>'User Add-in Location'!B138</f>
        <v>0</v>
      </c>
      <c r="AF133" s="260">
        <f>'User Add-in Location'!C138</f>
        <v>0</v>
      </c>
      <c r="AG133" s="1245">
        <v>0.38013374805450439</v>
      </c>
      <c r="AH133" s="1245">
        <v>0.23180580139160156</v>
      </c>
      <c r="AI133" s="1245">
        <v>0.37598931789398193</v>
      </c>
      <c r="AJ133" s="1245">
        <v>0.34873902797698975</v>
      </c>
      <c r="AK133" s="1245">
        <v>0.30966079235076904</v>
      </c>
      <c r="AL133" s="1245">
        <v>0.34548568725585938</v>
      </c>
      <c r="AM133" s="1245">
        <v>0.40151715278625488</v>
      </c>
      <c r="AN133" s="1245">
        <v>0.32538127899169922</v>
      </c>
      <c r="AO133" s="1245">
        <v>0.38955545425415039</v>
      </c>
      <c r="AP133" s="1245">
        <v>0.34472465515136719</v>
      </c>
      <c r="AQ133" s="1245">
        <v>0.40602743625640869</v>
      </c>
      <c r="AR133" s="1245">
        <v>0.4096987247467041</v>
      </c>
      <c r="AS133" s="1245">
        <v>0.37482821941375732</v>
      </c>
      <c r="AT133" s="1245">
        <v>0.32083892822265625</v>
      </c>
      <c r="AU133" s="1245">
        <v>0.34346365928649902</v>
      </c>
      <c r="AV133" s="1245">
        <v>0.34891641139984131</v>
      </c>
      <c r="AW133" s="1245">
        <v>0.36935126781463623</v>
      </c>
      <c r="AX133" s="1245">
        <v>0.52558112144470215</v>
      </c>
      <c r="AY133" s="1245">
        <v>0.42124748229980469</v>
      </c>
      <c r="AZ133" s="1245">
        <v>0.33490526676177979</v>
      </c>
      <c r="BA133" s="1245">
        <v>0.35300374031066895</v>
      </c>
      <c r="BB133" s="1245">
        <v>0.29409492015838623</v>
      </c>
      <c r="BC133" s="1245">
        <v>0.27172338962554932</v>
      </c>
      <c r="BD133" s="1245">
        <v>0.39020133018493652</v>
      </c>
      <c r="BE133" s="1245">
        <v>0.26500999927520752</v>
      </c>
    </row>
    <row r="134" spans="1:57" s="220" customFormat="1" x14ac:dyDescent="0.25">
      <c r="A134" s="1254"/>
      <c r="B134" s="1249"/>
      <c r="C134" s="1247" t="s">
        <v>605</v>
      </c>
      <c r="D134" s="1245">
        <v>0.4217524528503418</v>
      </c>
      <c r="E134" s="1245">
        <v>0.28640508651733398</v>
      </c>
      <c r="F134" s="1245">
        <v>0.54892396926879883</v>
      </c>
      <c r="G134" s="1245">
        <v>0.39244258403778076</v>
      </c>
      <c r="H134" s="1245">
        <v>0.41450536251068115</v>
      </c>
      <c r="I134" s="1245">
        <v>0.57490444183349609</v>
      </c>
      <c r="J134" s="1245">
        <v>0.40700268745422363</v>
      </c>
      <c r="K134" s="1245">
        <v>0.26879394054412842</v>
      </c>
      <c r="L134" s="1245">
        <v>0.23886871337890625</v>
      </c>
      <c r="M134" s="1245">
        <v>0.60147881507873535</v>
      </c>
      <c r="N134" s="1245">
        <v>0.44477427005767822</v>
      </c>
      <c r="O134" s="1245">
        <v>0.33747649192810059</v>
      </c>
      <c r="P134" s="1245">
        <v>0.51972544193267822</v>
      </c>
      <c r="Q134" s="1245">
        <v>0.44915759563446045</v>
      </c>
      <c r="R134" s="1245">
        <v>0.38313353061676025</v>
      </c>
      <c r="S134" s="1245">
        <v>0.3941795825958252</v>
      </c>
      <c r="T134" s="1245">
        <v>0.44372892379760742</v>
      </c>
      <c r="U134" s="1245">
        <v>0.39694356918334961</v>
      </c>
      <c r="V134" s="1245">
        <v>0.38217341899871826</v>
      </c>
      <c r="W134" s="1245">
        <v>0.41181826591491699</v>
      </c>
      <c r="X134" s="1245">
        <v>0.37012684345245361</v>
      </c>
      <c r="Y134" s="1245">
        <v>0.40160965919494629</v>
      </c>
      <c r="Z134" s="1245">
        <v>0.44398784637451172</v>
      </c>
      <c r="AA134" s="1245">
        <v>0.50293397903442383</v>
      </c>
      <c r="AB134" s="1245">
        <v>0.40033698081970215</v>
      </c>
      <c r="AC134" s="1245">
        <v>0.44375431537628174</v>
      </c>
      <c r="AD134" s="1245">
        <v>0.41365110874176025</v>
      </c>
      <c r="AE134" s="260">
        <f>'User Add-in Location'!B139</f>
        <v>0</v>
      </c>
      <c r="AF134" s="260">
        <f>'User Add-in Location'!C139</f>
        <v>0</v>
      </c>
      <c r="AG134" s="1245">
        <v>0.44138622283935547</v>
      </c>
      <c r="AH134" s="1245">
        <v>0</v>
      </c>
      <c r="AI134" s="1245">
        <v>0.41840577125549316</v>
      </c>
      <c r="AJ134" s="1245">
        <v>0.43952357769012451</v>
      </c>
      <c r="AK134" s="1245">
        <v>0.35037112236022949</v>
      </c>
      <c r="AL134" s="1245">
        <v>0.28044188022613525</v>
      </c>
      <c r="AM134" s="1245">
        <v>0.3626558780670166</v>
      </c>
      <c r="AN134" s="1245">
        <v>0.39328157901763916</v>
      </c>
      <c r="AO134" s="1245">
        <v>0.41707003116607666</v>
      </c>
      <c r="AP134" s="1245">
        <v>0.47586524486541748</v>
      </c>
      <c r="AQ134" s="1245">
        <v>0.42749297618865967</v>
      </c>
      <c r="AR134" s="1245">
        <v>0.45906758308410645</v>
      </c>
      <c r="AS134" s="1245">
        <v>0.41791021823883057</v>
      </c>
      <c r="AT134" s="1245">
        <v>0.41585624217987061</v>
      </c>
      <c r="AU134" s="1245">
        <v>0.3156818151473999</v>
      </c>
      <c r="AV134" s="1245">
        <v>0.41804802417755127</v>
      </c>
      <c r="AW134" s="1245">
        <v>0.56741130352020264</v>
      </c>
      <c r="AX134" s="1245">
        <v>0.57829642295837402</v>
      </c>
      <c r="AY134" s="1245">
        <v>0.53525471687316895</v>
      </c>
      <c r="AZ134" s="1245">
        <v>0.38572585582733154</v>
      </c>
      <c r="BA134" s="1245">
        <v>0.37818872928619385</v>
      </c>
      <c r="BB134" s="1245">
        <v>0.38798403739929199</v>
      </c>
      <c r="BC134" s="1245">
        <v>0.29696226119995117</v>
      </c>
      <c r="BD134" s="1245">
        <v>0.43972611427307129</v>
      </c>
      <c r="BE134" s="1245">
        <v>0.3699260950088501</v>
      </c>
    </row>
    <row r="135" spans="1:57" s="220" customFormat="1" x14ac:dyDescent="0.25">
      <c r="A135" s="1254"/>
      <c r="B135" s="1249"/>
      <c r="C135" s="1247" t="s">
        <v>606</v>
      </c>
      <c r="D135" s="1245">
        <v>0.38628816604614258</v>
      </c>
      <c r="E135" s="1245">
        <v>0.31786978244781494</v>
      </c>
      <c r="F135" s="1245">
        <v>0.46608376502990723</v>
      </c>
      <c r="G135" s="1245">
        <v>0.39165616035461426</v>
      </c>
      <c r="H135" s="1245">
        <v>0.42437958717346191</v>
      </c>
      <c r="I135" s="1245">
        <v>0.47445487976074219</v>
      </c>
      <c r="J135" s="1245">
        <v>0.41380620002746582</v>
      </c>
      <c r="K135" s="1245">
        <v>0.34579896926879883</v>
      </c>
      <c r="L135" s="1245">
        <v>0.22174918651580811</v>
      </c>
      <c r="M135" s="1245">
        <v>0.47167015075683594</v>
      </c>
      <c r="N135" s="1245">
        <v>0.41486966609954834</v>
      </c>
      <c r="O135" s="1245">
        <v>0.37187433242797852</v>
      </c>
      <c r="P135" s="1245">
        <v>0.43909263610839844</v>
      </c>
      <c r="Q135" s="1245">
        <v>0.39735829830169678</v>
      </c>
      <c r="R135" s="1245">
        <v>0.35587632656097412</v>
      </c>
      <c r="S135" s="1245">
        <v>0.39507818222045898</v>
      </c>
      <c r="T135" s="1245">
        <v>0.41916477680206299</v>
      </c>
      <c r="U135" s="1245">
        <v>0.37393879890441895</v>
      </c>
      <c r="V135" s="1245">
        <v>0.32879519462585449</v>
      </c>
      <c r="W135" s="1245">
        <v>0.45334279537200928</v>
      </c>
      <c r="X135" s="1245">
        <v>0.39430892467498779</v>
      </c>
      <c r="Y135" s="1245">
        <v>0.42665541172027588</v>
      </c>
      <c r="Z135" s="1245">
        <v>0.43686187267303467</v>
      </c>
      <c r="AA135" s="1245">
        <v>0.45918095111846924</v>
      </c>
      <c r="AB135" s="1245">
        <v>0.35947632789611816</v>
      </c>
      <c r="AC135" s="1245">
        <v>0.42736959457397461</v>
      </c>
      <c r="AD135" s="1245">
        <v>0.39946639537811279</v>
      </c>
      <c r="AE135" s="260">
        <f>'User Add-in Location'!B140</f>
        <v>0</v>
      </c>
      <c r="AF135" s="260">
        <f>'User Add-in Location'!C140</f>
        <v>0</v>
      </c>
      <c r="AG135" s="1245">
        <v>0.4114537239074707</v>
      </c>
      <c r="AH135" s="1245">
        <v>0.26530122756958008</v>
      </c>
      <c r="AI135" s="1245">
        <v>0.43197810649871826</v>
      </c>
      <c r="AJ135" s="1245">
        <v>0.38891541957855225</v>
      </c>
      <c r="AK135" s="1245">
        <v>0.39384901523590088</v>
      </c>
      <c r="AL135" s="1245">
        <v>0.351326584815979</v>
      </c>
      <c r="AM135" s="1245">
        <v>0.42596137523651123</v>
      </c>
      <c r="AN135" s="1245">
        <v>0.34562242031097412</v>
      </c>
      <c r="AO135" s="1245">
        <v>0.45413601398468018</v>
      </c>
      <c r="AP135" s="1245">
        <v>0.39112448692321777</v>
      </c>
      <c r="AQ135" s="1245">
        <v>0.37450551986694336</v>
      </c>
      <c r="AR135" s="1245">
        <v>0.42296552658081055</v>
      </c>
      <c r="AS135" s="1245">
        <v>0.46507358551025391</v>
      </c>
      <c r="AT135" s="1245">
        <v>0.39091038703918457</v>
      </c>
      <c r="AU135" s="1245">
        <v>0.42247021198272705</v>
      </c>
      <c r="AV135" s="1245">
        <v>0.39108002185821533</v>
      </c>
      <c r="AW135" s="1245">
        <v>0.4067535400390625</v>
      </c>
      <c r="AX135" s="1245">
        <v>0.57062530517578125</v>
      </c>
      <c r="AY135" s="1245">
        <v>0.53364002704620361</v>
      </c>
      <c r="AZ135" s="1245">
        <v>0.43545436859130859</v>
      </c>
      <c r="BA135" s="1245">
        <v>0.34614670276641846</v>
      </c>
      <c r="BB135" s="1245">
        <v>0.41244590282440186</v>
      </c>
      <c r="BC135" s="1245">
        <v>0.31863820552825928</v>
      </c>
      <c r="BD135" s="1245">
        <v>0.43985521793365479</v>
      </c>
      <c r="BE135" s="1245">
        <v>0.29783463478088379</v>
      </c>
    </row>
    <row r="136" spans="1:57" s="220" customFormat="1" x14ac:dyDescent="0.25">
      <c r="A136" s="1254"/>
      <c r="B136" s="1249"/>
      <c r="C136" s="1247" t="s">
        <v>607</v>
      </c>
      <c r="D136" s="1245">
        <v>0.33093249797821045</v>
      </c>
      <c r="E136" s="1245">
        <v>0.29368448257446289</v>
      </c>
      <c r="F136" s="1245">
        <v>0.42724990844726563</v>
      </c>
      <c r="G136" s="1245">
        <v>0.30985057353973389</v>
      </c>
      <c r="H136" s="1245">
        <v>0.42177236080169678</v>
      </c>
      <c r="I136" s="1245">
        <v>0.42338454723358154</v>
      </c>
      <c r="J136" s="1245">
        <v>0.35158705711364746</v>
      </c>
      <c r="K136" s="1245">
        <v>0.32870841026306152</v>
      </c>
      <c r="L136" s="1245">
        <v>0.2519991397857666</v>
      </c>
      <c r="M136" s="1245">
        <v>0.44656896591186523</v>
      </c>
      <c r="N136" s="1245">
        <v>0.42517244815826416</v>
      </c>
      <c r="O136" s="1245">
        <v>0.32880425453186035</v>
      </c>
      <c r="P136" s="1245">
        <v>0.38498187065124512</v>
      </c>
      <c r="Q136" s="1245">
        <v>0.41537249088287354</v>
      </c>
      <c r="R136" s="1245">
        <v>0.3415524959564209</v>
      </c>
      <c r="S136" s="1245">
        <v>0.34148228168487549</v>
      </c>
      <c r="T136" s="1245">
        <v>0.35515546798706055</v>
      </c>
      <c r="U136" s="1245">
        <v>0.33152151107788086</v>
      </c>
      <c r="V136" s="1245">
        <v>0.30995571613311768</v>
      </c>
      <c r="W136" s="1245">
        <v>0.37833380699157715</v>
      </c>
      <c r="X136" s="1245">
        <v>0.34729206562042236</v>
      </c>
      <c r="Y136" s="1245">
        <v>0.38737916946411133</v>
      </c>
      <c r="Z136" s="1245">
        <v>0.38440096378326416</v>
      </c>
      <c r="AA136" s="1245">
        <v>0.41745758056640625</v>
      </c>
      <c r="AB136" s="1245">
        <v>0.31873667240142822</v>
      </c>
      <c r="AC136" s="1245">
        <v>0.40501070022583008</v>
      </c>
      <c r="AD136" s="1245">
        <v>0.36160266399383545</v>
      </c>
      <c r="AE136" s="260">
        <f>'User Add-in Location'!B141</f>
        <v>0</v>
      </c>
      <c r="AF136" s="260">
        <f>'User Add-in Location'!C141</f>
        <v>0</v>
      </c>
      <c r="AG136" s="1245">
        <v>0.37310409545898438</v>
      </c>
      <c r="AH136" s="1245">
        <v>0.21962976455688477</v>
      </c>
      <c r="AI136" s="1245">
        <v>0.35029399394989014</v>
      </c>
      <c r="AJ136" s="1245">
        <v>0.36487197875976563</v>
      </c>
      <c r="AK136" s="1245">
        <v>0.3661952018737793</v>
      </c>
      <c r="AL136" s="1245">
        <v>0.36079156398773193</v>
      </c>
      <c r="AM136" s="1245">
        <v>0.39786779880523682</v>
      </c>
      <c r="AN136" s="1245">
        <v>0.30581104755401611</v>
      </c>
      <c r="AO136" s="1245">
        <v>0.39929306507110596</v>
      </c>
      <c r="AP136" s="1245">
        <v>0.35687518119812012</v>
      </c>
      <c r="AQ136" s="1245">
        <v>0.38378989696502686</v>
      </c>
      <c r="AR136" s="1245">
        <v>0.37549149990081787</v>
      </c>
      <c r="AS136" s="1245">
        <v>0.38140726089477539</v>
      </c>
      <c r="AT136" s="1245">
        <v>0.34931778907775879</v>
      </c>
      <c r="AU136" s="1245">
        <v>0.34444880485534668</v>
      </c>
      <c r="AV136" s="1245">
        <v>0.36289370059967041</v>
      </c>
      <c r="AW136" s="1245">
        <v>0.42366230487823486</v>
      </c>
      <c r="AX136" s="1245">
        <v>0.59797477722167969</v>
      </c>
      <c r="AY136" s="1245">
        <v>0.4546583890914917</v>
      </c>
      <c r="AZ136" s="1245">
        <v>0.35840213298797607</v>
      </c>
      <c r="BA136" s="1245">
        <v>0.3389592170715332</v>
      </c>
      <c r="BB136" s="1245">
        <v>0.36352157592773438</v>
      </c>
      <c r="BC136" s="1245">
        <v>0.27275323867797852</v>
      </c>
      <c r="BD136" s="1245">
        <v>0.36917376518249512</v>
      </c>
      <c r="BE136" s="1245">
        <v>0.26072967052459717</v>
      </c>
    </row>
    <row r="137" spans="1:57" s="220" customFormat="1" x14ac:dyDescent="0.25">
      <c r="A137" s="1254"/>
      <c r="B137" s="1249"/>
      <c r="C137" s="1247" t="s">
        <v>609</v>
      </c>
      <c r="D137" s="1245">
        <v>9.7743868827819824E-2</v>
      </c>
      <c r="E137" s="1245">
        <v>3.9212584495544434E-2</v>
      </c>
      <c r="F137" s="1245">
        <v>0.15586042404174805</v>
      </c>
      <c r="G137" s="1245">
        <v>8.5851907730102539E-2</v>
      </c>
      <c r="H137" s="1245">
        <v>0.10636031627655029</v>
      </c>
      <c r="I137" s="1245">
        <v>7.4970722198486328E-2</v>
      </c>
      <c r="J137" s="1245">
        <v>0.16365969181060791</v>
      </c>
      <c r="K137" s="1245">
        <v>1.9808411598205566E-2</v>
      </c>
      <c r="L137" s="1245">
        <v>8.2895755767822266E-3</v>
      </c>
      <c r="M137" s="1245">
        <v>9.08050537109375E-2</v>
      </c>
      <c r="N137" s="1245">
        <v>1.7363071441650391E-2</v>
      </c>
      <c r="O137" s="1245">
        <v>5.4685354232788086E-2</v>
      </c>
      <c r="P137" s="1245">
        <v>0.11917173862457275</v>
      </c>
      <c r="Q137" s="1245">
        <v>4.8960328102111816E-2</v>
      </c>
      <c r="R137" s="1245">
        <v>5.913841724395752E-2</v>
      </c>
      <c r="S137" s="1245">
        <v>8.0619096755981445E-2</v>
      </c>
      <c r="T137" s="1245">
        <v>9.2899799346923828E-2</v>
      </c>
      <c r="U137" s="1245">
        <v>8.6897373199462891E-2</v>
      </c>
      <c r="V137" s="1245">
        <v>0.1208881139755249</v>
      </c>
      <c r="W137" s="1245">
        <v>9.8780512809753418E-2</v>
      </c>
      <c r="X137" s="1245">
        <v>2.4924397468566895E-2</v>
      </c>
      <c r="Y137" s="1245">
        <v>3.6141276359558105E-2</v>
      </c>
      <c r="Z137" s="1245">
        <v>7.1975111961364746E-2</v>
      </c>
      <c r="AA137" s="1245">
        <v>0.15694725513458252</v>
      </c>
      <c r="AB137" s="1245">
        <v>7.0223331451416016E-2</v>
      </c>
      <c r="AC137" s="1245">
        <v>8.8896274566650391E-2</v>
      </c>
      <c r="AD137" s="1245">
        <v>0.10127687454223633</v>
      </c>
      <c r="AE137" s="260">
        <f>'User Add-in Location'!B142</f>
        <v>0</v>
      </c>
      <c r="AF137" s="260">
        <f>'User Add-in Location'!C142</f>
        <v>0</v>
      </c>
      <c r="AG137" s="1245">
        <v>8.1853747367858887E-2</v>
      </c>
      <c r="AH137" s="1245">
        <v>0.13637864589691162</v>
      </c>
      <c r="AI137" s="1245">
        <v>6.164395809173584E-2</v>
      </c>
      <c r="AJ137" s="1245">
        <v>5.3609609603881836E-2</v>
      </c>
      <c r="AK137" s="1245">
        <v>0.11365509033203125</v>
      </c>
      <c r="AL137" s="1245">
        <v>0.1036536693572998</v>
      </c>
      <c r="AM137" s="1245">
        <v>4.9648880958557129E-2</v>
      </c>
      <c r="AN137" s="1245">
        <v>0.215728759765625</v>
      </c>
      <c r="AO137" s="1245">
        <v>6.9166898727416992E-2</v>
      </c>
      <c r="AP137" s="1245">
        <v>0.2131960391998291</v>
      </c>
      <c r="AQ137" s="1245">
        <v>0.10886967182159424</v>
      </c>
      <c r="AR137" s="1245">
        <v>9.5174431800842285E-2</v>
      </c>
      <c r="AS137" s="1245">
        <v>4.2770981788635254E-2</v>
      </c>
      <c r="AT137" s="1245">
        <v>8.7129950523376465E-2</v>
      </c>
      <c r="AU137" s="1245">
        <v>0.22138702869415283</v>
      </c>
      <c r="AV137" s="1245">
        <v>0.12035107612609863</v>
      </c>
      <c r="AW137" s="1245">
        <v>9.3724370002746582E-2</v>
      </c>
      <c r="AX137" s="1245">
        <v>0.13899219036102295</v>
      </c>
      <c r="AY137" s="1245">
        <v>6.9188237190246582E-2</v>
      </c>
      <c r="AZ137" s="1245">
        <v>4.1929841041564941E-2</v>
      </c>
      <c r="BA137" s="1245">
        <v>7.170403003692627E-2</v>
      </c>
      <c r="BB137" s="1245">
        <v>0.15832269191741943</v>
      </c>
      <c r="BC137" s="1245">
        <v>8.1882357597351074E-2</v>
      </c>
      <c r="BD137" s="1245">
        <v>0.11398184299468994</v>
      </c>
      <c r="BE137" s="1245">
        <v>8.1573486328125E-2</v>
      </c>
    </row>
    <row r="138" spans="1:57" s="220" customFormat="1" x14ac:dyDescent="0.25">
      <c r="A138" s="1254"/>
      <c r="B138" s="1249"/>
      <c r="C138" s="260"/>
      <c r="D138" s="1245"/>
      <c r="E138" s="1245"/>
      <c r="F138" s="1245"/>
      <c r="G138" s="1245"/>
      <c r="H138" s="1245"/>
      <c r="I138" s="1245"/>
      <c r="J138" s="1245"/>
      <c r="K138" s="1245"/>
      <c r="L138" s="1245"/>
      <c r="M138" s="1245"/>
      <c r="N138" s="1245"/>
      <c r="O138" s="1245"/>
      <c r="P138" s="1245"/>
      <c r="Q138" s="1245"/>
      <c r="R138" s="1245"/>
      <c r="S138" s="1245"/>
      <c r="T138" s="1245"/>
      <c r="U138" s="1245"/>
      <c r="V138" s="1245"/>
      <c r="W138" s="1245"/>
      <c r="X138" s="1245"/>
      <c r="Y138" s="1245"/>
      <c r="Z138" s="1245"/>
      <c r="AA138" s="1245"/>
      <c r="AB138" s="1245"/>
      <c r="AC138" s="1245"/>
      <c r="AD138" s="1245"/>
      <c r="AE138" s="260"/>
      <c r="AF138" s="260"/>
      <c r="AG138" s="1245"/>
      <c r="AH138" s="1245"/>
      <c r="AI138" s="1245"/>
      <c r="AJ138" s="1245"/>
      <c r="AK138" s="1245"/>
      <c r="AL138" s="1245"/>
      <c r="AM138" s="1245"/>
      <c r="AN138" s="1245"/>
      <c r="AO138" s="1245"/>
      <c r="AP138" s="1245"/>
      <c r="AQ138" s="1245"/>
      <c r="AR138" s="1245"/>
      <c r="AS138" s="1245"/>
      <c r="AT138" s="1245"/>
      <c r="AU138" s="1245"/>
      <c r="AV138" s="1245"/>
      <c r="AW138" s="1245"/>
      <c r="AX138" s="1245"/>
      <c r="AY138" s="1245"/>
      <c r="AZ138" s="1245"/>
      <c r="BA138" s="1245"/>
      <c r="BB138" s="1245"/>
      <c r="BC138" s="1245"/>
      <c r="BD138" s="1245"/>
      <c r="BE138" s="1245"/>
    </row>
    <row r="139" spans="1:57" s="220" customFormat="1" x14ac:dyDescent="0.25">
      <c r="A139" s="1254"/>
      <c r="B139" s="1249"/>
      <c r="C139" s="1258" t="s">
        <v>616</v>
      </c>
      <c r="D139" s="1245"/>
      <c r="E139" s="1245"/>
      <c r="F139" s="1245"/>
      <c r="G139" s="1245"/>
      <c r="H139" s="1245"/>
      <c r="I139" s="1245"/>
      <c r="J139" s="1245"/>
      <c r="K139" s="1245"/>
      <c r="L139" s="1245"/>
      <c r="M139" s="1245"/>
      <c r="N139" s="1245"/>
      <c r="O139" s="1245"/>
      <c r="P139" s="1245"/>
      <c r="Q139" s="1245"/>
      <c r="R139" s="1245"/>
      <c r="S139" s="1245"/>
      <c r="T139" s="1245"/>
      <c r="U139" s="1245"/>
      <c r="V139" s="1245"/>
      <c r="W139" s="1245"/>
      <c r="X139" s="1245"/>
      <c r="Y139" s="1245"/>
      <c r="Z139" s="1245"/>
      <c r="AA139" s="1245"/>
      <c r="AB139" s="1245"/>
      <c r="AC139" s="1245"/>
      <c r="AD139" s="1245"/>
      <c r="AE139" s="260"/>
      <c r="AF139" s="260"/>
      <c r="AG139" s="1245"/>
      <c r="AH139" s="1245"/>
      <c r="AI139" s="1245"/>
      <c r="AJ139" s="1245"/>
      <c r="AK139" s="1245"/>
      <c r="AL139" s="1245"/>
      <c r="AM139" s="1245"/>
      <c r="AN139" s="1245"/>
      <c r="AO139" s="1245"/>
      <c r="AP139" s="1245"/>
      <c r="AQ139" s="1245"/>
      <c r="AR139" s="1245"/>
      <c r="AS139" s="1245"/>
      <c r="AT139" s="1245"/>
      <c r="AU139" s="1245"/>
      <c r="AV139" s="1245"/>
      <c r="AW139" s="1245"/>
      <c r="AX139" s="1245"/>
      <c r="AY139" s="1245"/>
      <c r="AZ139" s="1245"/>
      <c r="BA139" s="1245"/>
      <c r="BB139" s="1245"/>
      <c r="BC139" s="1245"/>
      <c r="BD139" s="1245"/>
      <c r="BE139" s="1245"/>
    </row>
    <row r="140" spans="1:57" s="220" customFormat="1" ht="15" customHeight="1" x14ac:dyDescent="0.25">
      <c r="A140" s="1254"/>
      <c r="B140" s="1249"/>
      <c r="C140" s="1257" t="s">
        <v>619</v>
      </c>
      <c r="D140" s="1245" t="s">
        <v>539</v>
      </c>
      <c r="E140" s="1245" t="s">
        <v>540</v>
      </c>
      <c r="F140" s="1245" t="s">
        <v>541</v>
      </c>
      <c r="G140" s="1245" t="s">
        <v>542</v>
      </c>
      <c r="H140" s="1245" t="s">
        <v>543</v>
      </c>
      <c r="I140" s="1245" t="s">
        <v>143</v>
      </c>
      <c r="J140" s="1245" t="s">
        <v>544</v>
      </c>
      <c r="K140" s="1245" t="s">
        <v>545</v>
      </c>
      <c r="L140" s="1245" t="s">
        <v>546</v>
      </c>
      <c r="M140" s="1245" t="s">
        <v>547</v>
      </c>
      <c r="N140" s="1245" t="s">
        <v>548</v>
      </c>
      <c r="O140" s="1245" t="s">
        <v>549</v>
      </c>
      <c r="P140" s="1245" t="s">
        <v>550</v>
      </c>
      <c r="Q140" s="1245" t="s">
        <v>551</v>
      </c>
      <c r="R140" s="1245" t="s">
        <v>552</v>
      </c>
      <c r="S140" s="1245" t="s">
        <v>553</v>
      </c>
      <c r="T140" s="1245" t="s">
        <v>554</v>
      </c>
      <c r="U140" s="1245" t="s">
        <v>555</v>
      </c>
      <c r="V140" s="1245" t="s">
        <v>556</v>
      </c>
      <c r="W140" s="1245" t="s">
        <v>557</v>
      </c>
      <c r="X140" s="1245" t="s">
        <v>558</v>
      </c>
      <c r="Y140" s="1245" t="s">
        <v>559</v>
      </c>
      <c r="Z140" s="1245" t="s">
        <v>560</v>
      </c>
      <c r="AA140" s="1245" t="s">
        <v>561</v>
      </c>
      <c r="AB140" s="1245" t="s">
        <v>562</v>
      </c>
      <c r="AC140" s="1245" t="s">
        <v>563</v>
      </c>
      <c r="AD140" s="1245" t="s">
        <v>564</v>
      </c>
      <c r="AE140" s="260" t="s">
        <v>565</v>
      </c>
      <c r="AF140" s="260" t="s">
        <v>566</v>
      </c>
      <c r="AG140" s="1245" t="s">
        <v>567</v>
      </c>
      <c r="AH140" s="1245" t="s">
        <v>568</v>
      </c>
      <c r="AI140" s="1245" t="s">
        <v>569</v>
      </c>
      <c r="AJ140" s="1245" t="s">
        <v>570</v>
      </c>
      <c r="AK140" s="1245" t="s">
        <v>571</v>
      </c>
      <c r="AL140" s="1245" t="s">
        <v>572</v>
      </c>
      <c r="AM140" s="1245" t="s">
        <v>573</v>
      </c>
      <c r="AN140" s="1245" t="s">
        <v>574</v>
      </c>
      <c r="AO140" s="1245" t="s">
        <v>575</v>
      </c>
      <c r="AP140" s="1245" t="s">
        <v>576</v>
      </c>
      <c r="AQ140" s="1245" t="s">
        <v>577</v>
      </c>
      <c r="AR140" s="1245" t="s">
        <v>578</v>
      </c>
      <c r="AS140" s="1245" t="s">
        <v>579</v>
      </c>
      <c r="AT140" s="1245" t="s">
        <v>580</v>
      </c>
      <c r="AU140" s="1245" t="s">
        <v>581</v>
      </c>
      <c r="AV140" s="1245" t="s">
        <v>582</v>
      </c>
      <c r="AW140" s="1245" t="s">
        <v>583</v>
      </c>
      <c r="AX140" s="1245" t="s">
        <v>1404</v>
      </c>
      <c r="AY140" s="1245" t="s">
        <v>584</v>
      </c>
      <c r="AZ140" s="1245" t="s">
        <v>585</v>
      </c>
      <c r="BA140" s="1245" t="s">
        <v>586</v>
      </c>
      <c r="BB140" s="1245" t="s">
        <v>587</v>
      </c>
      <c r="BC140" s="1245" t="s">
        <v>588</v>
      </c>
      <c r="BD140" s="1245" t="s">
        <v>589</v>
      </c>
      <c r="BE140" s="1245" t="s">
        <v>590</v>
      </c>
    </row>
    <row r="141" spans="1:57" s="220" customFormat="1" x14ac:dyDescent="0.25">
      <c r="A141" s="1254"/>
      <c r="B141" s="1249"/>
      <c r="C141" s="1247" t="s">
        <v>592</v>
      </c>
      <c r="D141" s="1245">
        <v>0.26173236966133118</v>
      </c>
      <c r="E141" s="1245">
        <v>0.27686005830764771</v>
      </c>
      <c r="F141" s="1245">
        <v>0.31367236375808716</v>
      </c>
      <c r="G141" s="1245">
        <v>0.25133934617042542</v>
      </c>
      <c r="H141" s="1245">
        <v>0.43952274322509766</v>
      </c>
      <c r="I141" s="1245">
        <v>0.28453448414802551</v>
      </c>
      <c r="J141" s="1245">
        <v>0.22752030193805695</v>
      </c>
      <c r="K141" s="1245">
        <v>0.17364136874675751</v>
      </c>
      <c r="L141" s="1245">
        <v>9.3155868351459503E-2</v>
      </c>
      <c r="M141" s="1245">
        <v>0.41402333974838257</v>
      </c>
      <c r="N141" s="1245">
        <v>0.45233330130577087</v>
      </c>
      <c r="O141" s="1245">
        <v>0.36244013905525208</v>
      </c>
      <c r="P141" s="1245">
        <v>0.34008705615997314</v>
      </c>
      <c r="Q141" s="1245">
        <v>0.54503720998764038</v>
      </c>
      <c r="R141" s="1245">
        <v>0.32598143815994263</v>
      </c>
      <c r="S141" s="1245">
        <v>0.24405182898044586</v>
      </c>
      <c r="T141" s="1245">
        <v>0.25150087475776672</v>
      </c>
      <c r="U141" s="1245">
        <v>0.24901650846004486</v>
      </c>
      <c r="V141" s="1245">
        <v>0.29502525925636292</v>
      </c>
      <c r="W141" s="1245">
        <v>0.35311135649681091</v>
      </c>
      <c r="X141" s="1245">
        <v>0.2215668261051178</v>
      </c>
      <c r="Y141" s="1245">
        <v>0.35018879175186157</v>
      </c>
      <c r="Z141" s="1245">
        <v>0.29447469115257263</v>
      </c>
      <c r="AA141" s="1245">
        <v>0.31973034143447876</v>
      </c>
      <c r="AB141" s="1245">
        <v>0.2733285129070282</v>
      </c>
      <c r="AC141" s="1245">
        <v>0.2891729474067688</v>
      </c>
      <c r="AD141" s="1245">
        <v>0.18940055370330811</v>
      </c>
      <c r="AE141" s="260">
        <f>'User Add-in Location'!B146</f>
        <v>0</v>
      </c>
      <c r="AF141" s="260">
        <f>'User Add-in Location'!C146</f>
        <v>0</v>
      </c>
      <c r="AG141" s="1245">
        <v>0.26437512040138245</v>
      </c>
      <c r="AH141" s="1245">
        <v>0.14215020835399628</v>
      </c>
      <c r="AI141" s="1245">
        <v>0.26020064949989319</v>
      </c>
      <c r="AJ141" s="1245">
        <v>0.41044670343399048</v>
      </c>
      <c r="AK141" s="1245">
        <v>0.32551264762878418</v>
      </c>
      <c r="AL141" s="1245">
        <v>0.26026785373687744</v>
      </c>
      <c r="AM141" s="1245">
        <v>0.28689175844192505</v>
      </c>
      <c r="AN141" s="1245">
        <v>0.14335881173610687</v>
      </c>
      <c r="AO141" s="1245">
        <v>0.29738238453865051</v>
      </c>
      <c r="AP141" s="1245">
        <v>0.15332901477813721</v>
      </c>
      <c r="AQ141" s="1245">
        <v>0.37500998377799988</v>
      </c>
      <c r="AR141" s="1245">
        <v>0.24155701696872711</v>
      </c>
      <c r="AS141" s="1245">
        <v>0.27420118451118469</v>
      </c>
      <c r="AT141" s="1245">
        <v>0.25800341367721558</v>
      </c>
      <c r="AU141" s="1245">
        <v>0.28201338648796082</v>
      </c>
      <c r="AV141" s="1245">
        <v>0.23277275264263153</v>
      </c>
      <c r="AW141" s="1245">
        <v>0.24320392310619354</v>
      </c>
      <c r="AX141" s="1245">
        <v>0.69063180685043335</v>
      </c>
      <c r="AY141" s="1245">
        <v>0.19665001332759857</v>
      </c>
      <c r="AZ141" s="1245">
        <v>0.22439698874950409</v>
      </c>
      <c r="BA141" s="1245">
        <v>0.17494046688079834</v>
      </c>
      <c r="BB141" s="1245">
        <v>0.40458777546882629</v>
      </c>
      <c r="BC141" s="1245">
        <v>5.775134265422821E-2</v>
      </c>
      <c r="BD141" s="1245">
        <v>0.30715435743331909</v>
      </c>
      <c r="BE141" s="1245">
        <v>9.9955491721630096E-2</v>
      </c>
    </row>
    <row r="142" spans="1:57" s="220" customFormat="1" x14ac:dyDescent="0.25">
      <c r="A142" s="1254"/>
      <c r="B142" s="1249"/>
      <c r="C142" s="1247" t="s">
        <v>593</v>
      </c>
      <c r="D142" s="1245">
        <v>0.13973802328109741</v>
      </c>
      <c r="E142" s="1245">
        <v>0.10078389942646027</v>
      </c>
      <c r="F142" s="1245">
        <v>0.23008304834365845</v>
      </c>
      <c r="G142" s="1245">
        <v>0.19001428782939911</v>
      </c>
      <c r="H142" s="1245">
        <v>0.24479267001152039</v>
      </c>
      <c r="I142" s="1245">
        <v>0.39691060781478882</v>
      </c>
      <c r="J142" s="1245">
        <v>0.23684783279895782</v>
      </c>
      <c r="K142" s="1245">
        <v>0.35142144560813904</v>
      </c>
      <c r="L142" s="1245">
        <v>8.4437936544418335E-2</v>
      </c>
      <c r="M142" s="1245">
        <v>0.21929895877838135</v>
      </c>
      <c r="N142" s="1245">
        <v>0.28224337100982666</v>
      </c>
      <c r="O142" s="1245">
        <v>0.16851222515106201</v>
      </c>
      <c r="P142" s="1245">
        <v>0.19884210824966431</v>
      </c>
      <c r="Q142" s="1245">
        <v>0.23681208491325378</v>
      </c>
      <c r="R142" s="1245">
        <v>0.22168746590614319</v>
      </c>
      <c r="S142" s="1245">
        <v>0.16458545625209808</v>
      </c>
      <c r="T142" s="1245">
        <v>0.29396969079971313</v>
      </c>
      <c r="U142" s="1245">
        <v>0.15273422002792358</v>
      </c>
      <c r="V142" s="1245">
        <v>0.18811434507369995</v>
      </c>
      <c r="W142" s="1245">
        <v>0.18056108057498932</v>
      </c>
      <c r="X142" s="1245">
        <v>0.19139815866947174</v>
      </c>
      <c r="Y142" s="1245">
        <v>0.32496050000190735</v>
      </c>
      <c r="Z142" s="1245">
        <v>0.28443676233291626</v>
      </c>
      <c r="AA142" s="1245">
        <v>0.26385140419006348</v>
      </c>
      <c r="AB142" s="1245">
        <v>0.22770310938358307</v>
      </c>
      <c r="AC142" s="1245">
        <v>0.21596157550811768</v>
      </c>
      <c r="AD142" s="1245">
        <v>0.23064503073692322</v>
      </c>
      <c r="AE142" s="260">
        <f>'User Add-in Location'!B147</f>
        <v>0</v>
      </c>
      <c r="AF142" s="260">
        <f>'User Add-in Location'!C147</f>
        <v>0</v>
      </c>
      <c r="AG142" s="1245">
        <v>0.21056519448757172</v>
      </c>
      <c r="AH142" s="1245">
        <v>0.1298101395368576</v>
      </c>
      <c r="AI142" s="1245">
        <v>0.20430389046669006</v>
      </c>
      <c r="AJ142" s="1245">
        <v>0.39676278829574585</v>
      </c>
      <c r="AK142" s="1245">
        <v>0.19418701529502869</v>
      </c>
      <c r="AL142" s="1245">
        <v>0.35012912750244141</v>
      </c>
      <c r="AM142" s="1245">
        <v>0.14873886108398438</v>
      </c>
      <c r="AN142" s="1245">
        <v>0.19048143923282623</v>
      </c>
      <c r="AO142" s="1245">
        <v>0.2890300452709198</v>
      </c>
      <c r="AP142" s="1245">
        <v>0.32831975817680359</v>
      </c>
      <c r="AQ142" s="1245">
        <v>0.21956232190132141</v>
      </c>
      <c r="AR142" s="1245">
        <v>0.26231688261032104</v>
      </c>
      <c r="AS142" s="1245">
        <v>0.25405865907669067</v>
      </c>
      <c r="AT142" s="1245">
        <v>0.14579415321350098</v>
      </c>
      <c r="AU142" s="1245">
        <v>0.16412216424942017</v>
      </c>
      <c r="AV142" s="1245">
        <v>0.19064855575561523</v>
      </c>
      <c r="AW142" s="1245">
        <v>0.32414078712463379</v>
      </c>
      <c r="AX142" s="1245">
        <v>0.57445555925369263</v>
      </c>
      <c r="AY142" s="1245">
        <v>0.28199678659439087</v>
      </c>
      <c r="AZ142" s="1245">
        <v>0.147048220038414</v>
      </c>
      <c r="BA142" s="1245">
        <v>0.24351787567138672</v>
      </c>
      <c r="BB142" s="1245">
        <v>0.17347799241542816</v>
      </c>
      <c r="BC142" s="1245">
        <v>0.15182660520076752</v>
      </c>
      <c r="BD142" s="1245">
        <v>0.20896533131599426</v>
      </c>
      <c r="BE142" s="1245">
        <v>0.10325189679861069</v>
      </c>
    </row>
    <row r="143" spans="1:57" s="220" customFormat="1" x14ac:dyDescent="0.25">
      <c r="A143" s="1254"/>
      <c r="B143" s="1249"/>
      <c r="C143" s="1247" t="s">
        <v>595</v>
      </c>
      <c r="D143" s="1245">
        <v>0.28961315751075745</v>
      </c>
      <c r="E143" s="1245">
        <v>0.27299535274505615</v>
      </c>
      <c r="F143" s="1245">
        <v>0.3950732946395874</v>
      </c>
      <c r="G143" s="1245">
        <v>0.25972375273704529</v>
      </c>
      <c r="H143" s="1245">
        <v>0.44126397371292114</v>
      </c>
      <c r="I143" s="1245">
        <v>0.43198758363723755</v>
      </c>
      <c r="J143" s="1245">
        <v>0.38612577319145203</v>
      </c>
      <c r="K143" s="1245">
        <v>0.3115060031414032</v>
      </c>
      <c r="L143" s="1245">
        <v>0.10533727705478668</v>
      </c>
      <c r="M143" s="1245">
        <v>0.38461726903915405</v>
      </c>
      <c r="N143" s="1245">
        <v>0.38078084588050842</v>
      </c>
      <c r="O143" s="1245">
        <v>0.30617249011993408</v>
      </c>
      <c r="P143" s="1245">
        <v>0.27532663941383362</v>
      </c>
      <c r="Q143" s="1245">
        <v>0.42739376425743103</v>
      </c>
      <c r="R143" s="1245">
        <v>0.32054296135902405</v>
      </c>
      <c r="S143" s="1245">
        <v>0.29622548818588257</v>
      </c>
      <c r="T143" s="1245">
        <v>0.30905419588088989</v>
      </c>
      <c r="U143" s="1245">
        <v>0.26944345235824585</v>
      </c>
      <c r="V143" s="1245">
        <v>0.28081837296485901</v>
      </c>
      <c r="W143" s="1245">
        <v>0.33159610629081726</v>
      </c>
      <c r="X143" s="1245">
        <v>0.35874131321907043</v>
      </c>
      <c r="Y143" s="1245">
        <v>0.40234270691871643</v>
      </c>
      <c r="Z143" s="1245">
        <v>0.37620684504508972</v>
      </c>
      <c r="AA143" s="1245">
        <v>0.42065536975860596</v>
      </c>
      <c r="AB143" s="1245">
        <v>0.23008561134338379</v>
      </c>
      <c r="AC143" s="1245">
        <v>0.38885143399238586</v>
      </c>
      <c r="AD143" s="1245">
        <v>0.26508522033691406</v>
      </c>
      <c r="AE143" s="260">
        <f>'User Add-in Location'!B148</f>
        <v>0</v>
      </c>
      <c r="AF143" s="260">
        <f>'User Add-in Location'!C148</f>
        <v>0</v>
      </c>
      <c r="AG143" s="1245">
        <v>0.31442642211914063</v>
      </c>
      <c r="AH143" s="1245">
        <v>0.18193970620632172</v>
      </c>
      <c r="AI143" s="1245">
        <v>0.40910753607749939</v>
      </c>
      <c r="AJ143" s="1245">
        <v>0.41266340017318726</v>
      </c>
      <c r="AK143" s="1245">
        <v>0.24689936637878418</v>
      </c>
      <c r="AL143" s="1245">
        <v>0.3248177170753479</v>
      </c>
      <c r="AM143" s="1245">
        <v>0.35713762044906616</v>
      </c>
      <c r="AN143" s="1245">
        <v>0.26575389504432678</v>
      </c>
      <c r="AO143" s="1245">
        <v>0.41730186343193054</v>
      </c>
      <c r="AP143" s="1245">
        <v>0.31728145480155945</v>
      </c>
      <c r="AQ143" s="1245">
        <v>0.36649060249328613</v>
      </c>
      <c r="AR143" s="1245">
        <v>0.4309840202331543</v>
      </c>
      <c r="AS143" s="1245">
        <v>0.34476375579833984</v>
      </c>
      <c r="AT143" s="1245">
        <v>0.27514004707336426</v>
      </c>
      <c r="AU143" s="1245">
        <v>0.27112331986427307</v>
      </c>
      <c r="AV143" s="1245">
        <v>0.4040730893611908</v>
      </c>
      <c r="AW143" s="1245">
        <v>0.41944700479507446</v>
      </c>
      <c r="AX143" s="1245">
        <v>0.83140027523040771</v>
      </c>
      <c r="AY143" s="1245">
        <v>0.41096720099449158</v>
      </c>
      <c r="AZ143" s="1245">
        <v>0.30752995610237122</v>
      </c>
      <c r="BA143" s="1245">
        <v>0.32921421527862549</v>
      </c>
      <c r="BB143" s="1245">
        <v>0.36406496167182922</v>
      </c>
      <c r="BC143" s="1245">
        <v>0.24132034182548523</v>
      </c>
      <c r="BD143" s="1245">
        <v>0.36860984563827515</v>
      </c>
      <c r="BE143" s="1245">
        <v>0.16264320909976959</v>
      </c>
    </row>
    <row r="144" spans="1:57" s="220" customFormat="1" x14ac:dyDescent="0.25">
      <c r="A144" s="1254"/>
      <c r="B144" s="1249"/>
      <c r="C144" s="1247" t="s">
        <v>596</v>
      </c>
      <c r="D144" s="1245">
        <v>0.14524440467357635</v>
      </c>
      <c r="E144" s="1245">
        <v>0.11487080901861191</v>
      </c>
      <c r="F144" s="1245">
        <v>0.27256962656974792</v>
      </c>
      <c r="G144" s="1245">
        <v>0.15080870687961578</v>
      </c>
      <c r="H144" s="1245">
        <v>0.29503726959228516</v>
      </c>
      <c r="I144" s="1245">
        <v>0.28713375329971313</v>
      </c>
      <c r="J144" s="1245">
        <v>0.2495947927236557</v>
      </c>
      <c r="K144" s="1245">
        <v>0.14370977878570557</v>
      </c>
      <c r="L144" s="1245">
        <v>6.4167790114879608E-2</v>
      </c>
      <c r="M144" s="1245">
        <v>0.26929089426994324</v>
      </c>
      <c r="N144" s="1245">
        <v>0.23127566277980804</v>
      </c>
      <c r="O144" s="1245">
        <v>0.14213776588439941</v>
      </c>
      <c r="P144" s="1245">
        <v>0.16006304323673248</v>
      </c>
      <c r="Q144" s="1245">
        <v>0.25659230351448059</v>
      </c>
      <c r="R144" s="1245">
        <v>0.1591709703207016</v>
      </c>
      <c r="S144" s="1245">
        <v>0.16166782379150391</v>
      </c>
      <c r="T144" s="1245">
        <v>0.18116879463195801</v>
      </c>
      <c r="U144" s="1245">
        <v>0.13531927764415741</v>
      </c>
      <c r="V144" s="1245">
        <v>0.10169459134340286</v>
      </c>
      <c r="W144" s="1245">
        <v>0.21030201017856598</v>
      </c>
      <c r="X144" s="1245">
        <v>0.19453442096710205</v>
      </c>
      <c r="Y144" s="1245">
        <v>0.25394982099533081</v>
      </c>
      <c r="Z144" s="1245">
        <v>0.21715985238552094</v>
      </c>
      <c r="AA144" s="1245">
        <v>0.28309562802314758</v>
      </c>
      <c r="AB144" s="1245">
        <v>0.12093354761600494</v>
      </c>
      <c r="AC144" s="1245">
        <v>0.20544338226318359</v>
      </c>
      <c r="AD144" s="1245">
        <v>0.11205016076564789</v>
      </c>
      <c r="AE144" s="260">
        <f>'User Add-in Location'!B149</f>
        <v>0</v>
      </c>
      <c r="AF144" s="260">
        <f>'User Add-in Location'!C149</f>
        <v>0</v>
      </c>
      <c r="AG144" s="1245">
        <v>0.16050726175308228</v>
      </c>
      <c r="AH144" s="1245">
        <v>0.11976814270019531</v>
      </c>
      <c r="AI144" s="1245">
        <v>0.25303405523300171</v>
      </c>
      <c r="AJ144" s="1245">
        <v>0.23119105398654938</v>
      </c>
      <c r="AK144" s="1245">
        <v>0.12993805110454559</v>
      </c>
      <c r="AL144" s="1245">
        <v>0.19517409801483154</v>
      </c>
      <c r="AM144" s="1245">
        <v>0.19146372377872467</v>
      </c>
      <c r="AN144" s="1245">
        <v>0.12020553648471832</v>
      </c>
      <c r="AO144" s="1245">
        <v>0.23076391220092773</v>
      </c>
      <c r="AP144" s="1245">
        <v>0.19001771509647369</v>
      </c>
      <c r="AQ144" s="1245">
        <v>0.22418177127838135</v>
      </c>
      <c r="AR144" s="1245">
        <v>0.24188731610774994</v>
      </c>
      <c r="AS144" s="1245">
        <v>0.23264004290103912</v>
      </c>
      <c r="AT144" s="1245">
        <v>0.15410222113132477</v>
      </c>
      <c r="AU144" s="1245">
        <v>0.16114635765552521</v>
      </c>
      <c r="AV144" s="1245">
        <v>0.19659850001335144</v>
      </c>
      <c r="AW144" s="1245">
        <v>0.22483472526073456</v>
      </c>
      <c r="AX144" s="1245">
        <v>0.60512769222259521</v>
      </c>
      <c r="AY144" s="1245">
        <v>0.22928795218467712</v>
      </c>
      <c r="AZ144" s="1245">
        <v>0.1828683465719223</v>
      </c>
      <c r="BA144" s="1245">
        <v>0.17687800526618958</v>
      </c>
      <c r="BB144" s="1245">
        <v>0.205501988530159</v>
      </c>
      <c r="BC144" s="1245">
        <v>0.11189594119787216</v>
      </c>
      <c r="BD144" s="1245">
        <v>0.23117527365684509</v>
      </c>
      <c r="BE144" s="1245">
        <v>6.0223385691642761E-2</v>
      </c>
    </row>
    <row r="145" spans="1:57" s="220" customFormat="1" x14ac:dyDescent="0.25">
      <c r="A145" s="1254"/>
      <c r="B145" s="1249"/>
      <c r="C145" s="1247" t="s">
        <v>598</v>
      </c>
      <c r="D145" s="1245">
        <v>0.21201802790164948</v>
      </c>
      <c r="E145" s="1245">
        <v>0.19730366766452789</v>
      </c>
      <c r="F145" s="1245">
        <v>0.34046578407287598</v>
      </c>
      <c r="G145" s="1245">
        <v>0.20092999935150146</v>
      </c>
      <c r="H145" s="1245">
        <v>0.38802319765090942</v>
      </c>
      <c r="I145" s="1245">
        <v>0.33152100443840027</v>
      </c>
      <c r="J145" s="1245">
        <v>0.30902880430221558</v>
      </c>
      <c r="K145" s="1245">
        <v>0.23970939218997955</v>
      </c>
      <c r="L145" s="1245">
        <v>0</v>
      </c>
      <c r="M145" s="1245">
        <v>0.34555906057357788</v>
      </c>
      <c r="N145" s="1245">
        <v>0.30520522594451904</v>
      </c>
      <c r="O145" s="1245">
        <v>0.23639655113220215</v>
      </c>
      <c r="P145" s="1245">
        <v>0.22328154742717743</v>
      </c>
      <c r="Q145" s="1245">
        <v>0.37117499113082886</v>
      </c>
      <c r="R145" s="1245">
        <v>0.23853029310703278</v>
      </c>
      <c r="S145" s="1245">
        <v>0.22120319306850433</v>
      </c>
      <c r="T145" s="1245">
        <v>0.229241743683815</v>
      </c>
      <c r="U145" s="1245">
        <v>0.23197324573993683</v>
      </c>
      <c r="V145" s="1245">
        <v>0.21262802183628082</v>
      </c>
      <c r="W145" s="1245">
        <v>0.26465922594070435</v>
      </c>
      <c r="X145" s="1245">
        <v>0.27360779047012329</v>
      </c>
      <c r="Y145" s="1245">
        <v>0.33175531029701233</v>
      </c>
      <c r="Z145" s="1245">
        <v>0.3295343816280365</v>
      </c>
      <c r="AA145" s="1245">
        <v>0.39352908730506897</v>
      </c>
      <c r="AB145" s="1245">
        <v>0.18357641994953156</v>
      </c>
      <c r="AC145" s="1245">
        <v>0.30718165636062622</v>
      </c>
      <c r="AD145" s="1245">
        <v>0.21455872058868408</v>
      </c>
      <c r="AE145" s="260">
        <f>'User Add-in Location'!B150</f>
        <v>0</v>
      </c>
      <c r="AF145" s="260">
        <f>'User Add-in Location'!C150</f>
        <v>0</v>
      </c>
      <c r="AG145" s="1245">
        <v>0.2265879362821579</v>
      </c>
      <c r="AH145" s="1245">
        <v>0.15129725635051727</v>
      </c>
      <c r="AI145" s="1245">
        <v>0.29677847027778625</v>
      </c>
      <c r="AJ145" s="1245">
        <v>0.34713295102119446</v>
      </c>
      <c r="AK145" s="1245">
        <v>0.17562295496463776</v>
      </c>
      <c r="AL145" s="1245">
        <v>0.26901945471763611</v>
      </c>
      <c r="AM145" s="1245">
        <v>0.28533273935317993</v>
      </c>
      <c r="AN145" s="1245">
        <v>0.179806187748909</v>
      </c>
      <c r="AO145" s="1245">
        <v>0.34334331750869751</v>
      </c>
      <c r="AP145" s="1245">
        <v>0.24691866338253021</v>
      </c>
      <c r="AQ145" s="1245">
        <v>0.29316526651382446</v>
      </c>
      <c r="AR145" s="1245">
        <v>0.34092268347740173</v>
      </c>
      <c r="AS145" s="1245">
        <v>0.30413264036178589</v>
      </c>
      <c r="AT145" s="1245">
        <v>0.23880736529827118</v>
      </c>
      <c r="AU145" s="1245">
        <v>0.18681645393371582</v>
      </c>
      <c r="AV145" s="1245">
        <v>0.316404789686203</v>
      </c>
      <c r="AW145" s="1245">
        <v>0.33899363875389099</v>
      </c>
      <c r="AX145" s="1245">
        <v>0.765735924243927</v>
      </c>
      <c r="AY145" s="1245">
        <v>0.32310119271278381</v>
      </c>
      <c r="AZ145" s="1245">
        <v>0.25443536043167114</v>
      </c>
      <c r="BA145" s="1245">
        <v>0.28501886129379272</v>
      </c>
      <c r="BB145" s="1245">
        <v>0.28639814257621765</v>
      </c>
      <c r="BC145" s="1245">
        <v>0.1694628894329071</v>
      </c>
      <c r="BD145" s="1245">
        <v>0.31421074271202087</v>
      </c>
      <c r="BE145" s="1245">
        <v>0.11549053341150284</v>
      </c>
    </row>
    <row r="146" spans="1:57" s="220" customFormat="1" x14ac:dyDescent="0.25">
      <c r="A146" s="1254"/>
      <c r="B146" s="1249"/>
      <c r="C146" s="1247" t="s">
        <v>599</v>
      </c>
      <c r="D146" s="1245">
        <v>0.14806976914405823</v>
      </c>
      <c r="E146" s="1245">
        <v>0.12751619517803192</v>
      </c>
      <c r="F146" s="1245">
        <v>0.24160581827163696</v>
      </c>
      <c r="G146" s="1245">
        <v>0.15119948983192444</v>
      </c>
      <c r="H146" s="1245">
        <v>0.3202269971370697</v>
      </c>
      <c r="I146" s="1245">
        <v>0.25675800442695618</v>
      </c>
      <c r="J146" s="1245">
        <v>0.25476604700088501</v>
      </c>
      <c r="K146" s="1245">
        <v>0.21060322225093842</v>
      </c>
      <c r="L146" s="1245">
        <v>6.7332535982131958E-2</v>
      </c>
      <c r="M146" s="1245">
        <v>0.27288421988487244</v>
      </c>
      <c r="N146" s="1245">
        <v>0.22879977524280548</v>
      </c>
      <c r="O146" s="1245">
        <v>0.15701974928379059</v>
      </c>
      <c r="P146" s="1245">
        <v>0.14904852211475372</v>
      </c>
      <c r="Q146" s="1245">
        <v>0.25491419434547424</v>
      </c>
      <c r="R146" s="1245">
        <v>0.17018818855285645</v>
      </c>
      <c r="S146" s="1245">
        <v>0.14492864906787872</v>
      </c>
      <c r="T146" s="1245">
        <v>0.16784065961837769</v>
      </c>
      <c r="U146" s="1245">
        <v>0.16610845923423767</v>
      </c>
      <c r="V146" s="1245">
        <v>0.15385930240154266</v>
      </c>
      <c r="W146" s="1245">
        <v>0.23570933938026428</v>
      </c>
      <c r="X146" s="1245">
        <v>0.17835727334022522</v>
      </c>
      <c r="Y146" s="1245">
        <v>0.29715156555175781</v>
      </c>
      <c r="Z146" s="1245">
        <v>0.27009093761444092</v>
      </c>
      <c r="AA146" s="1245">
        <v>0.29838624596595764</v>
      </c>
      <c r="AB146" s="1245">
        <v>0.10379146039485931</v>
      </c>
      <c r="AC146" s="1245">
        <v>0.19589650630950928</v>
      </c>
      <c r="AD146" s="1245">
        <v>0.1210637241601944</v>
      </c>
      <c r="AE146" s="260">
        <f>'User Add-in Location'!B151</f>
        <v>0</v>
      </c>
      <c r="AF146" s="260">
        <f>'User Add-in Location'!C151</f>
        <v>0</v>
      </c>
      <c r="AG146" s="1245">
        <v>0.13989944756031036</v>
      </c>
      <c r="AH146" s="1245">
        <v>0.11702301353216171</v>
      </c>
      <c r="AI146" s="1245">
        <v>0.37422186136245728</v>
      </c>
      <c r="AJ146" s="1245">
        <v>0.30625489354133606</v>
      </c>
      <c r="AK146" s="1245">
        <v>0.12695541977882385</v>
      </c>
      <c r="AL146" s="1245">
        <v>0.21009731292724609</v>
      </c>
      <c r="AM146" s="1245">
        <v>0.21947725117206573</v>
      </c>
      <c r="AN146" s="1245">
        <v>0.11319733411073685</v>
      </c>
      <c r="AO146" s="1245">
        <v>0.28310853242874146</v>
      </c>
      <c r="AP146" s="1245">
        <v>0.19770203530788422</v>
      </c>
      <c r="AQ146" s="1245">
        <v>0.23255528509616852</v>
      </c>
      <c r="AR146" s="1245">
        <v>0.27012050151824951</v>
      </c>
      <c r="AS146" s="1245">
        <v>0.26817724108695984</v>
      </c>
      <c r="AT146" s="1245">
        <v>0.19076055288314819</v>
      </c>
      <c r="AU146" s="1245">
        <v>0.13413810729980469</v>
      </c>
      <c r="AV146" s="1245">
        <v>0.20702485740184784</v>
      </c>
      <c r="AW146" s="1245">
        <v>0.26341396570205688</v>
      </c>
      <c r="AX146" s="1245">
        <v>0.63894814252853394</v>
      </c>
      <c r="AY146" s="1245">
        <v>0.23275470733642578</v>
      </c>
      <c r="AZ146" s="1245">
        <v>0.25203150510787964</v>
      </c>
      <c r="BA146" s="1245">
        <v>0.21954357624053955</v>
      </c>
      <c r="BB146" s="1245">
        <v>0.24365878105163574</v>
      </c>
      <c r="BC146" s="1245">
        <v>0.17501291632652283</v>
      </c>
      <c r="BD146" s="1245">
        <v>0.21025265753269196</v>
      </c>
      <c r="BE146" s="1245">
        <v>7.7684089541435242E-2</v>
      </c>
    </row>
    <row r="147" spans="1:57" s="220" customFormat="1" x14ac:dyDescent="0.25">
      <c r="A147" s="1254"/>
      <c r="B147" s="1249"/>
      <c r="C147" s="1247" t="s">
        <v>601</v>
      </c>
      <c r="D147" s="1245">
        <v>0.22486096620559692</v>
      </c>
      <c r="E147" s="1245">
        <v>0</v>
      </c>
      <c r="F147" s="1245">
        <v>0.30262142419815063</v>
      </c>
      <c r="G147" s="1245">
        <v>0.18906368315219879</v>
      </c>
      <c r="H147" s="1245">
        <v>0.36792311072349548</v>
      </c>
      <c r="I147" s="1245">
        <v>0.2779407799243927</v>
      </c>
      <c r="J147" s="1245">
        <v>0.26355940103530884</v>
      </c>
      <c r="K147" s="1245">
        <v>0.24361139535903931</v>
      </c>
      <c r="L147" s="1245">
        <v>4.0850032120943069E-2</v>
      </c>
      <c r="M147" s="1245">
        <v>0.30007690191268921</v>
      </c>
      <c r="N147" s="1245">
        <v>0.24744506180286407</v>
      </c>
      <c r="O147" s="1245">
        <v>0.12092538177967072</v>
      </c>
      <c r="P147" s="1245">
        <v>0.21105378866195679</v>
      </c>
      <c r="Q147" s="1245">
        <v>0.32993590831756592</v>
      </c>
      <c r="R147" s="1245">
        <v>0.23070371150970459</v>
      </c>
      <c r="S147" s="1245">
        <v>0.19273146986961365</v>
      </c>
      <c r="T147" s="1245">
        <v>0.21434234082698822</v>
      </c>
      <c r="U147" s="1245">
        <v>0.21574610471725464</v>
      </c>
      <c r="V147" s="1245">
        <v>0.19781693816184998</v>
      </c>
      <c r="W147" s="1245">
        <v>0.19111433625221252</v>
      </c>
      <c r="X147" s="1245">
        <v>0.23462995886802673</v>
      </c>
      <c r="Y147" s="1245">
        <v>0.27482175827026367</v>
      </c>
      <c r="Z147" s="1245">
        <v>0.30933618545532227</v>
      </c>
      <c r="AA147" s="1245">
        <v>0.32160621881484985</v>
      </c>
      <c r="AB147" s="1245">
        <v>0.13728156685829163</v>
      </c>
      <c r="AC147" s="1245">
        <v>0.25383901596069336</v>
      </c>
      <c r="AD147" s="1245">
        <v>0.13170920312404633</v>
      </c>
      <c r="AE147" s="260">
        <f>'User Add-in Location'!B152</f>
        <v>0</v>
      </c>
      <c r="AF147" s="260">
        <f>'User Add-in Location'!C152</f>
        <v>0</v>
      </c>
      <c r="AG147" s="1245">
        <v>0.23695418238639832</v>
      </c>
      <c r="AH147" s="1245">
        <v>0.13212406635284424</v>
      </c>
      <c r="AI147" s="1245">
        <v>0.28988727927207947</v>
      </c>
      <c r="AJ147" s="1245">
        <v>0.2917918860912323</v>
      </c>
      <c r="AK147" s="1245">
        <v>0.13408496975898743</v>
      </c>
      <c r="AL147" s="1245">
        <v>0.22630232572555542</v>
      </c>
      <c r="AM147" s="1245">
        <v>0.21854761242866516</v>
      </c>
      <c r="AN147" s="1245">
        <v>0.15902848541736603</v>
      </c>
      <c r="AO147" s="1245">
        <v>0.28578990697860718</v>
      </c>
      <c r="AP147" s="1245">
        <v>0.22577494382858276</v>
      </c>
      <c r="AQ147" s="1245">
        <v>0.12839607894420624</v>
      </c>
      <c r="AR147" s="1245">
        <v>0.2894212007522583</v>
      </c>
      <c r="AS147" s="1245">
        <v>0.19894424080848694</v>
      </c>
      <c r="AT147" s="1245">
        <v>0.24335932731628418</v>
      </c>
      <c r="AU147" s="1245">
        <v>0.17172981798648834</v>
      </c>
      <c r="AV147" s="1245">
        <v>0.26778140664100647</v>
      </c>
      <c r="AW147" s="1245">
        <v>0.27392330765724182</v>
      </c>
      <c r="AX147" s="1245">
        <v>0.59997671842575073</v>
      </c>
      <c r="AY147" s="1245">
        <v>0.25305861234664917</v>
      </c>
      <c r="AZ147" s="1245">
        <v>0.20799486339092255</v>
      </c>
      <c r="BA147" s="1245">
        <v>0.22446624934673309</v>
      </c>
      <c r="BB147" s="1245">
        <v>0.20990817248821259</v>
      </c>
      <c r="BC147" s="1245">
        <v>0.12608268857002258</v>
      </c>
      <c r="BD147" s="1245">
        <v>0.2858751118183136</v>
      </c>
      <c r="BE147" s="1245">
        <v>9.5573775470256805E-2</v>
      </c>
    </row>
    <row r="148" spans="1:57" s="220" customFormat="1" x14ac:dyDescent="0.25">
      <c r="A148" s="1254"/>
      <c r="B148" s="1249"/>
      <c r="C148" s="1247" t="s">
        <v>602</v>
      </c>
      <c r="D148" s="1245">
        <v>0.21814499795436859</v>
      </c>
      <c r="E148" s="1245">
        <v>0.12589395046234131</v>
      </c>
      <c r="F148" s="1245">
        <v>0.31677177548408508</v>
      </c>
      <c r="G148" s="1245">
        <v>0.23967145383358002</v>
      </c>
      <c r="H148" s="1245">
        <v>0.38544002175331116</v>
      </c>
      <c r="I148" s="1245">
        <v>0.38151445984840393</v>
      </c>
      <c r="J148" s="1245">
        <v>0.28039926290512085</v>
      </c>
      <c r="K148" s="1245">
        <v>0.24238617718219757</v>
      </c>
      <c r="L148" s="1245">
        <v>0.1060519814491272</v>
      </c>
      <c r="M148" s="1245">
        <v>0.31197890639305115</v>
      </c>
      <c r="N148" s="1245">
        <v>0.32774639129638672</v>
      </c>
      <c r="O148" s="1245">
        <v>0.20156840980052948</v>
      </c>
      <c r="P148" s="1245">
        <v>0.23980547487735748</v>
      </c>
      <c r="Q148" s="1245">
        <v>0.38936224579811096</v>
      </c>
      <c r="R148" s="1245">
        <v>0.25597718358039856</v>
      </c>
      <c r="S148" s="1245">
        <v>0.22655998170375824</v>
      </c>
      <c r="T148" s="1245">
        <v>0.24000035226345062</v>
      </c>
      <c r="U148" s="1245">
        <v>0.22076013684272766</v>
      </c>
      <c r="V148" s="1245">
        <v>0.2142951637506485</v>
      </c>
      <c r="W148" s="1245">
        <v>0.25952154397964478</v>
      </c>
      <c r="X148" s="1245">
        <v>0.24925422668457031</v>
      </c>
      <c r="Y148" s="1245">
        <v>0.31126514077186584</v>
      </c>
      <c r="Z148" s="1245">
        <v>0.3076438307762146</v>
      </c>
      <c r="AA148" s="1245">
        <v>0.36213159561157227</v>
      </c>
      <c r="AB148" s="1245">
        <v>0.1844770759344101</v>
      </c>
      <c r="AC148" s="1245">
        <v>0.30401322245597839</v>
      </c>
      <c r="AD148" s="1245">
        <v>0.22890777885913849</v>
      </c>
      <c r="AE148" s="260">
        <f>'User Add-in Location'!B153</f>
        <v>0</v>
      </c>
      <c r="AF148" s="260">
        <f>'User Add-in Location'!C153</f>
        <v>0</v>
      </c>
      <c r="AG148" s="1245">
        <v>0.26270142197608948</v>
      </c>
      <c r="AH148" s="1245">
        <v>0</v>
      </c>
      <c r="AI148" s="1245">
        <v>0.26731029152870178</v>
      </c>
      <c r="AJ148" s="1245">
        <v>0.3249947726726532</v>
      </c>
      <c r="AK148" s="1245">
        <v>0.20332843065261841</v>
      </c>
      <c r="AL148" s="1245">
        <v>0.29287302494049072</v>
      </c>
      <c r="AM148" s="1245">
        <v>0.28567466139793396</v>
      </c>
      <c r="AN148" s="1245">
        <v>0.2141706794500351</v>
      </c>
      <c r="AO148" s="1245">
        <v>0.31785726547241211</v>
      </c>
      <c r="AP148" s="1245">
        <v>0.30055370926856995</v>
      </c>
      <c r="AQ148" s="1245">
        <v>0.26993036270141602</v>
      </c>
      <c r="AR148" s="1245">
        <v>0.36708655953407288</v>
      </c>
      <c r="AS148" s="1245">
        <v>0.2785986065864563</v>
      </c>
      <c r="AT148" s="1245">
        <v>0.20856104791164398</v>
      </c>
      <c r="AU148" s="1245">
        <v>0.21542127430438995</v>
      </c>
      <c r="AV148" s="1245">
        <v>0.31409841775894165</v>
      </c>
      <c r="AW148" s="1245">
        <v>0.38552775979042053</v>
      </c>
      <c r="AX148" s="1245">
        <v>0.70390290021896362</v>
      </c>
      <c r="AY148" s="1245">
        <v>0.37549939751625061</v>
      </c>
      <c r="AZ148" s="1245">
        <v>0.25199785828590393</v>
      </c>
      <c r="BA148" s="1245">
        <v>0.28045612573623657</v>
      </c>
      <c r="BB148" s="1245">
        <v>0.27886390686035156</v>
      </c>
      <c r="BC148" s="1245">
        <v>0.20113644003868103</v>
      </c>
      <c r="BD148" s="1245">
        <v>0.29689392447471619</v>
      </c>
      <c r="BE148" s="1245">
        <v>0.13040526211261749</v>
      </c>
    </row>
    <row r="149" spans="1:57" s="220" customFormat="1" x14ac:dyDescent="0.25">
      <c r="A149" s="1254"/>
      <c r="B149" s="1249"/>
      <c r="C149" s="1247" t="s">
        <v>603</v>
      </c>
      <c r="D149" s="1245">
        <v>0.30010741949081421</v>
      </c>
      <c r="E149" s="1245">
        <v>0.20559020340442657</v>
      </c>
      <c r="F149" s="1245">
        <v>0.46250593662261963</v>
      </c>
      <c r="G149" s="1245">
        <v>0.26238840818405151</v>
      </c>
      <c r="H149" s="1245">
        <v>0.43554052710533142</v>
      </c>
      <c r="I149" s="1245">
        <v>0.49050381779670715</v>
      </c>
      <c r="J149" s="1245">
        <v>0.37689727544784546</v>
      </c>
      <c r="K149" s="1245">
        <v>0.33664458990097046</v>
      </c>
      <c r="L149" s="1245">
        <v>0.11868631839752197</v>
      </c>
      <c r="M149" s="1245">
        <v>0.45399650931358337</v>
      </c>
      <c r="N149" s="1245">
        <v>0.42883136868476868</v>
      </c>
      <c r="O149" s="1245">
        <v>0.30908921360969543</v>
      </c>
      <c r="P149" s="1245">
        <v>0.31018823385238647</v>
      </c>
      <c r="Q149" s="1245">
        <v>0.46860319375991821</v>
      </c>
      <c r="R149" s="1245">
        <v>0.3286927342414856</v>
      </c>
      <c r="S149" s="1245">
        <v>0.3122996985912323</v>
      </c>
      <c r="T149" s="1245">
        <v>0.31995391845703125</v>
      </c>
      <c r="U149" s="1245">
        <v>0.27464905381202698</v>
      </c>
      <c r="V149" s="1245">
        <v>0.27454671263694763</v>
      </c>
      <c r="W149" s="1245">
        <v>0.3635827898979187</v>
      </c>
      <c r="X149" s="1245">
        <v>0.35842007398605347</v>
      </c>
      <c r="Y149" s="1245">
        <v>0.44993102550506592</v>
      </c>
      <c r="Z149" s="1245">
        <v>0.4079192578792572</v>
      </c>
      <c r="AA149" s="1245">
        <v>0.50717294216156006</v>
      </c>
      <c r="AB149" s="1245">
        <v>0.23788389563560486</v>
      </c>
      <c r="AC149" s="1245">
        <v>0.41393741965293884</v>
      </c>
      <c r="AD149" s="1245">
        <v>0.28880330920219421</v>
      </c>
      <c r="AE149" s="260">
        <f>'User Add-in Location'!B154</f>
        <v>0</v>
      </c>
      <c r="AF149" s="260">
        <f>'User Add-in Location'!C154</f>
        <v>0</v>
      </c>
      <c r="AG149" s="1245">
        <v>0.32309260964393616</v>
      </c>
      <c r="AH149" s="1245">
        <v>0.21459978818893433</v>
      </c>
      <c r="AI149" s="1245">
        <v>0.4452613890171051</v>
      </c>
      <c r="AJ149" s="1245">
        <v>0.41491261124610901</v>
      </c>
      <c r="AK149" s="1245">
        <v>0.24884694814682007</v>
      </c>
      <c r="AL149" s="1245">
        <v>0.34165626764297485</v>
      </c>
      <c r="AM149" s="1245">
        <v>0.41340330243110657</v>
      </c>
      <c r="AN149" s="1245">
        <v>0.24484065175056458</v>
      </c>
      <c r="AO149" s="1245">
        <v>0.43644508719444275</v>
      </c>
      <c r="AP149" s="1245">
        <v>0.29668739438056946</v>
      </c>
      <c r="AQ149" s="1245">
        <v>0.38800930976867676</v>
      </c>
      <c r="AR149" s="1245">
        <v>0.43384754657745361</v>
      </c>
      <c r="AS149" s="1245">
        <v>0.41046905517578125</v>
      </c>
      <c r="AT149" s="1245">
        <v>0.30067634582519531</v>
      </c>
      <c r="AU149" s="1245">
        <v>0.2863718569278717</v>
      </c>
      <c r="AV149" s="1245">
        <v>0.38581934571266174</v>
      </c>
      <c r="AW149" s="1245">
        <v>0.41010323166847229</v>
      </c>
      <c r="AX149" s="1245">
        <v>0.77274608612060547</v>
      </c>
      <c r="AY149" s="1245">
        <v>0.44133594632148743</v>
      </c>
      <c r="AZ149" s="1245">
        <v>0.32284238934516907</v>
      </c>
      <c r="BA149" s="1245">
        <v>0.37252596020698547</v>
      </c>
      <c r="BB149" s="1245">
        <v>0.36045688390731812</v>
      </c>
      <c r="BC149" s="1245">
        <v>0.23840081691741943</v>
      </c>
      <c r="BD149" s="1245">
        <v>0.39569836854934692</v>
      </c>
      <c r="BE149" s="1245">
        <v>0.16450811922550201</v>
      </c>
    </row>
    <row r="150" spans="1:57" s="220" customFormat="1" x14ac:dyDescent="0.25">
      <c r="A150" s="1254"/>
      <c r="B150" s="1249"/>
      <c r="C150" s="1247" t="s">
        <v>604</v>
      </c>
      <c r="D150" s="1245">
        <v>0.32644197344779968</v>
      </c>
      <c r="E150" s="1245">
        <v>0.31640574336051941</v>
      </c>
      <c r="F150" s="1245">
        <v>0.50105923414230347</v>
      </c>
      <c r="G150" s="1245">
        <v>0.33545529842376709</v>
      </c>
      <c r="H150" s="1245">
        <v>0.4875011146068573</v>
      </c>
      <c r="I150" s="1245">
        <v>0.51112246513366699</v>
      </c>
      <c r="J150" s="1245">
        <v>0.4534376859664917</v>
      </c>
      <c r="K150" s="1245">
        <v>0.38907244801521301</v>
      </c>
      <c r="L150" s="1245">
        <v>0.12050914764404297</v>
      </c>
      <c r="M150" s="1245">
        <v>0.52045780420303345</v>
      </c>
      <c r="N150" s="1245">
        <v>0.48341134190559387</v>
      </c>
      <c r="O150" s="1245">
        <v>0.3344840407371521</v>
      </c>
      <c r="P150" s="1245">
        <v>0.36496180295944214</v>
      </c>
      <c r="Q150" s="1245">
        <v>0.50693321228027344</v>
      </c>
      <c r="R150" s="1245">
        <v>0.36460772156715393</v>
      </c>
      <c r="S150" s="1245">
        <v>0.34969639778137207</v>
      </c>
      <c r="T150" s="1245">
        <v>0.33925330638885498</v>
      </c>
      <c r="U150" s="1245">
        <v>0.36137092113494873</v>
      </c>
      <c r="V150" s="1245">
        <v>0.31132549047470093</v>
      </c>
      <c r="W150" s="1245">
        <v>0.42080795764923096</v>
      </c>
      <c r="X150" s="1245">
        <v>0.39996746182441711</v>
      </c>
      <c r="Y150" s="1245">
        <v>0.50488245487213135</v>
      </c>
      <c r="Z150" s="1245">
        <v>0.42806908488273621</v>
      </c>
      <c r="AA150" s="1245">
        <v>0.50922989845275879</v>
      </c>
      <c r="AB150" s="1245">
        <v>0.28804808855056763</v>
      </c>
      <c r="AC150" s="1245">
        <v>0.46106606721878052</v>
      </c>
      <c r="AD150" s="1245">
        <v>0.38718026876449585</v>
      </c>
      <c r="AE150" s="260">
        <f>'User Add-in Location'!B155</f>
        <v>0</v>
      </c>
      <c r="AF150" s="260">
        <f>'User Add-in Location'!C155</f>
        <v>0</v>
      </c>
      <c r="AG150" s="1245">
        <v>0.35408535599708557</v>
      </c>
      <c r="AH150" s="1245">
        <v>0.15620535612106323</v>
      </c>
      <c r="AI150" s="1245">
        <v>0.50912213325500488</v>
      </c>
      <c r="AJ150" s="1245">
        <v>0.47802391648292542</v>
      </c>
      <c r="AK150" s="1245">
        <v>0.31875541806221008</v>
      </c>
      <c r="AL150" s="1245">
        <v>0.39984217286109924</v>
      </c>
      <c r="AM150" s="1245">
        <v>0.48385587334632874</v>
      </c>
      <c r="AN150" s="1245">
        <v>0.28132659196853638</v>
      </c>
      <c r="AO150" s="1245">
        <v>0.4747651219367981</v>
      </c>
      <c r="AP150" s="1245">
        <v>0.3763086199760437</v>
      </c>
      <c r="AQ150" s="1245">
        <v>0.48194104433059692</v>
      </c>
      <c r="AR150" s="1245">
        <v>0.50177878141403198</v>
      </c>
      <c r="AS150" s="1245">
        <v>0.4715924859046936</v>
      </c>
      <c r="AT150" s="1245">
        <v>0.35434889793395996</v>
      </c>
      <c r="AU150" s="1245">
        <v>0.33021557331085205</v>
      </c>
      <c r="AV150" s="1245">
        <v>0.45671975612640381</v>
      </c>
      <c r="AW150" s="1245">
        <v>0.449189692735672</v>
      </c>
      <c r="AX150" s="1245">
        <v>0.85575693845748901</v>
      </c>
      <c r="AY150" s="1245">
        <v>0.49713212251663208</v>
      </c>
      <c r="AZ150" s="1245">
        <v>0.39225631952285767</v>
      </c>
      <c r="BA150" s="1245">
        <v>0.39448526501655579</v>
      </c>
      <c r="BB150" s="1245">
        <v>0.38932830095291138</v>
      </c>
      <c r="BC150" s="1245">
        <v>0.28658530116081238</v>
      </c>
      <c r="BD150" s="1245">
        <v>0.42207026481628418</v>
      </c>
      <c r="BE150" s="1245">
        <v>0.20028650760650635</v>
      </c>
    </row>
    <row r="151" spans="1:57" s="220" customFormat="1" x14ac:dyDescent="0.25">
      <c r="A151" s="1254"/>
      <c r="B151" s="1249"/>
      <c r="C151" s="1247" t="s">
        <v>605</v>
      </c>
      <c r="D151" s="1245">
        <v>0.24417872726917267</v>
      </c>
      <c r="E151" s="1245">
        <v>0.17785170674324036</v>
      </c>
      <c r="F151" s="1245">
        <v>0.378143310546875</v>
      </c>
      <c r="G151" s="1245">
        <v>0.20548941195011139</v>
      </c>
      <c r="H151" s="1245">
        <v>0.34453186392784119</v>
      </c>
      <c r="I151" s="1245">
        <v>0.3678576648235321</v>
      </c>
      <c r="J151" s="1245">
        <v>0.35906553268432617</v>
      </c>
      <c r="K151" s="1245">
        <v>0.19632977247238159</v>
      </c>
      <c r="L151" s="1245">
        <v>8.4668770432472229E-2</v>
      </c>
      <c r="M151" s="1245">
        <v>0.37671378254890442</v>
      </c>
      <c r="N151" s="1245">
        <v>0.3252485990524292</v>
      </c>
      <c r="O151" s="1245">
        <v>0.21362781524658203</v>
      </c>
      <c r="P151" s="1245">
        <v>0.21896086633205414</v>
      </c>
      <c r="Q151" s="1245">
        <v>0.36545756459236145</v>
      </c>
      <c r="R151" s="1245">
        <v>0.22747209668159485</v>
      </c>
      <c r="S151" s="1245">
        <v>0.23203863203525543</v>
      </c>
      <c r="T151" s="1245">
        <v>0.25461852550506592</v>
      </c>
      <c r="U151" s="1245">
        <v>0.23913957178592682</v>
      </c>
      <c r="V151" s="1245">
        <v>0.21149379014968872</v>
      </c>
      <c r="W151" s="1245">
        <v>0.26764139533042908</v>
      </c>
      <c r="X151" s="1245">
        <v>0.25683110952377319</v>
      </c>
      <c r="Y151" s="1245">
        <v>0.38384771347045898</v>
      </c>
      <c r="Z151" s="1245">
        <v>0.30554211139678955</v>
      </c>
      <c r="AA151" s="1245">
        <v>0.42863300442695618</v>
      </c>
      <c r="AB151" s="1245">
        <v>0.18858569860458374</v>
      </c>
      <c r="AC151" s="1245">
        <v>0.30600708723068237</v>
      </c>
      <c r="AD151" s="1245">
        <v>0.20395570993423462</v>
      </c>
      <c r="AE151" s="260">
        <f>'User Add-in Location'!B156</f>
        <v>0</v>
      </c>
      <c r="AF151" s="260">
        <f>'User Add-in Location'!C156</f>
        <v>0</v>
      </c>
      <c r="AG151" s="1245">
        <v>0.24434372782707214</v>
      </c>
      <c r="AH151" s="1245">
        <v>0</v>
      </c>
      <c r="AI151" s="1245">
        <v>0.3145124614238739</v>
      </c>
      <c r="AJ151" s="1245">
        <v>0.32666566967964172</v>
      </c>
      <c r="AK151" s="1245">
        <v>0.15856857597827911</v>
      </c>
      <c r="AL151" s="1245">
        <v>0.31594336032867432</v>
      </c>
      <c r="AM151" s="1245">
        <v>0.35047578811645508</v>
      </c>
      <c r="AN151" s="1245">
        <v>0.19249126315116882</v>
      </c>
      <c r="AO151" s="1245">
        <v>0.31303030252456665</v>
      </c>
      <c r="AP151" s="1245">
        <v>0.24777005612850189</v>
      </c>
      <c r="AQ151" s="1245">
        <v>0.25391417741775513</v>
      </c>
      <c r="AR151" s="1245">
        <v>0.34995138645172119</v>
      </c>
      <c r="AS151" s="1245">
        <v>0.33053582906723022</v>
      </c>
      <c r="AT151" s="1245">
        <v>0.27415379881858826</v>
      </c>
      <c r="AU151" s="1245">
        <v>0.19917792081832886</v>
      </c>
      <c r="AV151" s="1245">
        <v>0.32472071051597595</v>
      </c>
      <c r="AW151" s="1245">
        <v>0.37124142050743103</v>
      </c>
      <c r="AX151" s="1245">
        <v>0.6373174786567688</v>
      </c>
      <c r="AY151" s="1245">
        <v>0.29511916637420654</v>
      </c>
      <c r="AZ151" s="1245">
        <v>0.23441608250141144</v>
      </c>
      <c r="BA151" s="1245">
        <v>0.26169314980506897</v>
      </c>
      <c r="BB151" s="1245">
        <v>0.25105908513069153</v>
      </c>
      <c r="BC151" s="1245">
        <v>0.17384138703346252</v>
      </c>
      <c r="BD151" s="1245">
        <v>0.27572348713874817</v>
      </c>
      <c r="BE151" s="1245">
        <v>0.11491024494171143</v>
      </c>
    </row>
    <row r="152" spans="1:57" s="220" customFormat="1" x14ac:dyDescent="0.25">
      <c r="A152" s="1254"/>
      <c r="B152" s="1249"/>
      <c r="C152" s="1247" t="s">
        <v>606</v>
      </c>
      <c r="D152" s="1245">
        <v>0.4265916645526886</v>
      </c>
      <c r="E152" s="1245">
        <v>0.36734485626220703</v>
      </c>
      <c r="F152" s="1245">
        <v>0.63298994302749634</v>
      </c>
      <c r="G152" s="1245">
        <v>0.38491037487983704</v>
      </c>
      <c r="H152" s="1245">
        <v>0.64291673898696899</v>
      </c>
      <c r="I152" s="1245">
        <v>0.64978939294815063</v>
      </c>
      <c r="J152" s="1245">
        <v>0.54004228115081787</v>
      </c>
      <c r="K152" s="1245">
        <v>0.44218140840530396</v>
      </c>
      <c r="L152" s="1245">
        <v>0.16107729077339172</v>
      </c>
      <c r="M152" s="1245">
        <v>0.64124822616577148</v>
      </c>
      <c r="N152" s="1245">
        <v>0.61018061637878418</v>
      </c>
      <c r="O152" s="1245">
        <v>0.41653454303741455</v>
      </c>
      <c r="P152" s="1245">
        <v>0.39870598912239075</v>
      </c>
      <c r="Q152" s="1245">
        <v>0.64867764711380005</v>
      </c>
      <c r="R152" s="1245">
        <v>0.38353589177131653</v>
      </c>
      <c r="S152" s="1245">
        <v>0.39128562808036804</v>
      </c>
      <c r="T152" s="1245">
        <v>0.44143161177635193</v>
      </c>
      <c r="U152" s="1245">
        <v>0.40867459774017334</v>
      </c>
      <c r="V152" s="1245">
        <v>0.40340036153793335</v>
      </c>
      <c r="W152" s="1245">
        <v>0.49531745910644531</v>
      </c>
      <c r="X152" s="1245">
        <v>0.49276021122932434</v>
      </c>
      <c r="Y152" s="1245">
        <v>0.57497686147689819</v>
      </c>
      <c r="Z152" s="1245">
        <v>0.57973545789718628</v>
      </c>
      <c r="AA152" s="1245">
        <v>0.64069193601608276</v>
      </c>
      <c r="AB152" s="1245">
        <v>0.33276793360710144</v>
      </c>
      <c r="AC152" s="1245">
        <v>0.54461270570755005</v>
      </c>
      <c r="AD152" s="1245">
        <v>0.39494231343269348</v>
      </c>
      <c r="AE152" s="260">
        <f>'User Add-in Location'!B157</f>
        <v>0</v>
      </c>
      <c r="AF152" s="260">
        <f>'User Add-in Location'!C157</f>
        <v>0</v>
      </c>
      <c r="AG152" s="1245">
        <v>0.41138347983360291</v>
      </c>
      <c r="AH152" s="1245">
        <v>0.31055399775505066</v>
      </c>
      <c r="AI152" s="1245">
        <v>0.53059291839599609</v>
      </c>
      <c r="AJ152" s="1245">
        <v>0.58310794830322266</v>
      </c>
      <c r="AK152" s="1245">
        <v>0.35550731420516968</v>
      </c>
      <c r="AL152" s="1245">
        <v>0.48434945940971375</v>
      </c>
      <c r="AM152" s="1245">
        <v>0.51644629240036011</v>
      </c>
      <c r="AN152" s="1245">
        <v>0.33757513761520386</v>
      </c>
      <c r="AO152" s="1245">
        <v>0.59133046865463257</v>
      </c>
      <c r="AP152" s="1245">
        <v>0.4280516505241394</v>
      </c>
      <c r="AQ152" s="1245">
        <v>0.44679051637649536</v>
      </c>
      <c r="AR152" s="1245">
        <v>0.5836794376373291</v>
      </c>
      <c r="AS152" s="1245">
        <v>0.52997231483459473</v>
      </c>
      <c r="AT152" s="1245">
        <v>0.44124037027359009</v>
      </c>
      <c r="AU152" s="1245">
        <v>0.35598373413085938</v>
      </c>
      <c r="AV152" s="1245">
        <v>0.54163509607315063</v>
      </c>
      <c r="AW152" s="1245">
        <v>0.59252333641052246</v>
      </c>
      <c r="AX152" s="1245">
        <v>1.059852123260498</v>
      </c>
      <c r="AY152" s="1245">
        <v>0.58509147167205811</v>
      </c>
      <c r="AZ152" s="1245">
        <v>0.43470746278762817</v>
      </c>
      <c r="BA152" s="1245">
        <v>0.53292709589004517</v>
      </c>
      <c r="BB152" s="1245">
        <v>0.4930901825428009</v>
      </c>
      <c r="BC152" s="1245">
        <v>0.33290320634841919</v>
      </c>
      <c r="BD152" s="1245">
        <v>0.50562798976898193</v>
      </c>
      <c r="BE152" s="1245">
        <v>0.2363499253988266</v>
      </c>
    </row>
    <row r="153" spans="1:57" s="220" customFormat="1" x14ac:dyDescent="0.25">
      <c r="A153" s="1254"/>
      <c r="B153" s="1249"/>
      <c r="C153" s="1247" t="s">
        <v>607</v>
      </c>
      <c r="D153" s="1245">
        <v>0.31284359097480774</v>
      </c>
      <c r="E153" s="1245">
        <v>0.26847732067108154</v>
      </c>
      <c r="F153" s="1245">
        <v>0.48474431037902832</v>
      </c>
      <c r="G153" s="1245">
        <v>0.28391236066818237</v>
      </c>
      <c r="H153" s="1245">
        <v>0.4872765839099884</v>
      </c>
      <c r="I153" s="1245">
        <v>0.47653096914291382</v>
      </c>
      <c r="J153" s="1245">
        <v>0.42151585221290588</v>
      </c>
      <c r="K153" s="1245">
        <v>0.36486226320266724</v>
      </c>
      <c r="L153" s="1245">
        <v>0.13605676591396332</v>
      </c>
      <c r="M153" s="1245">
        <v>0.48774948716163635</v>
      </c>
      <c r="N153" s="1245">
        <v>0.44402337074279785</v>
      </c>
      <c r="O153" s="1245">
        <v>0.33633455634117126</v>
      </c>
      <c r="P153" s="1245">
        <v>0.32410436868667603</v>
      </c>
      <c r="Q153" s="1245">
        <v>0.49269163608551025</v>
      </c>
      <c r="R153" s="1245">
        <v>0.34820252656936646</v>
      </c>
      <c r="S153" s="1245">
        <v>0.3086395263671875</v>
      </c>
      <c r="T153" s="1245">
        <v>0.3293147087097168</v>
      </c>
      <c r="U153" s="1245">
        <v>0.32355380058288574</v>
      </c>
      <c r="V153" s="1245">
        <v>0.29161834716796875</v>
      </c>
      <c r="W153" s="1245">
        <v>0.40215960144996643</v>
      </c>
      <c r="X153" s="1245">
        <v>0.3814888596534729</v>
      </c>
      <c r="Y153" s="1245">
        <v>0.47274905443191528</v>
      </c>
      <c r="Z153" s="1245">
        <v>0.43596893548965454</v>
      </c>
      <c r="AA153" s="1245">
        <v>0.50721275806427002</v>
      </c>
      <c r="AB153" s="1245">
        <v>0.25497165322303772</v>
      </c>
      <c r="AC153" s="1245">
        <v>0.42585626244544983</v>
      </c>
      <c r="AD153" s="1245">
        <v>0.30824905633926392</v>
      </c>
      <c r="AE153" s="260">
        <f>'User Add-in Location'!B158</f>
        <v>0</v>
      </c>
      <c r="AF153" s="260">
        <f>'User Add-in Location'!C158</f>
        <v>0</v>
      </c>
      <c r="AG153" s="1245">
        <v>0.34242957830429077</v>
      </c>
      <c r="AH153" s="1245">
        <v>0.22131867706775665</v>
      </c>
      <c r="AI153" s="1245">
        <v>0.43385159969329834</v>
      </c>
      <c r="AJ153" s="1245">
        <v>0.45525550842285156</v>
      </c>
      <c r="AK153" s="1245">
        <v>0.26318809390068054</v>
      </c>
      <c r="AL153" s="1245">
        <v>0.38353544473648071</v>
      </c>
      <c r="AM153" s="1245">
        <v>0.42883086204528809</v>
      </c>
      <c r="AN153" s="1245">
        <v>0.24948796629905701</v>
      </c>
      <c r="AO153" s="1245">
        <v>0.47146886587142944</v>
      </c>
      <c r="AP153" s="1245">
        <v>0.31925368309020996</v>
      </c>
      <c r="AQ153" s="1245">
        <v>0.41489356756210327</v>
      </c>
      <c r="AR153" s="1245">
        <v>0.4814075231552124</v>
      </c>
      <c r="AS153" s="1245">
        <v>0.43656671047210693</v>
      </c>
      <c r="AT153" s="1245">
        <v>0.31996974349021912</v>
      </c>
      <c r="AU153" s="1245">
        <v>0.3049776554107666</v>
      </c>
      <c r="AV153" s="1245">
        <v>0.44553279876708984</v>
      </c>
      <c r="AW153" s="1245">
        <v>0.43625849485397339</v>
      </c>
      <c r="AX153" s="1245">
        <v>0.84014588594436646</v>
      </c>
      <c r="AY153" s="1245">
        <v>0.43920516967773438</v>
      </c>
      <c r="AZ153" s="1245">
        <v>0.35287997126579285</v>
      </c>
      <c r="BA153" s="1245">
        <v>0.395467609167099</v>
      </c>
      <c r="BB153" s="1245">
        <v>0.37388390302658081</v>
      </c>
      <c r="BC153" s="1245">
        <v>0.27313068509101868</v>
      </c>
      <c r="BD153" s="1245">
        <v>0.40263217687606812</v>
      </c>
      <c r="BE153" s="1245">
        <v>0.16869121789932251</v>
      </c>
    </row>
    <row r="154" spans="1:57" s="220" customFormat="1" x14ac:dyDescent="0.25">
      <c r="A154" s="1254"/>
      <c r="B154" s="1249"/>
      <c r="C154" s="1247" t="s">
        <v>609</v>
      </c>
      <c r="D154" s="1245">
        <v>0.47728139162063599</v>
      </c>
      <c r="E154" s="1245">
        <v>0.47990638017654419</v>
      </c>
      <c r="F154" s="1245">
        <v>0.68012440204620361</v>
      </c>
      <c r="G154" s="1245">
        <v>0.53903692960739136</v>
      </c>
      <c r="H154" s="1245">
        <v>0.7075238823890686</v>
      </c>
      <c r="I154" s="1245">
        <v>0.74092209339141846</v>
      </c>
      <c r="J154" s="1245">
        <v>0.54207617044448853</v>
      </c>
      <c r="K154" s="1245">
        <v>0.50224471092224121</v>
      </c>
      <c r="L154" s="1245">
        <v>0.14631675183773041</v>
      </c>
      <c r="M154" s="1245">
        <v>0.73626220226287842</v>
      </c>
      <c r="N154" s="1245">
        <v>0.74817466735839844</v>
      </c>
      <c r="O154" s="1245">
        <v>0.5571027398109436</v>
      </c>
      <c r="P154" s="1245">
        <v>0.54629707336425781</v>
      </c>
      <c r="Q154" s="1245">
        <v>0.7830275297164917</v>
      </c>
      <c r="R154" s="1245">
        <v>0.60194504261016846</v>
      </c>
      <c r="S154" s="1245">
        <v>0.53758335113525391</v>
      </c>
      <c r="T154" s="1245">
        <v>0.57475167512893677</v>
      </c>
      <c r="U154" s="1245">
        <v>0.54273867607116699</v>
      </c>
      <c r="V154" s="1245">
        <v>0.51987588405609131</v>
      </c>
      <c r="W154" s="1245">
        <v>0.66136395931243896</v>
      </c>
      <c r="X154" s="1245">
        <v>0.50290948152542114</v>
      </c>
      <c r="Y154" s="1245">
        <v>0.52200126647949219</v>
      </c>
      <c r="Z154" s="1245">
        <v>0.6959877610206604</v>
      </c>
      <c r="AA154" s="1245">
        <v>0.72057229280471802</v>
      </c>
      <c r="AB154" s="1245">
        <v>0.48034310340881348</v>
      </c>
      <c r="AC154" s="1245">
        <v>0.68987315893173218</v>
      </c>
      <c r="AD154" s="1245">
        <v>0.52523499727249146</v>
      </c>
      <c r="AE154" s="260">
        <f>'User Add-in Location'!B159</f>
        <v>0</v>
      </c>
      <c r="AF154" s="260">
        <f>'User Add-in Location'!C159</f>
        <v>0</v>
      </c>
      <c r="AG154" s="1245">
        <v>0.59384584426879883</v>
      </c>
      <c r="AH154" s="1245">
        <v>0.36632093787193298</v>
      </c>
      <c r="AI154" s="1245">
        <v>0.53606575727462769</v>
      </c>
      <c r="AJ154" s="1245">
        <v>0.69142836332321167</v>
      </c>
      <c r="AK154" s="1245">
        <v>0.35365915298461914</v>
      </c>
      <c r="AL154" s="1245">
        <v>0.5423576831817627</v>
      </c>
      <c r="AM154" s="1245">
        <v>0.70665228366851807</v>
      </c>
      <c r="AN154" s="1245">
        <v>0.42647704482078552</v>
      </c>
      <c r="AO154" s="1245">
        <v>0.71197021007537842</v>
      </c>
      <c r="AP154" s="1245">
        <v>0.50202709436416626</v>
      </c>
      <c r="AQ154" s="1245">
        <v>0.63200736045837402</v>
      </c>
      <c r="AR154" s="1245">
        <v>0.6914592981338501</v>
      </c>
      <c r="AS154" s="1245">
        <v>0.57098853588104248</v>
      </c>
      <c r="AT154" s="1245">
        <v>0.56815105676651001</v>
      </c>
      <c r="AU154" s="1245">
        <v>0.49345478415489197</v>
      </c>
      <c r="AV154" s="1245">
        <v>0.64106667041778564</v>
      </c>
      <c r="AW154" s="1245">
        <v>0.66904920339584351</v>
      </c>
      <c r="AX154" s="1245">
        <v>1.1491043567657471</v>
      </c>
      <c r="AY154" s="1245">
        <v>0.69354462623596191</v>
      </c>
      <c r="AZ154" s="1245">
        <v>0.60115092992782593</v>
      </c>
      <c r="BA154" s="1245">
        <v>0.5390934944152832</v>
      </c>
      <c r="BB154" s="1245">
        <v>0.57104557752609253</v>
      </c>
      <c r="BC154" s="1245">
        <v>0.43364199995994568</v>
      </c>
      <c r="BD154" s="1245">
        <v>0.64005172252655029</v>
      </c>
      <c r="BE154" s="1245">
        <v>0.33644941449165344</v>
      </c>
    </row>
    <row r="155" spans="1:57" s="220" customFormat="1" x14ac:dyDescent="0.25">
      <c r="A155" s="1254"/>
      <c r="B155" s="1249"/>
      <c r="C155" s="260"/>
      <c r="D155" s="1245"/>
      <c r="E155" s="1245"/>
      <c r="F155" s="1245"/>
      <c r="G155" s="1245"/>
      <c r="H155" s="1245"/>
      <c r="I155" s="1245"/>
      <c r="J155" s="1245"/>
      <c r="K155" s="1245"/>
      <c r="L155" s="1245"/>
      <c r="M155" s="1245"/>
      <c r="N155" s="1245"/>
      <c r="O155" s="1245"/>
      <c r="P155" s="1245"/>
      <c r="Q155" s="1245"/>
      <c r="R155" s="1245"/>
      <c r="S155" s="1245"/>
      <c r="T155" s="1245"/>
      <c r="U155" s="1245"/>
      <c r="V155" s="1245"/>
      <c r="W155" s="1245"/>
      <c r="X155" s="1245"/>
      <c r="Y155" s="1245"/>
      <c r="Z155" s="1245"/>
      <c r="AA155" s="1245"/>
      <c r="AB155" s="1245"/>
      <c r="AC155" s="1245"/>
      <c r="AD155" s="1245"/>
      <c r="AE155" s="260"/>
      <c r="AF155" s="260"/>
      <c r="AG155" s="1245"/>
      <c r="AH155" s="1245"/>
      <c r="AI155" s="1245"/>
      <c r="AJ155" s="1245"/>
      <c r="AK155" s="1245"/>
      <c r="AL155" s="1245"/>
      <c r="AM155" s="1245"/>
      <c r="AN155" s="1245"/>
      <c r="AO155" s="1245"/>
      <c r="AP155" s="1245"/>
      <c r="AQ155" s="1245"/>
      <c r="AR155" s="1245"/>
      <c r="AS155" s="1245"/>
      <c r="AT155" s="1245"/>
      <c r="AU155" s="1245"/>
      <c r="AV155" s="1245"/>
      <c r="AW155" s="1245"/>
      <c r="AX155" s="1245"/>
      <c r="AY155" s="1245"/>
      <c r="AZ155" s="1245"/>
      <c r="BA155" s="1245"/>
      <c r="BB155" s="1245"/>
      <c r="BC155" s="1245"/>
      <c r="BD155" s="1245"/>
      <c r="BE155" s="1245"/>
    </row>
    <row r="156" spans="1:57" s="220" customFormat="1" ht="15.75" x14ac:dyDescent="0.3">
      <c r="A156" s="1254"/>
      <c r="B156" s="1249"/>
      <c r="C156" s="1259" t="s">
        <v>1405</v>
      </c>
      <c r="D156" s="1245"/>
      <c r="E156" s="1245"/>
      <c r="F156" s="1245"/>
      <c r="G156" s="1245"/>
      <c r="H156" s="1245"/>
      <c r="I156" s="1245"/>
      <c r="J156" s="1245"/>
      <c r="K156" s="1245"/>
      <c r="L156" s="1245"/>
      <c r="M156" s="1245"/>
      <c r="N156" s="1245"/>
      <c r="O156" s="1245"/>
      <c r="P156" s="1245"/>
      <c r="Q156" s="1245"/>
      <c r="R156" s="1245"/>
      <c r="S156" s="1245"/>
      <c r="T156" s="1245"/>
      <c r="U156" s="1245"/>
      <c r="V156" s="1245"/>
      <c r="W156" s="1245"/>
      <c r="X156" s="1245"/>
      <c r="Y156" s="1245"/>
      <c r="Z156" s="1245"/>
      <c r="AA156" s="1245"/>
      <c r="AB156" s="1245"/>
      <c r="AC156" s="1245"/>
      <c r="AD156" s="1245"/>
      <c r="AE156" s="260"/>
      <c r="AF156" s="260"/>
      <c r="AG156" s="1245"/>
      <c r="AH156" s="1245"/>
      <c r="AI156" s="1245"/>
      <c r="AJ156" s="1245"/>
      <c r="AK156" s="1245"/>
      <c r="AL156" s="1245"/>
      <c r="AM156" s="1245"/>
      <c r="AN156" s="1245"/>
      <c r="AO156" s="1245"/>
      <c r="AP156" s="1245"/>
      <c r="AQ156" s="1245"/>
      <c r="AR156" s="1245"/>
      <c r="AS156" s="1245"/>
      <c r="AT156" s="1245"/>
      <c r="AU156" s="1245"/>
      <c r="AV156" s="1245"/>
      <c r="AW156" s="1245"/>
      <c r="AX156" s="1245"/>
      <c r="AY156" s="1245"/>
      <c r="AZ156" s="1245"/>
      <c r="BA156" s="1245"/>
      <c r="BB156" s="1245"/>
      <c r="BC156" s="1245"/>
      <c r="BD156" s="1245"/>
      <c r="BE156" s="1245"/>
    </row>
    <row r="157" spans="1:57" s="220" customFormat="1" ht="15.75" x14ac:dyDescent="0.3">
      <c r="A157" s="1254"/>
      <c r="B157" s="1249"/>
      <c r="C157" s="1260" t="s">
        <v>1406</v>
      </c>
      <c r="D157" s="1245" t="s">
        <v>539</v>
      </c>
      <c r="E157" s="1245" t="s">
        <v>540</v>
      </c>
      <c r="F157" s="1245" t="s">
        <v>541</v>
      </c>
      <c r="G157" s="1245" t="s">
        <v>542</v>
      </c>
      <c r="H157" s="1245" t="s">
        <v>543</v>
      </c>
      <c r="I157" s="1245" t="s">
        <v>143</v>
      </c>
      <c r="J157" s="1245" t="s">
        <v>544</v>
      </c>
      <c r="K157" s="1245" t="s">
        <v>545</v>
      </c>
      <c r="L157" s="1245" t="s">
        <v>546</v>
      </c>
      <c r="M157" s="1245" t="s">
        <v>547</v>
      </c>
      <c r="N157" s="1245" t="s">
        <v>548</v>
      </c>
      <c r="O157" s="1245" t="s">
        <v>549</v>
      </c>
      <c r="P157" s="1245" t="s">
        <v>550</v>
      </c>
      <c r="Q157" s="1245" t="s">
        <v>551</v>
      </c>
      <c r="R157" s="1245" t="s">
        <v>552</v>
      </c>
      <c r="S157" s="1245" t="s">
        <v>553</v>
      </c>
      <c r="T157" s="1245" t="s">
        <v>554</v>
      </c>
      <c r="U157" s="1245" t="s">
        <v>555</v>
      </c>
      <c r="V157" s="1245" t="s">
        <v>556</v>
      </c>
      <c r="W157" s="1245" t="s">
        <v>557</v>
      </c>
      <c r="X157" s="1245" t="s">
        <v>558</v>
      </c>
      <c r="Y157" s="1245" t="s">
        <v>559</v>
      </c>
      <c r="Z157" s="1245" t="s">
        <v>560</v>
      </c>
      <c r="AA157" s="1245" t="s">
        <v>561</v>
      </c>
      <c r="AB157" s="1245" t="s">
        <v>562</v>
      </c>
      <c r="AC157" s="1245" t="s">
        <v>563</v>
      </c>
      <c r="AD157" s="1245" t="s">
        <v>564</v>
      </c>
      <c r="AE157" s="260" t="s">
        <v>565</v>
      </c>
      <c r="AF157" s="260" t="s">
        <v>566</v>
      </c>
      <c r="AG157" s="1245" t="s">
        <v>567</v>
      </c>
      <c r="AH157" s="1245" t="s">
        <v>568</v>
      </c>
      <c r="AI157" s="1245" t="s">
        <v>569</v>
      </c>
      <c r="AJ157" s="1245" t="s">
        <v>570</v>
      </c>
      <c r="AK157" s="1245" t="s">
        <v>571</v>
      </c>
      <c r="AL157" s="1245" t="s">
        <v>572</v>
      </c>
      <c r="AM157" s="1245" t="s">
        <v>573</v>
      </c>
      <c r="AN157" s="1245" t="s">
        <v>574</v>
      </c>
      <c r="AO157" s="1245" t="s">
        <v>575</v>
      </c>
      <c r="AP157" s="1245" t="s">
        <v>576</v>
      </c>
      <c r="AQ157" s="1245" t="s">
        <v>577</v>
      </c>
      <c r="AR157" s="1245" t="s">
        <v>578</v>
      </c>
      <c r="AS157" s="1245" t="s">
        <v>579</v>
      </c>
      <c r="AT157" s="1245" t="s">
        <v>580</v>
      </c>
      <c r="AU157" s="1245" t="s">
        <v>581</v>
      </c>
      <c r="AV157" s="1245" t="s">
        <v>582</v>
      </c>
      <c r="AW157" s="1245" t="s">
        <v>583</v>
      </c>
      <c r="AX157" s="1245" t="s">
        <v>1404</v>
      </c>
      <c r="AY157" s="1245" t="s">
        <v>584</v>
      </c>
      <c r="AZ157" s="1245" t="s">
        <v>585</v>
      </c>
      <c r="BA157" s="1245" t="s">
        <v>586</v>
      </c>
      <c r="BB157" s="1245" t="s">
        <v>587</v>
      </c>
      <c r="BC157" s="1245" t="s">
        <v>588</v>
      </c>
      <c r="BD157" s="1245" t="s">
        <v>589</v>
      </c>
      <c r="BE157" s="1245" t="s">
        <v>590</v>
      </c>
    </row>
    <row r="158" spans="1:57" s="220" customFormat="1" ht="15.75" x14ac:dyDescent="0.3">
      <c r="A158" s="1254"/>
      <c r="B158" s="1249"/>
      <c r="C158" s="1224" t="s">
        <v>592</v>
      </c>
      <c r="D158" s="1245">
        <v>0.50424414873123169</v>
      </c>
      <c r="E158" s="1245">
        <v>0.67526787519454956</v>
      </c>
      <c r="F158" s="1245">
        <v>0.64396822452545166</v>
      </c>
      <c r="G158" s="1245">
        <v>0.47738602757453918</v>
      </c>
      <c r="H158" s="1245">
        <v>0.75849121809005737</v>
      </c>
      <c r="I158" s="1245">
        <v>0.51432442665100098</v>
      </c>
      <c r="J158" s="1245">
        <v>0.69389969110488892</v>
      </c>
      <c r="K158" s="1245">
        <v>0.45536899566650391</v>
      </c>
      <c r="L158" s="1245">
        <v>0.19533370435237885</v>
      </c>
      <c r="M158" s="1245">
        <v>0.73229837417602539</v>
      </c>
      <c r="N158" s="1245">
        <v>0.54175657033920288</v>
      </c>
      <c r="O158" s="1245">
        <v>0.73451226949691772</v>
      </c>
      <c r="P158" s="1245">
        <v>0.56518316268920898</v>
      </c>
      <c r="Q158" s="1245">
        <v>0.47667232155799866</v>
      </c>
      <c r="R158" s="1245">
        <v>0.52342331409454346</v>
      </c>
      <c r="S158" s="1245">
        <v>0.56665945053100586</v>
      </c>
      <c r="T158" s="1245">
        <v>0.46271547675132751</v>
      </c>
      <c r="U158" s="1245">
        <v>0.5524059534072876</v>
      </c>
      <c r="V158" s="1245">
        <v>0.55842339992523193</v>
      </c>
      <c r="W158" s="1245">
        <v>0.61361747980117798</v>
      </c>
      <c r="X158" s="1245">
        <v>0.49721989035606384</v>
      </c>
      <c r="Y158" s="1245">
        <v>0.74297785758972168</v>
      </c>
      <c r="Z158" s="1245">
        <v>0.5746530294418335</v>
      </c>
      <c r="AA158" s="1245">
        <v>0.55140715837478638</v>
      </c>
      <c r="AB158" s="1245">
        <v>0.53215336799621582</v>
      </c>
      <c r="AC158" s="1245">
        <v>0.53555643558502197</v>
      </c>
      <c r="AD158" s="1245">
        <v>0.43729567527770996</v>
      </c>
      <c r="AE158" s="260">
        <f>'User Add-in Location'!B163</f>
        <v>0</v>
      </c>
      <c r="AF158" s="260">
        <f>'User Add-in Location'!C163</f>
        <v>0</v>
      </c>
      <c r="AG158" s="1245">
        <v>0.46103888750076294</v>
      </c>
      <c r="AH158" s="1245">
        <v>0.58860224485397339</v>
      </c>
      <c r="AI158" s="1245">
        <v>0.60075926780700684</v>
      </c>
      <c r="AJ158" s="1245">
        <v>0.74894177913665771</v>
      </c>
      <c r="AK158" s="1245">
        <v>0.5681689977645874</v>
      </c>
      <c r="AL158" s="1245">
        <v>0.59071314334869385</v>
      </c>
      <c r="AM158" s="1245">
        <v>0.61706876754760742</v>
      </c>
      <c r="AN158" s="1245">
        <v>0.46927353739738464</v>
      </c>
      <c r="AO158" s="1245">
        <v>0.54528665542602539</v>
      </c>
      <c r="AP158" s="1245">
        <v>0.53898674249649048</v>
      </c>
      <c r="AQ158" s="1245">
        <v>0.66797447204589844</v>
      </c>
      <c r="AR158" s="1245">
        <v>0.56956601142883301</v>
      </c>
      <c r="AS158" s="1245">
        <v>0.6860431432723999</v>
      </c>
      <c r="AT158" s="1245">
        <v>0.5615379810333252</v>
      </c>
      <c r="AU158" s="1245">
        <v>0.48392003774642944</v>
      </c>
      <c r="AV158" s="1245">
        <v>0.54671818017959595</v>
      </c>
      <c r="AW158" s="1245">
        <v>0.52713954448699951</v>
      </c>
      <c r="AX158" s="1245">
        <v>0.5759427547454834</v>
      </c>
      <c r="AY158" s="1245">
        <v>0.59457480907440186</v>
      </c>
      <c r="AZ158" s="1245">
        <v>0.57605361938476563</v>
      </c>
      <c r="BA158" s="1245">
        <v>0.55227828025817871</v>
      </c>
      <c r="BB158" s="1245">
        <v>0.70770931243896484</v>
      </c>
      <c r="BC158" s="1245">
        <v>0.52408838272094727</v>
      </c>
      <c r="BD158" s="1245">
        <v>0.53803354501724243</v>
      </c>
      <c r="BE158" s="1245">
        <v>0.53014153242111206</v>
      </c>
    </row>
    <row r="159" spans="1:57" s="220" customFormat="1" ht="15.75" x14ac:dyDescent="0.3">
      <c r="A159" s="1254"/>
      <c r="B159" s="1249"/>
      <c r="C159" s="1224" t="s">
        <v>593</v>
      </c>
      <c r="D159" s="1245">
        <v>0.48979771137237549</v>
      </c>
      <c r="E159" s="1245">
        <v>0.84158658981323242</v>
      </c>
      <c r="F159" s="1245">
        <v>0.43124273419380188</v>
      </c>
      <c r="G159" s="1245">
        <v>0.4699055552482605</v>
      </c>
      <c r="H159" s="1245">
        <v>0.67735278606414795</v>
      </c>
      <c r="I159" s="1245">
        <v>0.62411272525787354</v>
      </c>
      <c r="J159" s="1245">
        <v>0.34601148962974548</v>
      </c>
      <c r="K159" s="1245">
        <v>0.31959393620491028</v>
      </c>
      <c r="L159" s="1245">
        <v>0.14347924292087555</v>
      </c>
      <c r="M159" s="1245">
        <v>0.22117097675800323</v>
      </c>
      <c r="N159" s="1245">
        <v>0.4328123927116394</v>
      </c>
      <c r="O159" s="1245">
        <v>0.29262754321098328</v>
      </c>
      <c r="P159" s="1245">
        <v>0.37038236856460571</v>
      </c>
      <c r="Q159" s="1245">
        <v>0.38636079430580139</v>
      </c>
      <c r="R159" s="1245">
        <v>0.35808819532394409</v>
      </c>
      <c r="S159" s="1245">
        <v>0.36369422078132629</v>
      </c>
      <c r="T159" s="1245">
        <v>0.25686752796173096</v>
      </c>
      <c r="U159" s="1245">
        <v>0.38286441564559937</v>
      </c>
      <c r="V159" s="1245">
        <v>0.69897764921188354</v>
      </c>
      <c r="W159" s="1245">
        <v>6.6726192831993103E-2</v>
      </c>
      <c r="X159" s="1245">
        <v>0.14967849850654602</v>
      </c>
      <c r="Y159" s="1245">
        <v>0.18429121375083923</v>
      </c>
      <c r="Z159" s="1245">
        <v>0.24203479290008545</v>
      </c>
      <c r="AA159" s="1245">
        <v>0.48182868957519531</v>
      </c>
      <c r="AB159" s="1245">
        <v>0.43047848343849182</v>
      </c>
      <c r="AC159" s="1245">
        <v>0.35874274373054504</v>
      </c>
      <c r="AD159" s="1245">
        <v>0.44427981972694397</v>
      </c>
      <c r="AE159" s="260">
        <f>'User Add-in Location'!B164</f>
        <v>0</v>
      </c>
      <c r="AF159" s="260">
        <f>'User Add-in Location'!C164</f>
        <v>0</v>
      </c>
      <c r="AG159" s="1245">
        <v>0.37596458196640015</v>
      </c>
      <c r="AH159" s="1245">
        <v>0.53514057397842407</v>
      </c>
      <c r="AI159" s="1245">
        <v>0.33316773176193237</v>
      </c>
      <c r="AJ159" s="1245">
        <v>0.29466736316680908</v>
      </c>
      <c r="AK159" s="1245">
        <v>0.60246801376342773</v>
      </c>
      <c r="AL159" s="1245">
        <v>0.25011241436004639</v>
      </c>
      <c r="AM159" s="1245">
        <v>0.44154667854309082</v>
      </c>
      <c r="AN159" s="1245">
        <v>0.69057905673980713</v>
      </c>
      <c r="AO159" s="1245">
        <v>0.38874945044517517</v>
      </c>
      <c r="AP159" s="1245">
        <v>0.55141031742095947</v>
      </c>
      <c r="AQ159" s="1245">
        <v>0.24252688884735107</v>
      </c>
      <c r="AR159" s="1245">
        <v>0.5751800537109375</v>
      </c>
      <c r="AS159" s="1245">
        <v>0.25648283958435059</v>
      </c>
      <c r="AT159" s="1245">
        <v>0.31850904226303101</v>
      </c>
      <c r="AU159" s="1245">
        <v>0.28108453750610352</v>
      </c>
      <c r="AV159" s="1245">
        <v>0.40460532903671265</v>
      </c>
      <c r="AW159" s="1245">
        <v>0.72671818733215332</v>
      </c>
      <c r="AX159" s="1245">
        <v>0.62030529975891113</v>
      </c>
      <c r="AY159" s="1245">
        <v>0.55717617273330688</v>
      </c>
      <c r="AZ159" s="1245">
        <v>0.46396633982658386</v>
      </c>
      <c r="BA159" s="1245">
        <v>0.38282433152198792</v>
      </c>
      <c r="BB159" s="1245">
        <v>0.32673206925392151</v>
      </c>
      <c r="BC159" s="1245">
        <v>0.42423367500305176</v>
      </c>
      <c r="BD159" s="1245">
        <v>0.49484559893608093</v>
      </c>
      <c r="BE159" s="1245">
        <v>0.67814290523529053</v>
      </c>
    </row>
    <row r="160" spans="1:57" s="220" customFormat="1" ht="15.75" x14ac:dyDescent="0.3">
      <c r="A160" s="1254"/>
      <c r="B160" s="1249"/>
      <c r="C160" s="1224" t="s">
        <v>595</v>
      </c>
      <c r="D160" s="1245">
        <v>0.37553167343139648</v>
      </c>
      <c r="E160" s="1245">
        <v>0.51874905824661255</v>
      </c>
      <c r="F160" s="1245">
        <v>0.43433481454849243</v>
      </c>
      <c r="G160" s="1245">
        <v>0.34442335367202759</v>
      </c>
      <c r="H160" s="1245">
        <v>0.43802809715270996</v>
      </c>
      <c r="I160" s="1245">
        <v>0.39802560210227966</v>
      </c>
      <c r="J160" s="1245">
        <v>0.414131760597229</v>
      </c>
      <c r="K160" s="1245">
        <v>0.39379024505615234</v>
      </c>
      <c r="L160" s="1245">
        <v>0.48728728294372559</v>
      </c>
      <c r="M160" s="1245">
        <v>0.40639245510101318</v>
      </c>
      <c r="N160" s="1245">
        <v>0.37469714879989624</v>
      </c>
      <c r="O160" s="1245">
        <v>0.51016062498092651</v>
      </c>
      <c r="P160" s="1245">
        <v>0.32925111055374146</v>
      </c>
      <c r="Q160" s="1245">
        <v>0.45214009284973145</v>
      </c>
      <c r="R160" s="1245">
        <v>0.38561004400253296</v>
      </c>
      <c r="S160" s="1245">
        <v>0.39774155616760254</v>
      </c>
      <c r="T160" s="1245">
        <v>0.37633466720581055</v>
      </c>
      <c r="U160" s="1245">
        <v>0.38281214237213135</v>
      </c>
      <c r="V160" s="1245">
        <v>0.43005487322807312</v>
      </c>
      <c r="W160" s="1245">
        <v>0.30468118190765381</v>
      </c>
      <c r="X160" s="1245">
        <v>0.43645495176315308</v>
      </c>
      <c r="Y160" s="1245">
        <v>0.42516887187957764</v>
      </c>
      <c r="Z160" s="1245">
        <v>0.37805160880088806</v>
      </c>
      <c r="AA160" s="1245">
        <v>0.4466434121131897</v>
      </c>
      <c r="AB160" s="1245">
        <v>0.36894333362579346</v>
      </c>
      <c r="AC160" s="1245">
        <v>0.363197922706604</v>
      </c>
      <c r="AD160" s="1245">
        <v>0.36367535591125488</v>
      </c>
      <c r="AE160" s="260">
        <f>'User Add-in Location'!B165</f>
        <v>0</v>
      </c>
      <c r="AF160" s="260">
        <f>'User Add-in Location'!C165</f>
        <v>0</v>
      </c>
      <c r="AG160" s="1245">
        <v>0.41589957475662231</v>
      </c>
      <c r="AH160" s="1245">
        <v>0.46875208616256714</v>
      </c>
      <c r="AI160" s="1245">
        <v>0.33019822835922241</v>
      </c>
      <c r="AJ160" s="1245">
        <v>0.46031272411346436</v>
      </c>
      <c r="AK160" s="1245">
        <v>0.39510858058929443</v>
      </c>
      <c r="AL160" s="1245">
        <v>0.47305101156234741</v>
      </c>
      <c r="AM160" s="1245">
        <v>0.35866385698318481</v>
      </c>
      <c r="AN160" s="1245">
        <v>0.45240575075149536</v>
      </c>
      <c r="AO160" s="1245">
        <v>0.37791028618812561</v>
      </c>
      <c r="AP160" s="1245">
        <v>0.36930108070373535</v>
      </c>
      <c r="AQ160" s="1245">
        <v>0.4082091748714447</v>
      </c>
      <c r="AR160" s="1245">
        <v>0.39685112237930298</v>
      </c>
      <c r="AS160" s="1245">
        <v>0.44564151763916016</v>
      </c>
      <c r="AT160" s="1245">
        <v>0.37823575735092163</v>
      </c>
      <c r="AU160" s="1245">
        <v>0.35280954837799072</v>
      </c>
      <c r="AV160" s="1245">
        <v>0.3499806821346283</v>
      </c>
      <c r="AW160" s="1245">
        <v>0.44290107488632202</v>
      </c>
      <c r="AX160" s="1245">
        <v>0.41546076536178589</v>
      </c>
      <c r="AY160" s="1245">
        <v>0.42713969945907593</v>
      </c>
      <c r="AZ160" s="1245">
        <v>0.30109208822250366</v>
      </c>
      <c r="BA160" s="1245">
        <v>0.39778441190719604</v>
      </c>
      <c r="BB160" s="1245">
        <v>0.45316210389137268</v>
      </c>
      <c r="BC160" s="1245">
        <v>0.44775894284248352</v>
      </c>
      <c r="BD160" s="1245">
        <v>0.38622736930847168</v>
      </c>
      <c r="BE160" s="1245">
        <v>0.47975653409957886</v>
      </c>
    </row>
    <row r="161" spans="1:57" s="220" customFormat="1" ht="15.75" x14ac:dyDescent="0.3">
      <c r="A161" s="1254"/>
      <c r="B161" s="1249"/>
      <c r="C161" s="1224" t="s">
        <v>596</v>
      </c>
      <c r="D161" s="1245">
        <v>0.23354128003120422</v>
      </c>
      <c r="E161" s="1245">
        <v>0.17091809213161469</v>
      </c>
      <c r="F161" s="1245">
        <v>0.2828947901725769</v>
      </c>
      <c r="G161" s="1245">
        <v>0.22446076571941376</v>
      </c>
      <c r="H161" s="1245">
        <v>0.31304657459259033</v>
      </c>
      <c r="I161" s="1245">
        <v>0.29479125142097473</v>
      </c>
      <c r="J161" s="1245">
        <v>0.34335905313491821</v>
      </c>
      <c r="K161" s="1245">
        <v>0.21175193786621094</v>
      </c>
      <c r="L161" s="1245">
        <v>0.36138606071472168</v>
      </c>
      <c r="M161" s="1245">
        <v>0.27029836177825928</v>
      </c>
      <c r="N161" s="1245">
        <v>0.28081220388412476</v>
      </c>
      <c r="O161" s="1245">
        <v>0.16664054989814758</v>
      </c>
      <c r="P161" s="1245">
        <v>0.19283029437065125</v>
      </c>
      <c r="Q161" s="1245">
        <v>0.27503806352615356</v>
      </c>
      <c r="R161" s="1245">
        <v>0.28206318616867065</v>
      </c>
      <c r="S161" s="1245">
        <v>0.22692137956619263</v>
      </c>
      <c r="T161" s="1245">
        <v>0.19458138942718506</v>
      </c>
      <c r="U161" s="1245">
        <v>0.23546051979064941</v>
      </c>
      <c r="V161" s="1245">
        <v>0.22349625825881958</v>
      </c>
      <c r="W161" s="1245">
        <v>0.21713751554489136</v>
      </c>
      <c r="X161" s="1245">
        <v>0.34444081783294678</v>
      </c>
      <c r="Y161" s="1245">
        <v>0.34954386949539185</v>
      </c>
      <c r="Z161" s="1245">
        <v>0.26227807998657227</v>
      </c>
      <c r="AA161" s="1245">
        <v>0.27622225880622864</v>
      </c>
      <c r="AB161" s="1245">
        <v>0.18817761540412903</v>
      </c>
      <c r="AC161" s="1245">
        <v>0.24424803256988525</v>
      </c>
      <c r="AD161" s="1245">
        <v>0.16402070224285126</v>
      </c>
      <c r="AE161" s="260">
        <f>'User Add-in Location'!B166</f>
        <v>0</v>
      </c>
      <c r="AF161" s="260">
        <f>'User Add-in Location'!C166</f>
        <v>0</v>
      </c>
      <c r="AG161" s="1245">
        <v>0.21615272760391235</v>
      </c>
      <c r="AH161" s="1245">
        <v>0.30936625599861145</v>
      </c>
      <c r="AI161" s="1245">
        <v>0.30686444044113159</v>
      </c>
      <c r="AJ161" s="1245">
        <v>0.27392417192459106</v>
      </c>
      <c r="AK161" s="1245">
        <v>0.17892944812774658</v>
      </c>
      <c r="AL161" s="1245">
        <v>0.30828157067298889</v>
      </c>
      <c r="AM161" s="1245">
        <v>0.34152054786682129</v>
      </c>
      <c r="AN161" s="1245">
        <v>0.20762717723846436</v>
      </c>
      <c r="AO161" s="1245">
        <v>0.26088845729827881</v>
      </c>
      <c r="AP161" s="1245">
        <v>0.2138439416885376</v>
      </c>
      <c r="AQ161" s="1245">
        <v>0.26693433523178101</v>
      </c>
      <c r="AR161" s="1245">
        <v>0.26338651776313782</v>
      </c>
      <c r="AS161" s="1245">
        <v>0.27359682321548462</v>
      </c>
      <c r="AT161" s="1245">
        <v>0.24412515759468079</v>
      </c>
      <c r="AU161" s="1245">
        <v>0.20893937349319458</v>
      </c>
      <c r="AV161" s="1245">
        <v>0.26439735293388367</v>
      </c>
      <c r="AW161" s="1245">
        <v>0.24605011940002441</v>
      </c>
      <c r="AX161" s="1245">
        <v>0.269584059715271</v>
      </c>
      <c r="AY161" s="1245">
        <v>0.25126257538795471</v>
      </c>
      <c r="AZ161" s="1245">
        <v>0.1985633373260498</v>
      </c>
      <c r="BA161" s="1245">
        <v>0.34967878460884094</v>
      </c>
      <c r="BB161" s="1245">
        <v>0.30482667684555054</v>
      </c>
      <c r="BC161" s="1245">
        <v>0.2011299729347229</v>
      </c>
      <c r="BD161" s="1245">
        <v>0.26586779952049255</v>
      </c>
      <c r="BE161" s="1245">
        <v>0.13027171790599823</v>
      </c>
    </row>
    <row r="162" spans="1:57" s="220" customFormat="1" ht="15.75" x14ac:dyDescent="0.3">
      <c r="A162" s="1254"/>
      <c r="B162" s="1249"/>
      <c r="C162" s="1224" t="s">
        <v>1407</v>
      </c>
      <c r="D162" s="1245">
        <v>0.3334154486656189</v>
      </c>
      <c r="E162" s="1245">
        <v>0.25926744937896729</v>
      </c>
      <c r="F162" s="1245">
        <v>0.28524085879325867</v>
      </c>
      <c r="G162" s="1245">
        <v>0.36087986826896667</v>
      </c>
      <c r="H162" s="1245">
        <v>0.33153721690177917</v>
      </c>
      <c r="I162" s="1245">
        <v>0.34243497252464294</v>
      </c>
      <c r="J162" s="1245">
        <v>0.37593764066696167</v>
      </c>
      <c r="K162" s="1245">
        <v>0.33703377842903137</v>
      </c>
      <c r="L162" s="1245">
        <v>0</v>
      </c>
      <c r="M162" s="1245">
        <v>0.30748486518859863</v>
      </c>
      <c r="N162" s="1245">
        <v>0.32897704839706421</v>
      </c>
      <c r="O162" s="1245">
        <v>0.27156558632850647</v>
      </c>
      <c r="P162" s="1245">
        <v>0.25842329859733582</v>
      </c>
      <c r="Q162" s="1245">
        <v>0.35272407531738281</v>
      </c>
      <c r="R162" s="1245">
        <v>0.33492976427078247</v>
      </c>
      <c r="S162" s="1245">
        <v>0.30193632841110229</v>
      </c>
      <c r="T162" s="1245">
        <v>0.32146477699279785</v>
      </c>
      <c r="U162" s="1245">
        <v>0.32885268330574036</v>
      </c>
      <c r="V162" s="1245">
        <v>0.36938807368278503</v>
      </c>
      <c r="W162" s="1245">
        <v>0.31709447503089905</v>
      </c>
      <c r="X162" s="1245">
        <v>0.32458120584487915</v>
      </c>
      <c r="Y162" s="1245">
        <v>0.39276406168937683</v>
      </c>
      <c r="Z162" s="1245">
        <v>0.33672195672988892</v>
      </c>
      <c r="AA162" s="1245">
        <v>0.36668401956558228</v>
      </c>
      <c r="AB162" s="1245">
        <v>0.28141385316848755</v>
      </c>
      <c r="AC162" s="1245">
        <v>0.3292711079120636</v>
      </c>
      <c r="AD162" s="1245">
        <v>0.27791374921798706</v>
      </c>
      <c r="AE162" s="260">
        <f>'User Add-in Location'!B167</f>
        <v>0</v>
      </c>
      <c r="AF162" s="260">
        <f>'User Add-in Location'!C167</f>
        <v>0</v>
      </c>
      <c r="AG162" s="1245">
        <v>0.35012215375900269</v>
      </c>
      <c r="AH162" s="1245">
        <v>0.31956231594085693</v>
      </c>
      <c r="AI162" s="1245">
        <v>0.34912237524986267</v>
      </c>
      <c r="AJ162" s="1245">
        <v>0.36216112971305847</v>
      </c>
      <c r="AK162" s="1245">
        <v>0.21639516949653625</v>
      </c>
      <c r="AL162" s="1245">
        <v>0.34369349479675293</v>
      </c>
      <c r="AM162" s="1245">
        <v>0.31300029158592224</v>
      </c>
      <c r="AN162" s="1245">
        <v>0.32501274347305298</v>
      </c>
      <c r="AO162" s="1245">
        <v>0.34923505783081055</v>
      </c>
      <c r="AP162" s="1245">
        <v>0.3835720419883728</v>
      </c>
      <c r="AQ162" s="1245">
        <v>0.32062080502510071</v>
      </c>
      <c r="AR162" s="1245">
        <v>0.33293095231056213</v>
      </c>
      <c r="AS162" s="1245">
        <v>0.2599814236164093</v>
      </c>
      <c r="AT162" s="1245">
        <v>0.35180163383483887</v>
      </c>
      <c r="AU162" s="1245">
        <v>0.30876505374908447</v>
      </c>
      <c r="AV162" s="1245">
        <v>0.35241228342056274</v>
      </c>
      <c r="AW162" s="1245">
        <v>0.36300253868103027</v>
      </c>
      <c r="AX162" s="1245">
        <v>0.34463921189308167</v>
      </c>
      <c r="AY162" s="1245">
        <v>0.30795034766197205</v>
      </c>
      <c r="AZ162" s="1245">
        <v>0.30435237288475037</v>
      </c>
      <c r="BA162" s="1245">
        <v>0.38878336548805237</v>
      </c>
      <c r="BB162" s="1245">
        <v>0.36855486035346985</v>
      </c>
      <c r="BC162" s="1245">
        <v>0.26275160908699036</v>
      </c>
      <c r="BD162" s="1245">
        <v>0.34251651167869568</v>
      </c>
      <c r="BE162" s="1245">
        <v>0.30570399761199951</v>
      </c>
    </row>
    <row r="163" spans="1:57" s="220" customFormat="1" ht="15.75" x14ac:dyDescent="0.3">
      <c r="A163" s="1254"/>
      <c r="B163" s="1249"/>
      <c r="C163" s="1224" t="s">
        <v>599</v>
      </c>
      <c r="D163" s="1245">
        <v>0.19938060641288757</v>
      </c>
      <c r="E163" s="1245">
        <v>0.19998127222061157</v>
      </c>
      <c r="F163" s="1245">
        <v>0.29544246196746826</v>
      </c>
      <c r="G163" s="1245">
        <v>0.21752795577049255</v>
      </c>
      <c r="H163" s="1245">
        <v>0.30251145362854004</v>
      </c>
      <c r="I163" s="1245">
        <v>0.20516471564769745</v>
      </c>
      <c r="J163" s="1245">
        <v>0.29549726843833923</v>
      </c>
      <c r="K163" s="1245">
        <v>0.32128521800041199</v>
      </c>
      <c r="L163" s="1245">
        <v>5.68656325340271E-2</v>
      </c>
      <c r="M163" s="1245">
        <v>0.19282262027263641</v>
      </c>
      <c r="N163" s="1245">
        <v>0.27193588018417358</v>
      </c>
      <c r="O163" s="1245">
        <v>7.9796187579631805E-2</v>
      </c>
      <c r="P163" s="1245">
        <v>0.19599002599716187</v>
      </c>
      <c r="Q163" s="1245">
        <v>0.34180209040641785</v>
      </c>
      <c r="R163" s="1245">
        <v>0.2316608726978302</v>
      </c>
      <c r="S163" s="1245">
        <v>0.31102955341339111</v>
      </c>
      <c r="T163" s="1245">
        <v>0.19322606921195984</v>
      </c>
      <c r="U163" s="1245">
        <v>0.21472352743148804</v>
      </c>
      <c r="V163" s="1245">
        <v>0.2232418954372406</v>
      </c>
      <c r="W163" s="1245">
        <v>0.23029355704784393</v>
      </c>
      <c r="X163" s="1245">
        <v>0.16788119077682495</v>
      </c>
      <c r="Y163" s="1245">
        <v>0.31367993354797363</v>
      </c>
      <c r="Z163" s="1245">
        <v>0.27787035703659058</v>
      </c>
      <c r="AA163" s="1245">
        <v>0.24121341109275818</v>
      </c>
      <c r="AB163" s="1245">
        <v>0.19489863514900208</v>
      </c>
      <c r="AC163" s="1245">
        <v>0.1262073814868927</v>
      </c>
      <c r="AD163" s="1245">
        <v>9.4265803694725037E-2</v>
      </c>
      <c r="AE163" s="260">
        <f>'User Add-in Location'!B168</f>
        <v>0</v>
      </c>
      <c r="AF163" s="260">
        <f>'User Add-in Location'!C168</f>
        <v>0</v>
      </c>
      <c r="AG163" s="1245">
        <v>0.31564843654632568</v>
      </c>
      <c r="AH163" s="1245">
        <v>0.20809844136238098</v>
      </c>
      <c r="AI163" s="1245">
        <v>0.44761037826538086</v>
      </c>
      <c r="AJ163" s="1245">
        <v>0.32838395237922668</v>
      </c>
      <c r="AK163" s="1245">
        <v>0.15247949957847595</v>
      </c>
      <c r="AL163" s="1245">
        <v>0.30127441883087158</v>
      </c>
      <c r="AM163" s="1245">
        <v>0.3431171178817749</v>
      </c>
      <c r="AN163" s="1245">
        <v>0.27394726872444153</v>
      </c>
      <c r="AO163" s="1245">
        <v>0.27780348062515259</v>
      </c>
      <c r="AP163" s="1245">
        <v>0.33325099945068359</v>
      </c>
      <c r="AQ163" s="1245">
        <v>0.24773679673671722</v>
      </c>
      <c r="AR163" s="1245">
        <v>0.27396887540817261</v>
      </c>
      <c r="AS163" s="1245">
        <v>0.34547042846679688</v>
      </c>
      <c r="AT163" s="1245">
        <v>0.27743840217590332</v>
      </c>
      <c r="AU163" s="1245">
        <v>0.2148195207118988</v>
      </c>
      <c r="AV163" s="1245">
        <v>0.25295570492744446</v>
      </c>
      <c r="AW163" s="1245">
        <v>0.30720329284667969</v>
      </c>
      <c r="AX163" s="1245">
        <v>0.27470982074737549</v>
      </c>
      <c r="AY163" s="1245">
        <v>0.23079165816307068</v>
      </c>
      <c r="AZ163" s="1245">
        <v>0.34185546636581421</v>
      </c>
      <c r="BA163" s="1245">
        <v>0.27974194288253784</v>
      </c>
      <c r="BB163" s="1245">
        <v>0.26457270979881287</v>
      </c>
      <c r="BC163" s="1245">
        <v>0.27954354882240295</v>
      </c>
      <c r="BD163" s="1245">
        <v>0.24629314243793488</v>
      </c>
      <c r="BE163" s="1245">
        <v>0.12977989017963409</v>
      </c>
    </row>
    <row r="164" spans="1:57" s="220" customFormat="1" ht="15.75" x14ac:dyDescent="0.3">
      <c r="A164" s="1254"/>
      <c r="B164" s="1249"/>
      <c r="C164" s="1224" t="s">
        <v>1408</v>
      </c>
      <c r="D164" s="1245">
        <v>0.25491926074028015</v>
      </c>
      <c r="E164" s="1245">
        <v>0</v>
      </c>
      <c r="F164" s="1245">
        <v>0.32142481207847595</v>
      </c>
      <c r="G164" s="1245">
        <v>0.26802176237106323</v>
      </c>
      <c r="H164" s="1245">
        <v>0.40665298700332642</v>
      </c>
      <c r="I164" s="1245">
        <v>0.29897242784500122</v>
      </c>
      <c r="J164" s="1245">
        <v>0.3350600004196167</v>
      </c>
      <c r="K164" s="1245">
        <v>0.36432507634162903</v>
      </c>
      <c r="L164" s="1245">
        <v>0.57924866676330566</v>
      </c>
      <c r="M164" s="1245">
        <v>0.29529684782028198</v>
      </c>
      <c r="N164" s="1245">
        <v>0.28016254305839539</v>
      </c>
      <c r="O164" s="1245">
        <v>0.28410571813583374</v>
      </c>
      <c r="P164" s="1245">
        <v>0.32563406229019165</v>
      </c>
      <c r="Q164" s="1245">
        <v>0.35180968046188354</v>
      </c>
      <c r="R164" s="1245">
        <v>0.36607074737548828</v>
      </c>
      <c r="S164" s="1245">
        <v>0.2859666645526886</v>
      </c>
      <c r="T164" s="1245">
        <v>0.35914629697799683</v>
      </c>
      <c r="U164" s="1245">
        <v>0.2519567608833313</v>
      </c>
      <c r="V164" s="1245">
        <v>0.35354095697402954</v>
      </c>
      <c r="W164" s="1245">
        <v>0.34028452634811401</v>
      </c>
      <c r="X164" s="1245">
        <v>0.30916747450828552</v>
      </c>
      <c r="Y164" s="1245">
        <v>0.36091846227645874</v>
      </c>
      <c r="Z164" s="1245">
        <v>0.24647538363933563</v>
      </c>
      <c r="AA164" s="1245">
        <v>0.24076443910598755</v>
      </c>
      <c r="AB164" s="1245">
        <v>0.18719156086444855</v>
      </c>
      <c r="AC164" s="1245">
        <v>0.46239680051803589</v>
      </c>
      <c r="AD164" s="1245">
        <v>0.1483234167098999</v>
      </c>
      <c r="AE164" s="260">
        <f>'User Add-in Location'!B169</f>
        <v>0</v>
      </c>
      <c r="AF164" s="260">
        <f>'User Add-in Location'!C169</f>
        <v>0</v>
      </c>
      <c r="AG164" s="1245">
        <v>0.33438414335250854</v>
      </c>
      <c r="AH164" s="1245">
        <v>0.48191541433334351</v>
      </c>
      <c r="AI164" s="1245">
        <v>0.30428919196128845</v>
      </c>
      <c r="AJ164" s="1245">
        <v>0.31450337171554565</v>
      </c>
      <c r="AK164" s="1245">
        <v>0.46016871929168701</v>
      </c>
      <c r="AL164" s="1245">
        <v>0.28106766939163208</v>
      </c>
      <c r="AM164" s="1245">
        <v>0.32458078861236572</v>
      </c>
      <c r="AN164" s="1245">
        <v>0.19788344204425812</v>
      </c>
      <c r="AO164" s="1245">
        <v>0.28638860583305359</v>
      </c>
      <c r="AP164" s="1245">
        <v>0.29194074869155884</v>
      </c>
      <c r="AQ164" s="1245">
        <v>0.67159843444824219</v>
      </c>
      <c r="AR164" s="1245">
        <v>0.33805370330810547</v>
      </c>
      <c r="AS164" s="1245">
        <v>0.24410334229469299</v>
      </c>
      <c r="AT164" s="1245">
        <v>0.38518643379211426</v>
      </c>
      <c r="AU164" s="1245">
        <v>0.21638785302639008</v>
      </c>
      <c r="AV164" s="1245">
        <v>0.36556684970855713</v>
      </c>
      <c r="AW164" s="1245">
        <v>0.3823811411857605</v>
      </c>
      <c r="AX164" s="1245">
        <v>0.41597437858581543</v>
      </c>
      <c r="AY164" s="1245">
        <v>0.231302410364151</v>
      </c>
      <c r="AZ164" s="1245">
        <v>0.18012963235378265</v>
      </c>
      <c r="BA164" s="1245">
        <v>0.27051845192909241</v>
      </c>
      <c r="BB164" s="1245">
        <v>0.31392258405685425</v>
      </c>
      <c r="BC164" s="1245">
        <v>0.20322722196578979</v>
      </c>
      <c r="BD164" s="1245">
        <v>0.25829565525054932</v>
      </c>
      <c r="BE164" s="1245">
        <v>0.18523848056793213</v>
      </c>
    </row>
    <row r="165" spans="1:57" s="220" customFormat="1" ht="15.75" x14ac:dyDescent="0.3">
      <c r="A165" s="1254"/>
      <c r="B165" s="1249"/>
      <c r="C165" s="1224" t="s">
        <v>602</v>
      </c>
      <c r="D165" s="1245">
        <v>0.34620967507362366</v>
      </c>
      <c r="E165" s="1245">
        <v>0.57495343685150146</v>
      </c>
      <c r="F165" s="1245">
        <v>0.4291648268699646</v>
      </c>
      <c r="G165" s="1245">
        <v>0.40221738815307617</v>
      </c>
      <c r="H165" s="1245">
        <v>0.43628072738647461</v>
      </c>
      <c r="I165" s="1245">
        <v>0.44417107105255127</v>
      </c>
      <c r="J165" s="1245">
        <v>0.45947578549385071</v>
      </c>
      <c r="K165" s="1245">
        <v>0.36396294832229614</v>
      </c>
      <c r="L165" s="1245">
        <v>0.45344072580337524</v>
      </c>
      <c r="M165" s="1245">
        <v>0.42526578903198242</v>
      </c>
      <c r="N165" s="1245">
        <v>0.40202033519744873</v>
      </c>
      <c r="O165" s="1245">
        <v>0.40491282939910889</v>
      </c>
      <c r="P165" s="1245">
        <v>0.38838851451873779</v>
      </c>
      <c r="Q165" s="1245">
        <v>0.40960180759429932</v>
      </c>
      <c r="R165" s="1245">
        <v>0.37640875577926636</v>
      </c>
      <c r="S165" s="1245">
        <v>0.40584754943847656</v>
      </c>
      <c r="T165" s="1245">
        <v>0.41855990886688232</v>
      </c>
      <c r="U165" s="1245">
        <v>0.36861002445220947</v>
      </c>
      <c r="V165" s="1245">
        <v>0.37222772836685181</v>
      </c>
      <c r="W165" s="1245">
        <v>0.44010582566261292</v>
      </c>
      <c r="X165" s="1245">
        <v>0.41409224271774292</v>
      </c>
      <c r="Y165" s="1245">
        <v>0.41887730360031128</v>
      </c>
      <c r="Z165" s="1245">
        <v>0.39136433601379395</v>
      </c>
      <c r="AA165" s="1245">
        <v>0.39623647928237915</v>
      </c>
      <c r="AB165" s="1245">
        <v>0.36346107721328735</v>
      </c>
      <c r="AC165" s="1245">
        <v>0.4237702488899231</v>
      </c>
      <c r="AD165" s="1245">
        <v>0.40728014707565308</v>
      </c>
      <c r="AE165" s="260">
        <f>'User Add-in Location'!B170</f>
        <v>0</v>
      </c>
      <c r="AF165" s="260">
        <f>'User Add-in Location'!C170</f>
        <v>0</v>
      </c>
      <c r="AG165" s="1245">
        <v>0.57013750076293945</v>
      </c>
      <c r="AH165" s="1245">
        <v>0</v>
      </c>
      <c r="AI165" s="1245">
        <v>0.41467434167861938</v>
      </c>
      <c r="AJ165" s="1245">
        <v>0.48684394359588623</v>
      </c>
      <c r="AK165" s="1245">
        <v>0.39722740650177002</v>
      </c>
      <c r="AL165" s="1245">
        <v>0.40347814559936523</v>
      </c>
      <c r="AM165" s="1245">
        <v>0.42536872625350952</v>
      </c>
      <c r="AN165" s="1245">
        <v>0.45035415887832642</v>
      </c>
      <c r="AO165" s="1245">
        <v>0.46037390828132629</v>
      </c>
      <c r="AP165" s="1245">
        <v>0.46225142478942871</v>
      </c>
      <c r="AQ165" s="1245">
        <v>0.46134251356124878</v>
      </c>
      <c r="AR165" s="1245">
        <v>0.43631505966186523</v>
      </c>
      <c r="AS165" s="1245">
        <v>0.43269878625869751</v>
      </c>
      <c r="AT165" s="1245">
        <v>0.36477726697921753</v>
      </c>
      <c r="AU165" s="1245">
        <v>0.37344425916671753</v>
      </c>
      <c r="AV165" s="1245">
        <v>0.36836880445480347</v>
      </c>
      <c r="AW165" s="1245">
        <v>0.47173398733139038</v>
      </c>
      <c r="AX165" s="1245">
        <v>0.4262402355670929</v>
      </c>
      <c r="AY165" s="1245">
        <v>0.39853164553642273</v>
      </c>
      <c r="AZ165" s="1245">
        <v>0.36080420017242432</v>
      </c>
      <c r="BA165" s="1245">
        <v>0.43853053450584412</v>
      </c>
      <c r="BB165" s="1245">
        <v>0.45247888565063477</v>
      </c>
      <c r="BC165" s="1245">
        <v>0.32941213250160217</v>
      </c>
      <c r="BD165" s="1245">
        <v>0.41677859425544739</v>
      </c>
      <c r="BE165" s="1245">
        <v>0.45289656519889832</v>
      </c>
    </row>
    <row r="166" spans="1:57" s="220" customFormat="1" ht="15.75" x14ac:dyDescent="0.3">
      <c r="A166" s="1254"/>
      <c r="B166" s="1249"/>
      <c r="C166" s="1224" t="s">
        <v>1409</v>
      </c>
      <c r="D166" s="1245">
        <v>0.60554563999176025</v>
      </c>
      <c r="E166" s="1245">
        <v>0.64818215370178223</v>
      </c>
      <c r="F166" s="1245">
        <v>0.63109225034713745</v>
      </c>
      <c r="G166" s="1245">
        <v>0.65155929327011108</v>
      </c>
      <c r="H166" s="1245">
        <v>0.66214662790298462</v>
      </c>
      <c r="I166" s="1245">
        <v>0.63339495658874512</v>
      </c>
      <c r="J166" s="1245">
        <v>0.69715112447738647</v>
      </c>
      <c r="K166" s="1245">
        <v>0.66305011510848999</v>
      </c>
      <c r="L166" s="1245">
        <v>0.68592172861099243</v>
      </c>
      <c r="M166" s="1245">
        <v>0.6419837474822998</v>
      </c>
      <c r="N166" s="1245">
        <v>0.65342998504638672</v>
      </c>
      <c r="O166" s="1245">
        <v>0.56086361408233643</v>
      </c>
      <c r="P166" s="1245">
        <v>0.57618522644042969</v>
      </c>
      <c r="Q166" s="1245">
        <v>0.66077917814254761</v>
      </c>
      <c r="R166" s="1245">
        <v>0.61169850826263428</v>
      </c>
      <c r="S166" s="1245">
        <v>0.59965634346008301</v>
      </c>
      <c r="T166" s="1245">
        <v>0.62831920385360718</v>
      </c>
      <c r="U166" s="1245">
        <v>0.63288748264312744</v>
      </c>
      <c r="V166" s="1245">
        <v>0.62805438041687012</v>
      </c>
      <c r="W166" s="1245">
        <v>0.60804367065429688</v>
      </c>
      <c r="X166" s="1245">
        <v>0.64604425430297852</v>
      </c>
      <c r="Y166" s="1245">
        <v>0.6615985631942749</v>
      </c>
      <c r="Z166" s="1245">
        <v>0.64317941665649414</v>
      </c>
      <c r="AA166" s="1245">
        <v>0.63386666774749756</v>
      </c>
      <c r="AB166" s="1245">
        <v>0.59467810392379761</v>
      </c>
      <c r="AC166" s="1245">
        <v>0.6143718957901001</v>
      </c>
      <c r="AD166" s="1245">
        <v>0.59131753444671631</v>
      </c>
      <c r="AE166" s="260">
        <f>'User Add-in Location'!B171</f>
        <v>0</v>
      </c>
      <c r="AF166" s="260">
        <f>'User Add-in Location'!C171</f>
        <v>0</v>
      </c>
      <c r="AG166" s="1245">
        <v>0.60255837440490723</v>
      </c>
      <c r="AH166" s="1245">
        <v>0.6169707179069519</v>
      </c>
      <c r="AI166" s="1245">
        <v>0.63193458318710327</v>
      </c>
      <c r="AJ166" s="1245">
        <v>0.68668866157531738</v>
      </c>
      <c r="AK166" s="1245">
        <v>0.56109678745269775</v>
      </c>
      <c r="AL166" s="1245">
        <v>0.67914187908172607</v>
      </c>
      <c r="AM166" s="1245">
        <v>0.61696851253509521</v>
      </c>
      <c r="AN166" s="1245">
        <v>0.64388996362686157</v>
      </c>
      <c r="AO166" s="1245">
        <v>0.62291717529296875</v>
      </c>
      <c r="AP166" s="1245">
        <v>0.61827945709228516</v>
      </c>
      <c r="AQ166" s="1245">
        <v>0.61343657970428467</v>
      </c>
      <c r="AR166" s="1245">
        <v>0.653999924659729</v>
      </c>
      <c r="AS166" s="1245">
        <v>0.62838709354400635</v>
      </c>
      <c r="AT166" s="1245">
        <v>0.62759196758270264</v>
      </c>
      <c r="AU166" s="1245">
        <v>0.60625237226486206</v>
      </c>
      <c r="AV166" s="1245">
        <v>0.62950026988983154</v>
      </c>
      <c r="AW166" s="1245">
        <v>0.67355620861053467</v>
      </c>
      <c r="AX166" s="1245">
        <v>0.64731824398040771</v>
      </c>
      <c r="AY166" s="1245">
        <v>0.59583687782287598</v>
      </c>
      <c r="AZ166" s="1245">
        <v>0.58076786994934082</v>
      </c>
      <c r="BA166" s="1245">
        <v>0.63570326566696167</v>
      </c>
      <c r="BB166" s="1245">
        <v>0.65410542488098145</v>
      </c>
      <c r="BC166" s="1245">
        <v>0.6070823073387146</v>
      </c>
      <c r="BD166" s="1245">
        <v>0.60228252410888672</v>
      </c>
      <c r="BE166" s="1245">
        <v>0.647422194480896</v>
      </c>
    </row>
    <row r="167" spans="1:57" s="220" customFormat="1" ht="15.75" x14ac:dyDescent="0.3">
      <c r="A167" s="1254"/>
      <c r="B167" s="1249"/>
      <c r="C167" s="1224" t="s">
        <v>1410</v>
      </c>
      <c r="D167" s="1245">
        <v>0.65963315963745117</v>
      </c>
      <c r="E167" s="1245">
        <v>0.65112537145614624</v>
      </c>
      <c r="F167" s="1245">
        <v>0.67559123039245605</v>
      </c>
      <c r="G167" s="1245">
        <v>0.63756126165390015</v>
      </c>
      <c r="H167" s="1245">
        <v>0.70588147640228271</v>
      </c>
      <c r="I167" s="1245">
        <v>0.64711141586303711</v>
      </c>
      <c r="J167" s="1245">
        <v>0.68139100074768066</v>
      </c>
      <c r="K167" s="1245">
        <v>0.62154793739318848</v>
      </c>
      <c r="L167" s="1245">
        <v>0.68365055322647095</v>
      </c>
      <c r="M167" s="1245">
        <v>0.65668529272079468</v>
      </c>
      <c r="N167" s="1245">
        <v>0.64390319585800171</v>
      </c>
      <c r="O167" s="1245">
        <v>0.68666952848434448</v>
      </c>
      <c r="P167" s="1245">
        <v>0.62846821546554565</v>
      </c>
      <c r="Q167" s="1245">
        <v>0.65417653322219849</v>
      </c>
      <c r="R167" s="1245">
        <v>0.62773513793945313</v>
      </c>
      <c r="S167" s="1245">
        <v>0.60197991132736206</v>
      </c>
      <c r="T167" s="1245">
        <v>0.64278435707092285</v>
      </c>
      <c r="U167" s="1245">
        <v>0.61176472902297974</v>
      </c>
      <c r="V167" s="1245">
        <v>0.65951991081237793</v>
      </c>
      <c r="W167" s="1245">
        <v>0.63072043657302856</v>
      </c>
      <c r="X167" s="1245">
        <v>0.65969967842102051</v>
      </c>
      <c r="Y167" s="1245">
        <v>0.64436084032058716</v>
      </c>
      <c r="Z167" s="1245">
        <v>0.65985262393951416</v>
      </c>
      <c r="AA167" s="1245">
        <v>0.6408926248550415</v>
      </c>
      <c r="AB167" s="1245">
        <v>0.63962066173553467</v>
      </c>
      <c r="AC167" s="1245">
        <v>0.62164402008056641</v>
      </c>
      <c r="AD167" s="1245">
        <v>0.58811318874359131</v>
      </c>
      <c r="AE167" s="260">
        <f>'User Add-in Location'!B172</f>
        <v>0</v>
      </c>
      <c r="AF167" s="260">
        <f>'User Add-in Location'!C172</f>
        <v>0</v>
      </c>
      <c r="AG167" s="1245">
        <v>0.615226149559021</v>
      </c>
      <c r="AH167" s="1245">
        <v>0.56238925457000732</v>
      </c>
      <c r="AI167" s="1245">
        <v>0.63415038585662842</v>
      </c>
      <c r="AJ167" s="1245">
        <v>0.6891406774520874</v>
      </c>
      <c r="AK167" s="1245">
        <v>0.63423556089401245</v>
      </c>
      <c r="AL167" s="1245">
        <v>0.68704748153686523</v>
      </c>
      <c r="AM167" s="1245">
        <v>0.61253350973129272</v>
      </c>
      <c r="AN167" s="1245">
        <v>0.6381416916847229</v>
      </c>
      <c r="AO167" s="1245">
        <v>0.64264094829559326</v>
      </c>
      <c r="AP167" s="1245">
        <v>0.64126467704772949</v>
      </c>
      <c r="AQ167" s="1245">
        <v>0.60266512632369995</v>
      </c>
      <c r="AR167" s="1245">
        <v>0.62366414070129395</v>
      </c>
      <c r="AS167" s="1245">
        <v>0.65676510334014893</v>
      </c>
      <c r="AT167" s="1245">
        <v>0.64061206579208374</v>
      </c>
      <c r="AU167" s="1245">
        <v>0.62378942966461182</v>
      </c>
      <c r="AV167" s="1245">
        <v>0.6545225977897644</v>
      </c>
      <c r="AW167" s="1245">
        <v>0.68147575855255127</v>
      </c>
      <c r="AX167" s="1245">
        <v>0.66044485569000244</v>
      </c>
      <c r="AY167" s="1245">
        <v>0.6410142183303833</v>
      </c>
      <c r="AZ167" s="1245">
        <v>0.64250493049621582</v>
      </c>
      <c r="BA167" s="1245">
        <v>0.64097046852111816</v>
      </c>
      <c r="BB167" s="1245">
        <v>0.71759647130966187</v>
      </c>
      <c r="BC167" s="1245">
        <v>0.63121145963668823</v>
      </c>
      <c r="BD167" s="1245">
        <v>0.61891579627990723</v>
      </c>
      <c r="BE167" s="1245">
        <v>0.64141154289245605</v>
      </c>
    </row>
    <row r="168" spans="1:57" s="220" customFormat="1" ht="15.75" x14ac:dyDescent="0.3">
      <c r="A168" s="1254"/>
      <c r="B168" s="1249"/>
      <c r="C168" s="1224" t="s">
        <v>605</v>
      </c>
      <c r="D168" s="1245">
        <v>0.5524289608001709</v>
      </c>
      <c r="E168" s="1245">
        <v>0.66240429878234863</v>
      </c>
      <c r="F168" s="1245">
        <v>0.55867129564285278</v>
      </c>
      <c r="G168" s="1245">
        <v>0.55785298347473145</v>
      </c>
      <c r="H168" s="1245">
        <v>0.66003161668777466</v>
      </c>
      <c r="I168" s="1245">
        <v>0.54839754104614258</v>
      </c>
      <c r="J168" s="1245">
        <v>0.6571662425994873</v>
      </c>
      <c r="K168" s="1245">
        <v>0.75532293319702148</v>
      </c>
      <c r="L168" s="1245">
        <v>0.74543642997741699</v>
      </c>
      <c r="M168" s="1245">
        <v>0.54067468643188477</v>
      </c>
      <c r="N168" s="1245">
        <v>0.61434733867645264</v>
      </c>
      <c r="O168" s="1245">
        <v>0.64917272329330444</v>
      </c>
      <c r="P168" s="1245">
        <v>0.49399596452713013</v>
      </c>
      <c r="Q168" s="1245">
        <v>0.64017629623413086</v>
      </c>
      <c r="R168" s="1245">
        <v>0.58951836824417114</v>
      </c>
      <c r="S168" s="1245">
        <v>0.60733747482299805</v>
      </c>
      <c r="T168" s="1245">
        <v>0.55207067728042603</v>
      </c>
      <c r="U168" s="1245">
        <v>0.55288171768188477</v>
      </c>
      <c r="V168" s="1245">
        <v>0.55375254154205322</v>
      </c>
      <c r="W168" s="1245">
        <v>0.60872584581375122</v>
      </c>
      <c r="X168" s="1245">
        <v>0.65005290508270264</v>
      </c>
      <c r="Y168" s="1245">
        <v>0.67042583227157593</v>
      </c>
      <c r="Z168" s="1245">
        <v>0.5780491828918457</v>
      </c>
      <c r="AA168" s="1245">
        <v>0.59144353866577148</v>
      </c>
      <c r="AB168" s="1245">
        <v>0.51632797718048096</v>
      </c>
      <c r="AC168" s="1245">
        <v>0.59554684162139893</v>
      </c>
      <c r="AD168" s="1245">
        <v>0.55739229917526245</v>
      </c>
      <c r="AE168" s="260">
        <f>'User Add-in Location'!B173</f>
        <v>0</v>
      </c>
      <c r="AF168" s="260">
        <f>'User Add-in Location'!C173</f>
        <v>0</v>
      </c>
      <c r="AG168" s="1245">
        <v>0.58114933967590332</v>
      </c>
      <c r="AH168" s="1245">
        <v>0</v>
      </c>
      <c r="AI168" s="1245">
        <v>0.6266171932220459</v>
      </c>
      <c r="AJ168" s="1245">
        <v>0.63442015647888184</v>
      </c>
      <c r="AK168" s="1245">
        <v>0.59691101312637329</v>
      </c>
      <c r="AL168" s="1245">
        <v>0.75784540176391602</v>
      </c>
      <c r="AM168" s="1245">
        <v>0.66278839111328125</v>
      </c>
      <c r="AN168" s="1245">
        <v>0.58253145217895508</v>
      </c>
      <c r="AO168" s="1245">
        <v>0.63457369804382324</v>
      </c>
      <c r="AP168" s="1245">
        <v>0.51870805025100708</v>
      </c>
      <c r="AQ168" s="1245">
        <v>0.59640014171600342</v>
      </c>
      <c r="AR168" s="1245">
        <v>0.59996426105499268</v>
      </c>
      <c r="AS168" s="1245">
        <v>0.65094953775405884</v>
      </c>
      <c r="AT168" s="1245">
        <v>0.55329352617263794</v>
      </c>
      <c r="AU168" s="1245">
        <v>0.671478271484375</v>
      </c>
      <c r="AV168" s="1245">
        <v>0.59549838304519653</v>
      </c>
      <c r="AW168" s="1245">
        <v>0.53452605009078979</v>
      </c>
      <c r="AX168" s="1245">
        <v>0.62653046846389771</v>
      </c>
      <c r="AY168" s="1245">
        <v>0.57602077722549438</v>
      </c>
      <c r="AZ168" s="1245">
        <v>0.61078023910522461</v>
      </c>
      <c r="BA168" s="1245">
        <v>0.63324850797653198</v>
      </c>
      <c r="BB168" s="1245">
        <v>0.63547855615615845</v>
      </c>
      <c r="BC168" s="1245">
        <v>0.59812033176422119</v>
      </c>
      <c r="BD168" s="1245">
        <v>0.59235548973083496</v>
      </c>
      <c r="BE168" s="1245">
        <v>0.53896188735961914</v>
      </c>
    </row>
    <row r="169" spans="1:57" s="220" customFormat="1" ht="15.75" x14ac:dyDescent="0.3">
      <c r="A169" s="1254"/>
      <c r="B169" s="1249"/>
      <c r="C169" s="1224" t="s">
        <v>1411</v>
      </c>
      <c r="D169" s="1245">
        <v>0.56248891353607178</v>
      </c>
      <c r="E169" s="1245">
        <v>0.60041522979736328</v>
      </c>
      <c r="F169" s="1245">
        <v>0.58261537551879883</v>
      </c>
      <c r="G169" s="1245">
        <v>0.51675105094909668</v>
      </c>
      <c r="H169" s="1245">
        <v>0.65775865316390991</v>
      </c>
      <c r="I169" s="1245">
        <v>0.60806566476821899</v>
      </c>
      <c r="J169" s="1245">
        <v>0.63449722528457642</v>
      </c>
      <c r="K169" s="1245">
        <v>0.66232842206954956</v>
      </c>
      <c r="L169" s="1245">
        <v>0.74176013469696045</v>
      </c>
      <c r="M169" s="1245">
        <v>0.60848498344421387</v>
      </c>
      <c r="N169" s="1245">
        <v>0.61695432662963867</v>
      </c>
      <c r="O169" s="1245">
        <v>0.56003010272979736</v>
      </c>
      <c r="P169" s="1245">
        <v>0.52298444509506226</v>
      </c>
      <c r="Q169" s="1245">
        <v>0.66569489240646362</v>
      </c>
      <c r="R169" s="1245">
        <v>0.60293805599212646</v>
      </c>
      <c r="S169" s="1245">
        <v>0.53541797399520874</v>
      </c>
      <c r="T169" s="1245">
        <v>0.55154669284820557</v>
      </c>
      <c r="U169" s="1245">
        <v>0.54209136962890625</v>
      </c>
      <c r="V169" s="1245">
        <v>0.59781807661056519</v>
      </c>
      <c r="W169" s="1245">
        <v>0.53335440158843994</v>
      </c>
      <c r="X169" s="1245">
        <v>0.61722815036773682</v>
      </c>
      <c r="Y169" s="1245">
        <v>0.64806461334228516</v>
      </c>
      <c r="Z169" s="1245">
        <v>0.58203023672103882</v>
      </c>
      <c r="AA169" s="1245">
        <v>0.60039722919464111</v>
      </c>
      <c r="AB169" s="1245">
        <v>0.51142978668212891</v>
      </c>
      <c r="AC169" s="1245">
        <v>0.58948755264282227</v>
      </c>
      <c r="AD169" s="1245">
        <v>0.52499055862426758</v>
      </c>
      <c r="AE169" s="260">
        <f>'User Add-in Location'!B174</f>
        <v>0</v>
      </c>
      <c r="AF169" s="260">
        <f>'User Add-in Location'!C174</f>
        <v>0</v>
      </c>
      <c r="AG169" s="1245">
        <v>0.56161707639694214</v>
      </c>
      <c r="AH169" s="1245">
        <v>0.59377634525299072</v>
      </c>
      <c r="AI169" s="1245">
        <v>0.58736574649810791</v>
      </c>
      <c r="AJ169" s="1245">
        <v>0.6652679443359375</v>
      </c>
      <c r="AK169" s="1245">
        <v>0.53429555892944336</v>
      </c>
      <c r="AL169" s="1245">
        <v>0.68844622373580933</v>
      </c>
      <c r="AM169" s="1245">
        <v>0.59036791324615479</v>
      </c>
      <c r="AN169" s="1245">
        <v>0.56634658575057983</v>
      </c>
      <c r="AO169" s="1245">
        <v>0.57980036735534668</v>
      </c>
      <c r="AP169" s="1245">
        <v>0.56459736824035645</v>
      </c>
      <c r="AQ169" s="1245">
        <v>0.62757670879364014</v>
      </c>
      <c r="AR169" s="1245">
        <v>0.62109744548797607</v>
      </c>
      <c r="AS169" s="1245">
        <v>0.57817089557647705</v>
      </c>
      <c r="AT169" s="1245">
        <v>0.55827724933624268</v>
      </c>
      <c r="AU169" s="1245">
        <v>0.48889338970184326</v>
      </c>
      <c r="AV169" s="1245">
        <v>0.6053537130355835</v>
      </c>
      <c r="AW169" s="1245">
        <v>0.6381537914276123</v>
      </c>
      <c r="AX169" s="1245">
        <v>0.62753182649612427</v>
      </c>
      <c r="AY169" s="1245">
        <v>0.54777050018310547</v>
      </c>
      <c r="AZ169" s="1245">
        <v>0.54053163528442383</v>
      </c>
      <c r="BA169" s="1245">
        <v>0.64893233776092529</v>
      </c>
      <c r="BB169" s="1245">
        <v>0.61558818817138672</v>
      </c>
      <c r="BC169" s="1245">
        <v>0.5636633038520813</v>
      </c>
      <c r="BD169" s="1245">
        <v>0.55847287178039551</v>
      </c>
      <c r="BE169" s="1245">
        <v>0.55010432004928589</v>
      </c>
    </row>
    <row r="170" spans="1:57" s="220" customFormat="1" ht="15.75" x14ac:dyDescent="0.3">
      <c r="A170" s="1254"/>
      <c r="B170" s="1249"/>
      <c r="C170" s="1224" t="s">
        <v>1412</v>
      </c>
      <c r="D170" s="1245">
        <v>0.58900558948516846</v>
      </c>
      <c r="E170" s="1245">
        <v>0.61158984899520874</v>
      </c>
      <c r="F170" s="1245">
        <v>0.5849534273147583</v>
      </c>
      <c r="G170" s="1245">
        <v>0.6072009801864624</v>
      </c>
      <c r="H170" s="1245">
        <v>0.63465964794158936</v>
      </c>
      <c r="I170" s="1245">
        <v>0.61080169677734375</v>
      </c>
      <c r="J170" s="1245">
        <v>0.6466483473777771</v>
      </c>
      <c r="K170" s="1245">
        <v>0.63064742088317871</v>
      </c>
      <c r="L170" s="1245">
        <v>0.66495978832244873</v>
      </c>
      <c r="M170" s="1245">
        <v>0.59424269199371338</v>
      </c>
      <c r="N170" s="1245">
        <v>0.57594192028045654</v>
      </c>
      <c r="O170" s="1245">
        <v>0.60612893104553223</v>
      </c>
      <c r="P170" s="1245">
        <v>0.55207169055938721</v>
      </c>
      <c r="Q170" s="1245">
        <v>0.61239373683929443</v>
      </c>
      <c r="R170" s="1245">
        <v>0.58848822116851807</v>
      </c>
      <c r="S170" s="1245">
        <v>0.58032345771789551</v>
      </c>
      <c r="T170" s="1245">
        <v>0.58923542499542236</v>
      </c>
      <c r="U170" s="1245">
        <v>0.57461416721343994</v>
      </c>
      <c r="V170" s="1245">
        <v>0.59736025333404541</v>
      </c>
      <c r="W170" s="1245">
        <v>0.57678580284118652</v>
      </c>
      <c r="X170" s="1245">
        <v>0.61641955375671387</v>
      </c>
      <c r="Y170" s="1245">
        <v>0.63125813007354736</v>
      </c>
      <c r="Z170" s="1245">
        <v>0.59102755784988403</v>
      </c>
      <c r="AA170" s="1245">
        <v>0.60653942823410034</v>
      </c>
      <c r="AB170" s="1245">
        <v>0.55466282367706299</v>
      </c>
      <c r="AC170" s="1245">
        <v>0.57633596658706665</v>
      </c>
      <c r="AD170" s="1245">
        <v>0.54766762256622314</v>
      </c>
      <c r="AE170" s="260">
        <f>'User Add-in Location'!B175</f>
        <v>0</v>
      </c>
      <c r="AF170" s="260">
        <f>'User Add-in Location'!C175</f>
        <v>0</v>
      </c>
      <c r="AG170" s="1245">
        <v>0.57553982734680176</v>
      </c>
      <c r="AH170" s="1245">
        <v>0.61793732643127441</v>
      </c>
      <c r="AI170" s="1245">
        <v>0.62240517139434814</v>
      </c>
      <c r="AJ170" s="1245">
        <v>0.64288473129272461</v>
      </c>
      <c r="AK170" s="1245">
        <v>0.52811747789382935</v>
      </c>
      <c r="AL170" s="1245">
        <v>0.63893020153045654</v>
      </c>
      <c r="AM170" s="1245">
        <v>0.58285176753997803</v>
      </c>
      <c r="AN170" s="1245">
        <v>0.61117637157440186</v>
      </c>
      <c r="AO170" s="1245">
        <v>0.59957665205001831</v>
      </c>
      <c r="AP170" s="1245">
        <v>0.58364391326904297</v>
      </c>
      <c r="AQ170" s="1245">
        <v>0.58809256553649902</v>
      </c>
      <c r="AR170" s="1245">
        <v>0.62411212921142578</v>
      </c>
      <c r="AS170" s="1245">
        <v>0.60997462272644043</v>
      </c>
      <c r="AT170" s="1245">
        <v>0.56837409734725952</v>
      </c>
      <c r="AU170" s="1245">
        <v>0.56920206546783447</v>
      </c>
      <c r="AV170" s="1245">
        <v>0.60296785831451416</v>
      </c>
      <c r="AW170" s="1245">
        <v>0.60850584506988525</v>
      </c>
      <c r="AX170" s="1245">
        <v>0.61020302772521973</v>
      </c>
      <c r="AY170" s="1245">
        <v>0.57635533809661865</v>
      </c>
      <c r="AZ170" s="1245">
        <v>0.5763782262802124</v>
      </c>
      <c r="BA170" s="1245">
        <v>0.61810564994812012</v>
      </c>
      <c r="BB170" s="1245">
        <v>0.62388217449188232</v>
      </c>
      <c r="BC170" s="1245">
        <v>0.58806294202804565</v>
      </c>
      <c r="BD170" s="1245">
        <v>0.60159611701965332</v>
      </c>
      <c r="BE170" s="1245">
        <v>0.59798872470855713</v>
      </c>
    </row>
    <row r="171" spans="1:57" s="220" customFormat="1" ht="15.75" x14ac:dyDescent="0.3">
      <c r="A171" s="1254"/>
      <c r="B171" s="1249"/>
      <c r="C171" s="1224" t="s">
        <v>609</v>
      </c>
      <c r="D171" s="1245">
        <v>0.8935016393661499</v>
      </c>
      <c r="E171" s="1245">
        <v>0.95501232147216797</v>
      </c>
      <c r="F171" s="1245">
        <v>0.8529740571975708</v>
      </c>
      <c r="G171" s="1245">
        <v>0.90414166450500488</v>
      </c>
      <c r="H171" s="1245">
        <v>0.90993893146514893</v>
      </c>
      <c r="I171" s="1245">
        <v>0.93557310104370117</v>
      </c>
      <c r="J171" s="1245">
        <v>0.83973228931427002</v>
      </c>
      <c r="K171" s="1245">
        <v>0.97945666313171387</v>
      </c>
      <c r="L171" s="1245">
        <v>0.98790526390075684</v>
      </c>
      <c r="M171" s="1245">
        <v>0.92020022869110107</v>
      </c>
      <c r="N171" s="1245">
        <v>0.98344099521636963</v>
      </c>
      <c r="O171" s="1245">
        <v>0.93834024667739868</v>
      </c>
      <c r="P171" s="1245">
        <v>0.87505125999450684</v>
      </c>
      <c r="Q171" s="1245">
        <v>0.95574885606765747</v>
      </c>
      <c r="R171" s="1245">
        <v>0.93621790409088135</v>
      </c>
      <c r="S171" s="1245">
        <v>0.91048687696456909</v>
      </c>
      <c r="T171" s="1245">
        <v>0.90349507331848145</v>
      </c>
      <c r="U171" s="1245">
        <v>0.89974486827850342</v>
      </c>
      <c r="V171" s="1245">
        <v>0.8674207329750061</v>
      </c>
      <c r="W171" s="1245">
        <v>0.899169921875</v>
      </c>
      <c r="X171" s="1245">
        <v>0.97398090362548828</v>
      </c>
      <c r="Y171" s="1245">
        <v>0.96640551090240479</v>
      </c>
      <c r="Z171" s="1245">
        <v>0.92947220802307129</v>
      </c>
      <c r="AA171" s="1245">
        <v>0.85768967866897583</v>
      </c>
      <c r="AB171" s="1245">
        <v>0.91625720262527466</v>
      </c>
      <c r="AC171" s="1245">
        <v>0.91209298372268677</v>
      </c>
      <c r="AD171" s="1245">
        <v>0.89070838689804077</v>
      </c>
      <c r="AE171" s="260">
        <f>'User Add-in Location'!B176</f>
        <v>0</v>
      </c>
      <c r="AF171" s="260">
        <f>'User Add-in Location'!C176</f>
        <v>0</v>
      </c>
      <c r="AG171" s="1245">
        <v>0.91257363557815552</v>
      </c>
      <c r="AH171" s="1245">
        <v>0.79427987337112427</v>
      </c>
      <c r="AI171" s="1245">
        <v>0.93869590759277344</v>
      </c>
      <c r="AJ171" s="1245">
        <v>0.94953101873397827</v>
      </c>
      <c r="AK171" s="1245">
        <v>0.87179303169250488</v>
      </c>
      <c r="AL171" s="1245">
        <v>0.8983534574508667</v>
      </c>
      <c r="AM171" s="1245">
        <v>0.95149195194244385</v>
      </c>
      <c r="AN171" s="1245">
        <v>0.76231139898300171</v>
      </c>
      <c r="AO171" s="1245">
        <v>0.93548816442489624</v>
      </c>
      <c r="AP171" s="1245">
        <v>0.78093266487121582</v>
      </c>
      <c r="AQ171" s="1245">
        <v>0.89005374908447266</v>
      </c>
      <c r="AR171" s="1245">
        <v>0.91155409812927246</v>
      </c>
      <c r="AS171" s="1245">
        <v>0.9573286771774292</v>
      </c>
      <c r="AT171" s="1245">
        <v>0.90357136726379395</v>
      </c>
      <c r="AU171" s="1245">
        <v>0.74781596660614014</v>
      </c>
      <c r="AV171" s="1245">
        <v>0.87836706638336182</v>
      </c>
      <c r="AW171" s="1245">
        <v>0.921592116355896</v>
      </c>
      <c r="AX171" s="1245">
        <v>0.91350513696670532</v>
      </c>
      <c r="AY171" s="1245">
        <v>0.93953168392181396</v>
      </c>
      <c r="AZ171" s="1245">
        <v>0.95538479089736938</v>
      </c>
      <c r="BA171" s="1245">
        <v>0.92513537406921387</v>
      </c>
      <c r="BB171" s="1245">
        <v>0.84455060958862305</v>
      </c>
      <c r="BC171" s="1245">
        <v>0.89500117301940918</v>
      </c>
      <c r="BD171" s="1245">
        <v>0.88529598712921143</v>
      </c>
      <c r="BE171" s="1245">
        <v>0.89971011877059937</v>
      </c>
    </row>
    <row r="172" spans="1:57" s="220" customFormat="1" ht="15.75" x14ac:dyDescent="0.3">
      <c r="A172" s="1254"/>
      <c r="B172" s="1249"/>
      <c r="C172" s="1224"/>
      <c r="D172" s="1245"/>
      <c r="E172" s="1245"/>
      <c r="F172" s="1245"/>
      <c r="G172" s="1245"/>
      <c r="H172" s="1245"/>
      <c r="I172" s="1245"/>
      <c r="J172" s="1245"/>
      <c r="K172" s="1245"/>
      <c r="L172" s="1245"/>
      <c r="M172" s="1245"/>
      <c r="N172" s="1245"/>
      <c r="O172" s="1245"/>
      <c r="P172" s="1245"/>
      <c r="Q172" s="1245"/>
      <c r="R172" s="1245"/>
      <c r="S172" s="1245"/>
      <c r="T172" s="1245"/>
      <c r="U172" s="1245"/>
      <c r="V172" s="1245"/>
      <c r="W172" s="1245"/>
      <c r="X172" s="1245"/>
      <c r="Y172" s="1245"/>
      <c r="Z172" s="1245"/>
      <c r="AA172" s="1245"/>
      <c r="AB172" s="1245"/>
      <c r="AC172" s="1245"/>
      <c r="AD172" s="1245"/>
      <c r="AE172" s="260"/>
      <c r="AF172" s="260"/>
      <c r="AG172" s="1245"/>
      <c r="AH172" s="1245"/>
      <c r="AI172" s="1245"/>
      <c r="AJ172" s="1245"/>
      <c r="AK172" s="1245"/>
      <c r="AL172" s="1245"/>
      <c r="AM172" s="1245"/>
      <c r="AN172" s="1245"/>
      <c r="AO172" s="1245"/>
      <c r="AP172" s="1245"/>
      <c r="AQ172" s="1245"/>
      <c r="AR172" s="1245"/>
      <c r="AS172" s="1245"/>
      <c r="AT172" s="1245"/>
      <c r="AU172" s="1245"/>
      <c r="AV172" s="1245"/>
      <c r="AW172" s="1245"/>
      <c r="AX172" s="1245"/>
      <c r="AY172" s="1245"/>
      <c r="AZ172" s="1245"/>
      <c r="BA172" s="1245"/>
      <c r="BB172" s="1245"/>
      <c r="BC172" s="1245"/>
      <c r="BD172" s="1245"/>
      <c r="BE172" s="1245"/>
    </row>
    <row r="173" spans="1:57" s="220" customFormat="1" ht="15.75" x14ac:dyDescent="0.3">
      <c r="A173" s="1254"/>
      <c r="B173" s="1249"/>
      <c r="C173" s="1259" t="s">
        <v>1405</v>
      </c>
      <c r="D173" s="1245"/>
      <c r="E173" s="1245"/>
      <c r="F173" s="1245"/>
      <c r="G173" s="1245"/>
      <c r="H173" s="1245"/>
      <c r="I173" s="1245"/>
      <c r="J173" s="1245"/>
      <c r="K173" s="1245"/>
      <c r="L173" s="1245"/>
      <c r="M173" s="1245"/>
      <c r="N173" s="1245"/>
      <c r="O173" s="1245"/>
      <c r="P173" s="1245"/>
      <c r="Q173" s="1245"/>
      <c r="R173" s="1245"/>
      <c r="S173" s="1245"/>
      <c r="T173" s="1245"/>
      <c r="U173" s="1245"/>
      <c r="V173" s="1245"/>
      <c r="W173" s="1245"/>
      <c r="X173" s="1245"/>
      <c r="Y173" s="1245"/>
      <c r="Z173" s="1245"/>
      <c r="AA173" s="1245"/>
      <c r="AB173" s="1245"/>
      <c r="AC173" s="1245"/>
      <c r="AD173" s="1245"/>
      <c r="AE173" s="260"/>
      <c r="AF173" s="260"/>
      <c r="AG173" s="1245"/>
      <c r="AH173" s="1245"/>
      <c r="AI173" s="1245"/>
      <c r="AJ173" s="1245"/>
      <c r="AK173" s="1245"/>
      <c r="AL173" s="1245"/>
      <c r="AM173" s="1245"/>
      <c r="AN173" s="1245"/>
      <c r="AO173" s="1245"/>
      <c r="AP173" s="1245"/>
      <c r="AQ173" s="1245"/>
      <c r="AR173" s="1245"/>
      <c r="AS173" s="1245"/>
      <c r="AT173" s="1245"/>
      <c r="AU173" s="1245"/>
      <c r="AV173" s="1245"/>
      <c r="AW173" s="1245"/>
      <c r="AX173" s="1245"/>
      <c r="AY173" s="1245"/>
      <c r="AZ173" s="1245"/>
      <c r="BA173" s="1245"/>
      <c r="BB173" s="1245"/>
      <c r="BC173" s="1245"/>
      <c r="BD173" s="1245"/>
      <c r="BE173" s="1245"/>
    </row>
    <row r="174" spans="1:57" s="220" customFormat="1" ht="15.75" x14ac:dyDescent="0.3">
      <c r="A174" s="1254"/>
      <c r="B174" s="1249"/>
      <c r="C174" s="1260" t="s">
        <v>1413</v>
      </c>
      <c r="D174" s="1245" t="s">
        <v>539</v>
      </c>
      <c r="E174" s="1245" t="s">
        <v>540</v>
      </c>
      <c r="F174" s="1245" t="s">
        <v>541</v>
      </c>
      <c r="G174" s="1245" t="s">
        <v>542</v>
      </c>
      <c r="H174" s="1245" t="s">
        <v>543</v>
      </c>
      <c r="I174" s="1245" t="s">
        <v>143</v>
      </c>
      <c r="J174" s="1245" t="s">
        <v>544</v>
      </c>
      <c r="K174" s="1245" t="s">
        <v>545</v>
      </c>
      <c r="L174" s="1245" t="s">
        <v>546</v>
      </c>
      <c r="M174" s="1245" t="s">
        <v>547</v>
      </c>
      <c r="N174" s="1245" t="s">
        <v>548</v>
      </c>
      <c r="O174" s="1245" t="s">
        <v>549</v>
      </c>
      <c r="P174" s="1245" t="s">
        <v>550</v>
      </c>
      <c r="Q174" s="1245" t="s">
        <v>551</v>
      </c>
      <c r="R174" s="1245" t="s">
        <v>552</v>
      </c>
      <c r="S174" s="1245" t="s">
        <v>553</v>
      </c>
      <c r="T174" s="1245" t="s">
        <v>554</v>
      </c>
      <c r="U174" s="1245" t="s">
        <v>555</v>
      </c>
      <c r="V174" s="1245" t="s">
        <v>556</v>
      </c>
      <c r="W174" s="1245" t="s">
        <v>557</v>
      </c>
      <c r="X174" s="1245" t="s">
        <v>558</v>
      </c>
      <c r="Y174" s="1245" t="s">
        <v>559</v>
      </c>
      <c r="Z174" s="1245" t="s">
        <v>560</v>
      </c>
      <c r="AA174" s="1245" t="s">
        <v>561</v>
      </c>
      <c r="AB174" s="1245" t="s">
        <v>562</v>
      </c>
      <c r="AC174" s="1245" t="s">
        <v>563</v>
      </c>
      <c r="AD174" s="1245" t="s">
        <v>564</v>
      </c>
      <c r="AE174" s="260" t="s">
        <v>565</v>
      </c>
      <c r="AF174" s="260" t="s">
        <v>566</v>
      </c>
      <c r="AG174" s="1245" t="s">
        <v>567</v>
      </c>
      <c r="AH174" s="1245" t="s">
        <v>568</v>
      </c>
      <c r="AI174" s="1245" t="s">
        <v>569</v>
      </c>
      <c r="AJ174" s="1245" t="s">
        <v>570</v>
      </c>
      <c r="AK174" s="1245" t="s">
        <v>571</v>
      </c>
      <c r="AL174" s="1245" t="s">
        <v>572</v>
      </c>
      <c r="AM174" s="1245" t="s">
        <v>573</v>
      </c>
      <c r="AN174" s="1245" t="s">
        <v>574</v>
      </c>
      <c r="AO174" s="1245" t="s">
        <v>575</v>
      </c>
      <c r="AP174" s="1245" t="s">
        <v>576</v>
      </c>
      <c r="AQ174" s="1245" t="s">
        <v>577</v>
      </c>
      <c r="AR174" s="1245" t="s">
        <v>578</v>
      </c>
      <c r="AS174" s="1245" t="s">
        <v>579</v>
      </c>
      <c r="AT174" s="1245" t="s">
        <v>580</v>
      </c>
      <c r="AU174" s="1245" t="s">
        <v>581</v>
      </c>
      <c r="AV174" s="1245" t="s">
        <v>582</v>
      </c>
      <c r="AW174" s="1245" t="s">
        <v>583</v>
      </c>
      <c r="AX174" s="1245" t="s">
        <v>1404</v>
      </c>
      <c r="AY174" s="1245" t="s">
        <v>584</v>
      </c>
      <c r="AZ174" s="1245" t="s">
        <v>585</v>
      </c>
      <c r="BA174" s="1245" t="s">
        <v>586</v>
      </c>
      <c r="BB174" s="1245" t="s">
        <v>587</v>
      </c>
      <c r="BC174" s="1245" t="s">
        <v>588</v>
      </c>
      <c r="BD174" s="1245" t="s">
        <v>589</v>
      </c>
      <c r="BE174" s="1245" t="s">
        <v>590</v>
      </c>
    </row>
    <row r="175" spans="1:57" s="220" customFormat="1" ht="15.75" x14ac:dyDescent="0.3">
      <c r="A175" s="1254"/>
      <c r="B175" s="1249"/>
      <c r="C175" s="1224" t="s">
        <v>592</v>
      </c>
      <c r="D175" s="1245">
        <v>0.12529993057250977</v>
      </c>
      <c r="E175" s="1245">
        <v>6.1280615627765656E-2</v>
      </c>
      <c r="F175" s="1245">
        <v>0.12165544927120209</v>
      </c>
      <c r="G175" s="1245">
        <v>0.19459228217601776</v>
      </c>
      <c r="H175" s="1245">
        <v>0.10777950286865234</v>
      </c>
      <c r="I175" s="1245">
        <v>0.22438506782054901</v>
      </c>
      <c r="J175" s="1245">
        <v>6.6406965255737305E-2</v>
      </c>
      <c r="K175" s="1245">
        <v>0.16234435141086578</v>
      </c>
      <c r="L175" s="1245">
        <v>9.108985960483551E-2</v>
      </c>
      <c r="M175" s="1245">
        <v>8.9950293302536011E-2</v>
      </c>
      <c r="N175" s="1245">
        <v>0.15354025363922119</v>
      </c>
      <c r="O175" s="1245">
        <v>7.9533442854881287E-2</v>
      </c>
      <c r="P175" s="1245">
        <v>0.18824398517608643</v>
      </c>
      <c r="Q175" s="1245">
        <v>0.1585298478603363</v>
      </c>
      <c r="R175" s="1245">
        <v>0.10419490933418274</v>
      </c>
      <c r="S175" s="1245">
        <v>0.19012102484703064</v>
      </c>
      <c r="T175" s="1245">
        <v>0.21858732402324677</v>
      </c>
      <c r="U175" s="1245">
        <v>9.7805216908454895E-2</v>
      </c>
      <c r="V175" s="1245">
        <v>7.9013392329216003E-2</v>
      </c>
      <c r="W175" s="1245">
        <v>0.10745741426944733</v>
      </c>
      <c r="X175" s="1245">
        <v>0.10377562046051025</v>
      </c>
      <c r="Y175" s="1245">
        <v>5.7200402021408081E-2</v>
      </c>
      <c r="Z175" s="1245">
        <v>0.10667949914932251</v>
      </c>
      <c r="AA175" s="1245">
        <v>0.18672230839729309</v>
      </c>
      <c r="AB175" s="1245">
        <v>0.12819354236125946</v>
      </c>
      <c r="AC175" s="1245">
        <v>0.1356099396944046</v>
      </c>
      <c r="AD175" s="1245">
        <v>0.16156961023807526</v>
      </c>
      <c r="AE175" s="260">
        <f>'User Add-in Location'!B180</f>
        <v>0</v>
      </c>
      <c r="AF175" s="260">
        <f>'User Add-in Location'!C180</f>
        <v>0</v>
      </c>
      <c r="AG175" s="1245">
        <v>0.22786480188369751</v>
      </c>
      <c r="AH175" s="1245">
        <v>5.7097218930721283E-2</v>
      </c>
      <c r="AI175" s="1245">
        <v>8.2749441266059875E-2</v>
      </c>
      <c r="AJ175" s="1245">
        <v>5.5616818368434906E-2</v>
      </c>
      <c r="AK175" s="1245">
        <v>0.13638772070407867</v>
      </c>
      <c r="AL175" s="1245">
        <v>0.12158794701099396</v>
      </c>
      <c r="AM175" s="1245">
        <v>0.13305750489234924</v>
      </c>
      <c r="AN175" s="1245">
        <v>0.16397032141685486</v>
      </c>
      <c r="AO175" s="1245">
        <v>0.11975497007369995</v>
      </c>
      <c r="AP175" s="1245">
        <v>0.14038047194480896</v>
      </c>
      <c r="AQ175" s="1245">
        <v>0.13228452205657959</v>
      </c>
      <c r="AR175" s="1245">
        <v>0.12487547099590302</v>
      </c>
      <c r="AS175" s="1245">
        <v>5.8309171348810196E-2</v>
      </c>
      <c r="AT175" s="1245">
        <v>8.7258972227573395E-2</v>
      </c>
      <c r="AU175" s="1245">
        <v>0.21356800198554993</v>
      </c>
      <c r="AV175" s="1245">
        <v>0.10279904305934906</v>
      </c>
      <c r="AW175" s="1245">
        <v>0.16416582465171814</v>
      </c>
      <c r="AX175" s="1245">
        <v>0.30601376295089722</v>
      </c>
      <c r="AY175" s="1245">
        <v>0.12673084437847137</v>
      </c>
      <c r="AZ175" s="1245">
        <v>0.168182373046875</v>
      </c>
      <c r="BA175" s="1245">
        <v>0.11654742062091827</v>
      </c>
      <c r="BB175" s="1245">
        <v>0.10185271501541138</v>
      </c>
      <c r="BC175" s="1245">
        <v>7.7734053134918213E-2</v>
      </c>
      <c r="BD175" s="1245">
        <v>0.19600945711135864</v>
      </c>
      <c r="BE175" s="1245">
        <v>0.10059686005115509</v>
      </c>
    </row>
    <row r="176" spans="1:57" s="220" customFormat="1" ht="15.75" x14ac:dyDescent="0.3">
      <c r="A176" s="1254"/>
      <c r="B176" s="1249"/>
      <c r="C176" s="1224" t="s">
        <v>593</v>
      </c>
      <c r="D176" s="1245">
        <v>0.11971667408943176</v>
      </c>
      <c r="E176" s="1245">
        <v>8.8257752358913422E-2</v>
      </c>
      <c r="F176" s="1245">
        <v>0.16698610782623291</v>
      </c>
      <c r="G176" s="1245">
        <v>0.14048314094543457</v>
      </c>
      <c r="H176" s="1245">
        <v>0.14340338110923767</v>
      </c>
      <c r="I176" s="1245">
        <v>0.17628131806850433</v>
      </c>
      <c r="J176" s="1245">
        <v>0.17867431044578552</v>
      </c>
      <c r="K176" s="1245">
        <v>0.15854030847549438</v>
      </c>
      <c r="L176" s="1245">
        <v>0.15825290977954865</v>
      </c>
      <c r="M176" s="1245">
        <v>0.2325768768787384</v>
      </c>
      <c r="N176" s="1245">
        <v>0.15135356783866882</v>
      </c>
      <c r="O176" s="1245">
        <v>0.15762925148010254</v>
      </c>
      <c r="P176" s="1245">
        <v>0.13933141529560089</v>
      </c>
      <c r="Q176" s="1245">
        <v>0.18906167149543762</v>
      </c>
      <c r="R176" s="1245">
        <v>0.14626699686050415</v>
      </c>
      <c r="S176" s="1245">
        <v>0.13198380172252655</v>
      </c>
      <c r="T176" s="1245">
        <v>0.21764013171195984</v>
      </c>
      <c r="U176" s="1245">
        <v>0.13318341970443726</v>
      </c>
      <c r="V176" s="1245">
        <v>0.14091426134109497</v>
      </c>
      <c r="W176" s="1245">
        <v>0.20329767465591431</v>
      </c>
      <c r="X176" s="1245">
        <v>0.20893244445323944</v>
      </c>
      <c r="Y176" s="1245">
        <v>0.2310350239276886</v>
      </c>
      <c r="Z176" s="1245">
        <v>0.194703608751297</v>
      </c>
      <c r="AA176" s="1245">
        <v>0.15170380473136902</v>
      </c>
      <c r="AB176" s="1245">
        <v>0.12800323963165283</v>
      </c>
      <c r="AC176" s="1245">
        <v>0.16042943298816681</v>
      </c>
      <c r="AD176" s="1245">
        <v>0.16646042466163635</v>
      </c>
      <c r="AE176" s="260">
        <f>'User Add-in Location'!B181</f>
        <v>0</v>
      </c>
      <c r="AF176" s="260">
        <f>'User Add-in Location'!C181</f>
        <v>0</v>
      </c>
      <c r="AG176" s="1245">
        <v>0.14701539278030396</v>
      </c>
      <c r="AH176" s="1245">
        <v>0.10882437974214554</v>
      </c>
      <c r="AI176" s="1245">
        <v>0.16147315502166748</v>
      </c>
      <c r="AJ176" s="1245">
        <v>0.20273807644844055</v>
      </c>
      <c r="AK176" s="1245">
        <v>0.18011011183261871</v>
      </c>
      <c r="AL176" s="1245">
        <v>0.21644845604896545</v>
      </c>
      <c r="AM176" s="1245">
        <v>0.14502358436584473</v>
      </c>
      <c r="AN176" s="1245">
        <v>0.13607224822044373</v>
      </c>
      <c r="AO176" s="1245">
        <v>0.18663915991783142</v>
      </c>
      <c r="AP176" s="1245">
        <v>0.21225251257419586</v>
      </c>
      <c r="AQ176" s="1245">
        <v>0.19243305921554565</v>
      </c>
      <c r="AR176" s="1245">
        <v>0.15306288003921509</v>
      </c>
      <c r="AS176" s="1245">
        <v>0.18157856166362762</v>
      </c>
      <c r="AT176" s="1245">
        <v>0.13787609338760376</v>
      </c>
      <c r="AU176" s="1245">
        <v>0.15361110866069794</v>
      </c>
      <c r="AV176" s="1245">
        <v>0.14528870582580566</v>
      </c>
      <c r="AW176" s="1245">
        <v>0.17987060546875</v>
      </c>
      <c r="AX176" s="1245">
        <v>0.26303458213806152</v>
      </c>
      <c r="AY176" s="1245">
        <v>0.17461501061916351</v>
      </c>
      <c r="AZ176" s="1245">
        <v>0.11577729880809784</v>
      </c>
      <c r="BA176" s="1245">
        <v>0.16179277002811432</v>
      </c>
      <c r="BB176" s="1245">
        <v>0.18874022364616394</v>
      </c>
      <c r="BC176" s="1245">
        <v>0.15745416283607483</v>
      </c>
      <c r="BD176" s="1245">
        <v>0.12299942970275879</v>
      </c>
      <c r="BE176" s="1245">
        <v>0.15148112177848816</v>
      </c>
    </row>
    <row r="177" spans="1:57" s="220" customFormat="1" ht="15.75" x14ac:dyDescent="0.3">
      <c r="A177" s="1254"/>
      <c r="B177" s="1249"/>
      <c r="C177" s="1224" t="s">
        <v>595</v>
      </c>
      <c r="D177" s="1245">
        <v>0.209515780210495</v>
      </c>
      <c r="E177" s="1245">
        <v>0.16446016728878021</v>
      </c>
      <c r="F177" s="1245">
        <v>0.23003126680850983</v>
      </c>
      <c r="G177" s="1245">
        <v>0.21740399301052094</v>
      </c>
      <c r="H177" s="1245">
        <v>0.30273362994194031</v>
      </c>
      <c r="I177" s="1245">
        <v>0.2657584547996521</v>
      </c>
      <c r="J177" s="1245">
        <v>0.2439885288476944</v>
      </c>
      <c r="K177" s="1245">
        <v>0.21843089163303375</v>
      </c>
      <c r="L177" s="1245">
        <v>0.1274152547121048</v>
      </c>
      <c r="M177" s="1245">
        <v>0.26043140888214111</v>
      </c>
      <c r="N177" s="1245">
        <v>0.25643602013587952</v>
      </c>
      <c r="O177" s="1245">
        <v>0.17278382182121277</v>
      </c>
      <c r="P177" s="1245">
        <v>0.22170333564281464</v>
      </c>
      <c r="Q177" s="1245">
        <v>0.2434602677822113</v>
      </c>
      <c r="R177" s="1245">
        <v>0.21517151594161987</v>
      </c>
      <c r="S177" s="1245">
        <v>0.19501769542694092</v>
      </c>
      <c r="T177" s="1245">
        <v>0.22136944532394409</v>
      </c>
      <c r="U177" s="1245">
        <v>0.19285719096660614</v>
      </c>
      <c r="V177" s="1245">
        <v>0.18896618485450745</v>
      </c>
      <c r="W177" s="1245">
        <v>0.24593695998191833</v>
      </c>
      <c r="X177" s="1245">
        <v>0.20135469734668732</v>
      </c>
      <c r="Y177" s="1245">
        <v>0.23766238987445831</v>
      </c>
      <c r="Z177" s="1245">
        <v>0.24840095639228821</v>
      </c>
      <c r="AA177" s="1245">
        <v>0.24422764778137207</v>
      </c>
      <c r="AB177" s="1245">
        <v>0.18091046810150146</v>
      </c>
      <c r="AC177" s="1245">
        <v>0.23871999979019165</v>
      </c>
      <c r="AD177" s="1245">
        <v>0.19751918315887451</v>
      </c>
      <c r="AE177" s="260">
        <f>'User Add-in Location'!B182</f>
        <v>0</v>
      </c>
      <c r="AF177" s="260">
        <f>'User Add-in Location'!C182</f>
        <v>0</v>
      </c>
      <c r="AG177" s="1245">
        <v>0.20738755166530609</v>
      </c>
      <c r="AH177" s="1245">
        <v>9.3115553259849548E-2</v>
      </c>
      <c r="AI177" s="1245">
        <v>0.25427445769309998</v>
      </c>
      <c r="AJ177" s="1245">
        <v>0.23555628955364227</v>
      </c>
      <c r="AK177" s="1245">
        <v>0.18907184898853302</v>
      </c>
      <c r="AL177" s="1245">
        <v>0.22236791253089905</v>
      </c>
      <c r="AM177" s="1245">
        <v>0.25591126084327698</v>
      </c>
      <c r="AN177" s="1245">
        <v>0.19552803039550781</v>
      </c>
      <c r="AO177" s="1245">
        <v>0.26353961229324341</v>
      </c>
      <c r="AP177" s="1245">
        <v>0.22947397828102112</v>
      </c>
      <c r="AQ177" s="1245">
        <v>0.22072829306125641</v>
      </c>
      <c r="AR177" s="1245">
        <v>0.25152602791786194</v>
      </c>
      <c r="AS177" s="1245">
        <v>0.20165202021598816</v>
      </c>
      <c r="AT177" s="1245">
        <v>0.2065446674823761</v>
      </c>
      <c r="AU177" s="1245">
        <v>0.21464133262634277</v>
      </c>
      <c r="AV177" s="1245">
        <v>0.25139260292053223</v>
      </c>
      <c r="AW177" s="1245">
        <v>0.27769100666046143</v>
      </c>
      <c r="AX177" s="1245">
        <v>0.44560521841049194</v>
      </c>
      <c r="AY177" s="1245">
        <v>0.24597042798995972</v>
      </c>
      <c r="AZ177" s="1245">
        <v>0.22023412585258484</v>
      </c>
      <c r="BA177" s="1245">
        <v>0.22255054116249084</v>
      </c>
      <c r="BB177" s="1245">
        <v>0.23905330896377563</v>
      </c>
      <c r="BC177" s="1245">
        <v>0.15430408716201782</v>
      </c>
      <c r="BD177" s="1245">
        <v>0.23259754478931427</v>
      </c>
      <c r="BE177" s="1245">
        <v>0.1461462527513504</v>
      </c>
    </row>
    <row r="178" spans="1:57" s="220" customFormat="1" ht="15.75" x14ac:dyDescent="0.3">
      <c r="A178" s="1254"/>
      <c r="B178" s="1249"/>
      <c r="C178" s="1224" t="s">
        <v>596</v>
      </c>
      <c r="D178" s="1245">
        <v>0.15711915493011475</v>
      </c>
      <c r="E178" s="1245">
        <v>0.23617777228355408</v>
      </c>
      <c r="F178" s="1245">
        <v>0.188335120677948</v>
      </c>
      <c r="G178" s="1245">
        <v>0.18802979588508606</v>
      </c>
      <c r="H178" s="1245">
        <v>0.28333532810211182</v>
      </c>
      <c r="I178" s="1245">
        <v>0.2511482834815979</v>
      </c>
      <c r="J178" s="1245">
        <v>0.15777528285980225</v>
      </c>
      <c r="K178" s="1245">
        <v>0.16222496330738068</v>
      </c>
      <c r="L178" s="1245">
        <v>8.5650153458118439E-2</v>
      </c>
      <c r="M178" s="1245">
        <v>0.2035176157951355</v>
      </c>
      <c r="N178" s="1245">
        <v>0.18845073878765106</v>
      </c>
      <c r="O178" s="1245">
        <v>0.17803499102592468</v>
      </c>
      <c r="P178" s="1245">
        <v>0.1869751363992691</v>
      </c>
      <c r="Q178" s="1245">
        <v>0.20701080560684204</v>
      </c>
      <c r="R178" s="1245">
        <v>0.15080952644348145</v>
      </c>
      <c r="S178" s="1245">
        <v>0.17275282740592957</v>
      </c>
      <c r="T178" s="1245">
        <v>0.20364852249622345</v>
      </c>
      <c r="U178" s="1245">
        <v>0.14888766407966614</v>
      </c>
      <c r="V178" s="1245">
        <v>0.19976693391799927</v>
      </c>
      <c r="W178" s="1245">
        <v>0.16431517899036407</v>
      </c>
      <c r="X178" s="1245">
        <v>0.1367565393447876</v>
      </c>
      <c r="Y178" s="1245">
        <v>0.16731113195419312</v>
      </c>
      <c r="Z178" s="1245">
        <v>0.17979305982589722</v>
      </c>
      <c r="AA178" s="1245">
        <v>0.22092628479003906</v>
      </c>
      <c r="AB178" s="1245">
        <v>0.15257513523101807</v>
      </c>
      <c r="AC178" s="1245">
        <v>0.17814874649047852</v>
      </c>
      <c r="AD178" s="1245">
        <v>0.18645100295543671</v>
      </c>
      <c r="AE178" s="260">
        <f>'User Add-in Location'!B183</f>
        <v>0</v>
      </c>
      <c r="AF178" s="260">
        <f>'User Add-in Location'!C183</f>
        <v>0</v>
      </c>
      <c r="AG178" s="1245">
        <v>0.18629224598407745</v>
      </c>
      <c r="AH178" s="1245">
        <v>0.11249392479658127</v>
      </c>
      <c r="AI178" s="1245">
        <v>0.14657880365848541</v>
      </c>
      <c r="AJ178" s="1245">
        <v>0.18509820103645325</v>
      </c>
      <c r="AK178" s="1245">
        <v>0.21727374196052551</v>
      </c>
      <c r="AL178" s="1245">
        <v>0.1815502941608429</v>
      </c>
      <c r="AM178" s="1245">
        <v>0.17574240267276764</v>
      </c>
      <c r="AN178" s="1245">
        <v>0.2246929407119751</v>
      </c>
      <c r="AO178" s="1245">
        <v>0.20030736923217773</v>
      </c>
      <c r="AP178" s="1245">
        <v>0.23280870914459229</v>
      </c>
      <c r="AQ178" s="1245">
        <v>0.19535166025161743</v>
      </c>
      <c r="AR178" s="1245">
        <v>0.21201786398887634</v>
      </c>
      <c r="AS178" s="1245">
        <v>0.14870738983154297</v>
      </c>
      <c r="AT178" s="1245">
        <v>0.13922800123691559</v>
      </c>
      <c r="AU178" s="1245">
        <v>0.17463013529777527</v>
      </c>
      <c r="AV178" s="1245">
        <v>0.16625450551509857</v>
      </c>
      <c r="AW178" s="1245">
        <v>0.32473519444465637</v>
      </c>
      <c r="AX178" s="1245">
        <v>0.49789696931838989</v>
      </c>
      <c r="AY178" s="1245">
        <v>0.22442430257797241</v>
      </c>
      <c r="AZ178" s="1245">
        <v>0.16955368220806122</v>
      </c>
      <c r="BA178" s="1245">
        <v>0.14856728911399841</v>
      </c>
      <c r="BB178" s="1245">
        <v>0.19969913363456726</v>
      </c>
      <c r="BC178" s="1245">
        <v>0.13939327001571655</v>
      </c>
      <c r="BD178" s="1245">
        <v>0.19181632995605469</v>
      </c>
      <c r="BE178" s="1245">
        <v>0.21145948767662048</v>
      </c>
    </row>
    <row r="179" spans="1:57" s="220" customFormat="1" ht="15.75" x14ac:dyDescent="0.3">
      <c r="A179" s="1254"/>
      <c r="B179" s="1249"/>
      <c r="C179" s="1224" t="s">
        <v>1407</v>
      </c>
      <c r="D179" s="1245">
        <v>0.13513416051864624</v>
      </c>
      <c r="E179" s="1245">
        <v>0.15444029867649078</v>
      </c>
      <c r="F179" s="1245">
        <v>0.17968370020389557</v>
      </c>
      <c r="G179" s="1245">
        <v>0.13234859704971313</v>
      </c>
      <c r="H179" s="1245">
        <v>0.27560609579086304</v>
      </c>
      <c r="I179" s="1245">
        <v>0.19985449314117432</v>
      </c>
      <c r="J179" s="1245">
        <v>0.16647052764892578</v>
      </c>
      <c r="K179" s="1245">
        <v>0.14137738943099976</v>
      </c>
      <c r="L179" s="1245">
        <v>0</v>
      </c>
      <c r="M179" s="1245">
        <v>0.19509020447731018</v>
      </c>
      <c r="N179" s="1245">
        <v>0.17801186442375183</v>
      </c>
      <c r="O179" s="1245">
        <v>0.15269026160240173</v>
      </c>
      <c r="P179" s="1245">
        <v>0.14351001381874084</v>
      </c>
      <c r="Q179" s="1245">
        <v>0.19831377267837524</v>
      </c>
      <c r="R179" s="1245">
        <v>0.14921486377716064</v>
      </c>
      <c r="S179" s="1245">
        <v>0.13546192646026611</v>
      </c>
      <c r="T179" s="1245">
        <v>0.14443939924240112</v>
      </c>
      <c r="U179" s="1245">
        <v>0.1301218718290329</v>
      </c>
      <c r="V179" s="1245">
        <v>0.12999376654624939</v>
      </c>
      <c r="W179" s="1245">
        <v>0.14396063983440399</v>
      </c>
      <c r="X179" s="1245">
        <v>0.15175212919712067</v>
      </c>
      <c r="Y179" s="1245">
        <v>0.17683336138725281</v>
      </c>
      <c r="Z179" s="1245">
        <v>0.17473462224006653</v>
      </c>
      <c r="AA179" s="1245">
        <v>0.19580461084842682</v>
      </c>
      <c r="AB179" s="1245">
        <v>0.11650402098894119</v>
      </c>
      <c r="AC179" s="1245">
        <v>0.15841972827911377</v>
      </c>
      <c r="AD179" s="1245">
        <v>0.13425734639167786</v>
      </c>
      <c r="AE179" s="260">
        <f>'User Add-in Location'!B184</f>
        <v>0</v>
      </c>
      <c r="AF179" s="260">
        <f>'User Add-in Location'!C184</f>
        <v>0</v>
      </c>
      <c r="AG179" s="1245">
        <v>0.13753992319107056</v>
      </c>
      <c r="AH179" s="1245">
        <v>0.10301053524017334</v>
      </c>
      <c r="AI179" s="1245">
        <v>0.14855688810348511</v>
      </c>
      <c r="AJ179" s="1245">
        <v>0.18044182658195496</v>
      </c>
      <c r="AK179" s="1245">
        <v>0.13933996856212616</v>
      </c>
      <c r="AL179" s="1245">
        <v>0.18346472084522247</v>
      </c>
      <c r="AM179" s="1245">
        <v>0.18852800130844116</v>
      </c>
      <c r="AN179" s="1245">
        <v>0.1425916850566864</v>
      </c>
      <c r="AO179" s="1245">
        <v>0.18658849596977234</v>
      </c>
      <c r="AP179" s="1245">
        <v>0.14187562465667725</v>
      </c>
      <c r="AQ179" s="1245">
        <v>0.17208831012248993</v>
      </c>
      <c r="AR179" s="1245">
        <v>0.19116696715354919</v>
      </c>
      <c r="AS179" s="1245">
        <v>0.1685260534286499</v>
      </c>
      <c r="AT179" s="1245">
        <v>0.12731453776359558</v>
      </c>
      <c r="AU179" s="1245">
        <v>0.12925954163074493</v>
      </c>
      <c r="AV179" s="1245">
        <v>0.15645202994346619</v>
      </c>
      <c r="AW179" s="1245">
        <v>0.23757186532020569</v>
      </c>
      <c r="AX179" s="1245">
        <v>0.45557519793510437</v>
      </c>
      <c r="AY179" s="1245">
        <v>0.201038658618927</v>
      </c>
      <c r="AZ179" s="1245">
        <v>0.1275477260351181</v>
      </c>
      <c r="BA179" s="1245">
        <v>0.14446635544300079</v>
      </c>
      <c r="BB179" s="1245">
        <v>0.19141167402267456</v>
      </c>
      <c r="BC179" s="1245">
        <v>0.11122974753379822</v>
      </c>
      <c r="BD179" s="1245">
        <v>0.16526684165000916</v>
      </c>
      <c r="BE179" s="1245">
        <v>0.11024912446737289</v>
      </c>
    </row>
    <row r="180" spans="1:57" s="220" customFormat="1" ht="15.75" x14ac:dyDescent="0.3">
      <c r="A180" s="1254"/>
      <c r="B180" s="1249"/>
      <c r="C180" s="1224" t="s">
        <v>599</v>
      </c>
      <c r="D180" s="1245">
        <v>0.16017754375934601</v>
      </c>
      <c r="E180" s="1245">
        <v>0.15769201517105103</v>
      </c>
      <c r="F180" s="1245">
        <v>0.17651599645614624</v>
      </c>
      <c r="G180" s="1245">
        <v>0.16514924168586731</v>
      </c>
      <c r="H180" s="1245">
        <v>0.27557191252708435</v>
      </c>
      <c r="I180" s="1245">
        <v>0.23408955335617065</v>
      </c>
      <c r="J180" s="1245">
        <v>0.1829649806022644</v>
      </c>
      <c r="K180" s="1245">
        <v>0.13901194930076599</v>
      </c>
      <c r="L180" s="1245">
        <v>0.13880264759063721</v>
      </c>
      <c r="M180" s="1245">
        <v>0.22230798006057739</v>
      </c>
      <c r="N180" s="1245">
        <v>0.19227908551692963</v>
      </c>
      <c r="O180" s="1245">
        <v>0.1881902813911438</v>
      </c>
      <c r="P180" s="1245">
        <v>0.16323372721672058</v>
      </c>
      <c r="Q180" s="1245">
        <v>0.19954471290111542</v>
      </c>
      <c r="R180" s="1245">
        <v>0.17061801254749298</v>
      </c>
      <c r="S180" s="1245">
        <v>0.13990610837936401</v>
      </c>
      <c r="T180" s="1245">
        <v>0.17396353185176849</v>
      </c>
      <c r="U180" s="1245">
        <v>0.15235278010368347</v>
      </c>
      <c r="V180" s="1245">
        <v>0.1522543728351593</v>
      </c>
      <c r="W180" s="1245">
        <v>0.15952354669570923</v>
      </c>
      <c r="X180" s="1245">
        <v>0.18169468641281128</v>
      </c>
      <c r="Y180" s="1245">
        <v>0.19260653853416443</v>
      </c>
      <c r="Z180" s="1245">
        <v>0.18410713970661163</v>
      </c>
      <c r="AA180" s="1245">
        <v>0.2312847375869751</v>
      </c>
      <c r="AB180" s="1245">
        <v>0.13136805593967438</v>
      </c>
      <c r="AC180" s="1245">
        <v>0.20405347645282745</v>
      </c>
      <c r="AD180" s="1245">
        <v>0.16726472973823547</v>
      </c>
      <c r="AE180" s="260">
        <f>'User Add-in Location'!B185</f>
        <v>0</v>
      </c>
      <c r="AF180" s="260">
        <f>'User Add-in Location'!C185</f>
        <v>0</v>
      </c>
      <c r="AG180" s="1245">
        <v>0.15187670290470123</v>
      </c>
      <c r="AH180" s="1245">
        <v>0.11605951189994812</v>
      </c>
      <c r="AI180" s="1245">
        <v>0.12548036873340607</v>
      </c>
      <c r="AJ180" s="1245">
        <v>0.1852584034204483</v>
      </c>
      <c r="AK180" s="1245">
        <v>0.15030305087566376</v>
      </c>
      <c r="AL180" s="1245">
        <v>0.19104599952697754</v>
      </c>
      <c r="AM180" s="1245">
        <v>0.17662429809570313</v>
      </c>
      <c r="AN180" s="1245">
        <v>0.16983030736446381</v>
      </c>
      <c r="AO180" s="1245">
        <v>0.20213940739631653</v>
      </c>
      <c r="AP180" s="1245">
        <v>0.14938546717166901</v>
      </c>
      <c r="AQ180" s="1245">
        <v>0.19320882856845856</v>
      </c>
      <c r="AR180" s="1245">
        <v>0.2004593163728714</v>
      </c>
      <c r="AS180" s="1245">
        <v>0.14697229862213135</v>
      </c>
      <c r="AT180" s="1245">
        <v>0.13912910223007202</v>
      </c>
      <c r="AU180" s="1245">
        <v>0.15887404978275299</v>
      </c>
      <c r="AV180" s="1245">
        <v>0.17672914266586304</v>
      </c>
      <c r="AW180" s="1245">
        <v>0.24411725997924805</v>
      </c>
      <c r="AX180" s="1245">
        <v>0.49094027280807495</v>
      </c>
      <c r="AY180" s="1245">
        <v>0.20832312107086182</v>
      </c>
      <c r="AZ180" s="1245">
        <v>0.11751081794500351</v>
      </c>
      <c r="BA180" s="1245">
        <v>0.16336706280708313</v>
      </c>
      <c r="BB180" s="1245">
        <v>0.21329720318317413</v>
      </c>
      <c r="BC180" s="1245">
        <v>0.10814015567302704</v>
      </c>
      <c r="BD180" s="1245">
        <v>0.18945980072021484</v>
      </c>
      <c r="BE180" s="1245">
        <v>0.13981756567955017</v>
      </c>
    </row>
    <row r="181" spans="1:57" s="220" customFormat="1" ht="15.75" x14ac:dyDescent="0.3">
      <c r="A181" s="1254"/>
      <c r="B181" s="1249"/>
      <c r="C181" s="1224" t="s">
        <v>1408</v>
      </c>
      <c r="D181" s="1245">
        <v>0.1697705090045929</v>
      </c>
      <c r="E181" s="1245">
        <v>0</v>
      </c>
      <c r="F181" s="1245">
        <v>0.24081572890281677</v>
      </c>
      <c r="G181" s="1245">
        <v>0.17750978469848633</v>
      </c>
      <c r="H181" s="1245">
        <v>0.32177439332008362</v>
      </c>
      <c r="I181" s="1245">
        <v>0.25316494703292847</v>
      </c>
      <c r="J181" s="1245">
        <v>0.2114054411649704</v>
      </c>
      <c r="K181" s="1245">
        <v>0.15752430260181427</v>
      </c>
      <c r="L181" s="1245">
        <v>8.2649126648902893E-2</v>
      </c>
      <c r="M181" s="1245">
        <v>0.25240850448608398</v>
      </c>
      <c r="N181" s="1245">
        <v>0.21883107721805573</v>
      </c>
      <c r="O181" s="1245">
        <v>0.17174312472343445</v>
      </c>
      <c r="P181" s="1245">
        <v>0.18901222944259644</v>
      </c>
      <c r="Q181" s="1245">
        <v>0.2205522358417511</v>
      </c>
      <c r="R181" s="1245">
        <v>0.15597036480903625</v>
      </c>
      <c r="S181" s="1245">
        <v>0.1591520756483078</v>
      </c>
      <c r="T181" s="1245">
        <v>0.15739887952804565</v>
      </c>
      <c r="U181" s="1245">
        <v>0.16860276460647583</v>
      </c>
      <c r="V181" s="1245">
        <v>0.1449589729309082</v>
      </c>
      <c r="W181" s="1245">
        <v>0.16717119514942169</v>
      </c>
      <c r="X181" s="1245">
        <v>0.18787631392478943</v>
      </c>
      <c r="Y181" s="1245">
        <v>0.25802320241928101</v>
      </c>
      <c r="Z181" s="1245">
        <v>0.21685802936553955</v>
      </c>
      <c r="AA181" s="1245">
        <v>0.26878020167350769</v>
      </c>
      <c r="AB181" s="1245">
        <v>0.153851717710495</v>
      </c>
      <c r="AC181" s="1245">
        <v>0.15598148107528687</v>
      </c>
      <c r="AD181" s="1245">
        <v>0.18541741371154785</v>
      </c>
      <c r="AE181" s="260">
        <f>'User Add-in Location'!B186</f>
        <v>0</v>
      </c>
      <c r="AF181" s="260">
        <f>'User Add-in Location'!C186</f>
        <v>0</v>
      </c>
      <c r="AG181" s="1245">
        <v>0.16558095812797546</v>
      </c>
      <c r="AH181" s="1245">
        <v>9.7940690815448761E-2</v>
      </c>
      <c r="AI181" s="1245">
        <v>0.20037609338760376</v>
      </c>
      <c r="AJ181" s="1245">
        <v>0.23022250831127167</v>
      </c>
      <c r="AK181" s="1245">
        <v>0.14211288094520569</v>
      </c>
      <c r="AL181" s="1245">
        <v>0.24826900660991669</v>
      </c>
      <c r="AM181" s="1245">
        <v>0.21846216917037964</v>
      </c>
      <c r="AN181" s="1245">
        <v>0.20425613224506378</v>
      </c>
      <c r="AO181" s="1245">
        <v>0.22221724689006805</v>
      </c>
      <c r="AP181" s="1245">
        <v>0.18170543015003204</v>
      </c>
      <c r="AQ181" s="1245">
        <v>0.1324927806854248</v>
      </c>
      <c r="AR181" s="1245">
        <v>0.21243402361869812</v>
      </c>
      <c r="AS181" s="1245">
        <v>0.21210008859634399</v>
      </c>
      <c r="AT181" s="1245">
        <v>0.14020290970802307</v>
      </c>
      <c r="AU181" s="1245">
        <v>0.17874658107757568</v>
      </c>
      <c r="AV181" s="1245">
        <v>0.17559601366519928</v>
      </c>
      <c r="AW181" s="1245">
        <v>0.2694733738899231</v>
      </c>
      <c r="AX181" s="1245">
        <v>0.42931723594665527</v>
      </c>
      <c r="AY181" s="1245">
        <v>0.24733123183250427</v>
      </c>
      <c r="AZ181" s="1245">
        <v>0.20201584696769714</v>
      </c>
      <c r="BA181" s="1245">
        <v>0.20509584248065948</v>
      </c>
      <c r="BB181" s="1245">
        <v>0.22796621918678284</v>
      </c>
      <c r="BC181" s="1245">
        <v>0.14996384084224701</v>
      </c>
      <c r="BD181" s="1245">
        <v>0.205778568983078</v>
      </c>
      <c r="BE181" s="1245">
        <v>0.15409936010837555</v>
      </c>
    </row>
    <row r="182" spans="1:57" s="220" customFormat="1" ht="15.75" x14ac:dyDescent="0.3">
      <c r="A182" s="1254"/>
      <c r="B182" s="1249"/>
      <c r="C182" s="1224" t="s">
        <v>602</v>
      </c>
      <c r="D182" s="1245">
        <v>0.22548338770866394</v>
      </c>
      <c r="E182" s="1245">
        <v>0.21171824634075165</v>
      </c>
      <c r="F182" s="1245">
        <v>0.24186450242996216</v>
      </c>
      <c r="G182" s="1245">
        <v>0.21986421942710876</v>
      </c>
      <c r="H182" s="1245">
        <v>0.28118002414703369</v>
      </c>
      <c r="I182" s="1245">
        <v>0.28144851326942444</v>
      </c>
      <c r="J182" s="1245">
        <v>0.22144277393817902</v>
      </c>
      <c r="K182" s="1245">
        <v>0.22130909562110901</v>
      </c>
      <c r="L182" s="1245">
        <v>0.16121602058410645</v>
      </c>
      <c r="M182" s="1245">
        <v>0.25559812784194946</v>
      </c>
      <c r="N182" s="1245">
        <v>0.24639934301376343</v>
      </c>
      <c r="O182" s="1245">
        <v>0.20086468756198883</v>
      </c>
      <c r="P182" s="1245">
        <v>0.20305162668228149</v>
      </c>
      <c r="Q182" s="1245">
        <v>0.26781195402145386</v>
      </c>
      <c r="R182" s="1245">
        <v>0.21608081459999084</v>
      </c>
      <c r="S182" s="1245">
        <v>0.20311632752418518</v>
      </c>
      <c r="T182" s="1245">
        <v>0.20680850744247437</v>
      </c>
      <c r="U182" s="1245">
        <v>0.20326444506645203</v>
      </c>
      <c r="V182" s="1245">
        <v>0.25417023897171021</v>
      </c>
      <c r="W182" s="1245">
        <v>0.20167230069637299</v>
      </c>
      <c r="X182" s="1245">
        <v>0.21824470162391663</v>
      </c>
      <c r="Y182" s="1245">
        <v>0.23942092061042786</v>
      </c>
      <c r="Z182" s="1245">
        <v>0.23238304257392883</v>
      </c>
      <c r="AA182" s="1245">
        <v>0.27686053514480591</v>
      </c>
      <c r="AB182" s="1245">
        <v>0.20085591077804565</v>
      </c>
      <c r="AC182" s="1245">
        <v>0.23177595436573029</v>
      </c>
      <c r="AD182" s="1245">
        <v>0.22302693128585815</v>
      </c>
      <c r="AE182" s="260">
        <f>'User Add-in Location'!B187</f>
        <v>0</v>
      </c>
      <c r="AF182" s="260">
        <f>'User Add-in Location'!C187</f>
        <v>0</v>
      </c>
      <c r="AG182" s="1245">
        <v>0.16682900488376617</v>
      </c>
      <c r="AH182" s="1245">
        <v>0</v>
      </c>
      <c r="AI182" s="1245">
        <v>0.20975956320762634</v>
      </c>
      <c r="AJ182" s="1245">
        <v>0.22349090874195099</v>
      </c>
      <c r="AK182" s="1245">
        <v>0.23528151214122772</v>
      </c>
      <c r="AL182" s="1245">
        <v>0.26014289259910583</v>
      </c>
      <c r="AM182" s="1245">
        <v>0.22357645630836487</v>
      </c>
      <c r="AN182" s="1245">
        <v>0.24762856960296631</v>
      </c>
      <c r="AO182" s="1245">
        <v>0.23689532279968262</v>
      </c>
      <c r="AP182" s="1245">
        <v>0.25402775406837463</v>
      </c>
      <c r="AQ182" s="1245">
        <v>0.21714858710765839</v>
      </c>
      <c r="AR182" s="1245">
        <v>0.2500496506690979</v>
      </c>
      <c r="AS182" s="1245">
        <v>0.20830778777599335</v>
      </c>
      <c r="AT182" s="1245">
        <v>0.19604070484638214</v>
      </c>
      <c r="AU182" s="1245">
        <v>0.21024137735366821</v>
      </c>
      <c r="AV182" s="1245">
        <v>0.23481419682502747</v>
      </c>
      <c r="AW182" s="1245">
        <v>0.31833934783935547</v>
      </c>
      <c r="AX182" s="1245">
        <v>0.436012864112854</v>
      </c>
      <c r="AY182" s="1245">
        <v>0.27364534139633179</v>
      </c>
      <c r="AZ182" s="1245">
        <v>0.21773387491703033</v>
      </c>
      <c r="BA182" s="1245">
        <v>0.22079390287399292</v>
      </c>
      <c r="BB182" s="1245">
        <v>0.23011757433414459</v>
      </c>
      <c r="BC182" s="1245">
        <v>0.20399826765060425</v>
      </c>
      <c r="BD182" s="1245">
        <v>0.22222068905830383</v>
      </c>
      <c r="BE182" s="1245">
        <v>0.22425191104412079</v>
      </c>
    </row>
    <row r="183" spans="1:57" s="220" customFormat="1" ht="15.75" x14ac:dyDescent="0.3">
      <c r="A183" s="1254"/>
      <c r="B183" s="1249"/>
      <c r="C183" s="1224" t="s">
        <v>1409</v>
      </c>
      <c r="D183" s="1245">
        <v>0.19202694296836853</v>
      </c>
      <c r="E183" s="1245">
        <v>0.17898157238960266</v>
      </c>
      <c r="F183" s="1245">
        <v>0.23678073287010193</v>
      </c>
      <c r="G183" s="1245">
        <v>0.17400640249252319</v>
      </c>
      <c r="H183" s="1245">
        <v>0.25772756338119507</v>
      </c>
      <c r="I183" s="1245">
        <v>0.25189575552940369</v>
      </c>
      <c r="J183" s="1245">
        <v>0.21281921863555908</v>
      </c>
      <c r="K183" s="1245">
        <v>0.21176314353942871</v>
      </c>
      <c r="L183" s="1245">
        <v>0.18339213728904724</v>
      </c>
      <c r="M183" s="1245">
        <v>0.24641311168670654</v>
      </c>
      <c r="N183" s="1245">
        <v>0.22207619249820709</v>
      </c>
      <c r="O183" s="1245">
        <v>0.23972237110137939</v>
      </c>
      <c r="P183" s="1245">
        <v>0.20535020530223846</v>
      </c>
      <c r="Q183" s="1245">
        <v>0.24087324738502502</v>
      </c>
      <c r="R183" s="1245">
        <v>0.19975537061691284</v>
      </c>
      <c r="S183" s="1245">
        <v>0.20113497972488403</v>
      </c>
      <c r="T183" s="1245">
        <v>0.19620352983474731</v>
      </c>
      <c r="U183" s="1245">
        <v>0.17530076205730438</v>
      </c>
      <c r="V183" s="1245">
        <v>0.17622648179531097</v>
      </c>
      <c r="W183" s="1245">
        <v>0.21899870038032532</v>
      </c>
      <c r="X183" s="1245">
        <v>0.22055304050445557</v>
      </c>
      <c r="Y183" s="1245">
        <v>0.24636274576187134</v>
      </c>
      <c r="Z183" s="1245">
        <v>0.20784488320350647</v>
      </c>
      <c r="AA183" s="1245">
        <v>0.24453306198120117</v>
      </c>
      <c r="AB183" s="1245">
        <v>0.16729669272899628</v>
      </c>
      <c r="AC183" s="1245">
        <v>0.23327142000198364</v>
      </c>
      <c r="AD183" s="1245">
        <v>0.19102095067501068</v>
      </c>
      <c r="AE183" s="260">
        <f>'User Add-in Location'!B188</f>
        <v>0</v>
      </c>
      <c r="AF183" s="260">
        <f>'User Add-in Location'!C188</f>
        <v>0</v>
      </c>
      <c r="AG183" s="1245">
        <v>0.21932248771190643</v>
      </c>
      <c r="AH183" s="1245">
        <v>0.15974102914333344</v>
      </c>
      <c r="AI183" s="1245">
        <v>0.23033908009529114</v>
      </c>
      <c r="AJ183" s="1245">
        <v>0.22219040989875793</v>
      </c>
      <c r="AK183" s="1245">
        <v>0.2010556161403656</v>
      </c>
      <c r="AL183" s="1245">
        <v>0.23418229818344116</v>
      </c>
      <c r="AM183" s="1245">
        <v>0.23612014949321747</v>
      </c>
      <c r="AN183" s="1245">
        <v>0.18206979334354401</v>
      </c>
      <c r="AO183" s="1245">
        <v>0.23978756368160248</v>
      </c>
      <c r="AP183" s="1245">
        <v>0.19819240272045135</v>
      </c>
      <c r="AQ183" s="1245">
        <v>0.22957903146743774</v>
      </c>
      <c r="AR183" s="1245">
        <v>0.22587153315544128</v>
      </c>
      <c r="AS183" s="1245">
        <v>0.24812284111976624</v>
      </c>
      <c r="AT183" s="1245">
        <v>0.18413135409355164</v>
      </c>
      <c r="AU183" s="1245">
        <v>0.20184186100959778</v>
      </c>
      <c r="AV183" s="1245">
        <v>0.21817076206207275</v>
      </c>
      <c r="AW183" s="1245">
        <v>0.21259455382823944</v>
      </c>
      <c r="AX183" s="1245">
        <v>0.31006136536598206</v>
      </c>
      <c r="AY183" s="1245">
        <v>0.26086899638175964</v>
      </c>
      <c r="AZ183" s="1245">
        <v>0.21852827072143555</v>
      </c>
      <c r="BA183" s="1245">
        <v>0.21882063150405884</v>
      </c>
      <c r="BB183" s="1245">
        <v>0.22130215167999268</v>
      </c>
      <c r="BC183" s="1245">
        <v>0.16692128777503967</v>
      </c>
      <c r="BD183" s="1245">
        <v>0.23167182505130768</v>
      </c>
      <c r="BE183" s="1245">
        <v>0.14099818468093872</v>
      </c>
    </row>
    <row r="184" spans="1:57" s="220" customFormat="1" ht="15.75" x14ac:dyDescent="0.3">
      <c r="A184" s="1254"/>
      <c r="B184" s="1249"/>
      <c r="C184" s="1224" t="s">
        <v>1410</v>
      </c>
      <c r="D184" s="1245">
        <v>0.1669919341802597</v>
      </c>
      <c r="E184" s="1245">
        <v>0.18272820115089417</v>
      </c>
      <c r="F184" s="1245">
        <v>0.21099153161048889</v>
      </c>
      <c r="G184" s="1245">
        <v>0.18056252598762512</v>
      </c>
      <c r="H184" s="1245">
        <v>0.21953915059566498</v>
      </c>
      <c r="I184" s="1245">
        <v>0.24153411388397217</v>
      </c>
      <c r="J184" s="1245">
        <v>0.22341424226760864</v>
      </c>
      <c r="K184" s="1245">
        <v>0.24554291367530823</v>
      </c>
      <c r="L184" s="1245">
        <v>0.18916831910610199</v>
      </c>
      <c r="M184" s="1245">
        <v>0.2364039272069931</v>
      </c>
      <c r="N184" s="1245">
        <v>0.22877907752990723</v>
      </c>
      <c r="O184" s="1245">
        <v>0.17498186230659485</v>
      </c>
      <c r="P184" s="1245">
        <v>0.18207019567489624</v>
      </c>
      <c r="Q184" s="1245">
        <v>0.24642518162727356</v>
      </c>
      <c r="R184" s="1245">
        <v>0.1912805587053299</v>
      </c>
      <c r="S184" s="1245">
        <v>0.20876212418079376</v>
      </c>
      <c r="T184" s="1245">
        <v>0.18851840496063232</v>
      </c>
      <c r="U184" s="1245">
        <v>0.18463899195194244</v>
      </c>
      <c r="V184" s="1245">
        <v>0.1606820821762085</v>
      </c>
      <c r="W184" s="1245">
        <v>0.20959071815013885</v>
      </c>
      <c r="X184" s="1245">
        <v>0.21124051511287689</v>
      </c>
      <c r="Y184" s="1245">
        <v>0.25553134083747864</v>
      </c>
      <c r="Z184" s="1245">
        <v>0.19593606889247894</v>
      </c>
      <c r="AA184" s="1245">
        <v>0.24184471368789673</v>
      </c>
      <c r="AB184" s="1245">
        <v>0.15135607123374939</v>
      </c>
      <c r="AC184" s="1245">
        <v>0.22908708453178406</v>
      </c>
      <c r="AD184" s="1245">
        <v>0.19680874049663544</v>
      </c>
      <c r="AE184" s="260">
        <f>'User Add-in Location'!B189</f>
        <v>0</v>
      </c>
      <c r="AF184" s="260">
        <f>'User Add-in Location'!C189</f>
        <v>0</v>
      </c>
      <c r="AG184" s="1245">
        <v>0.21839508414268494</v>
      </c>
      <c r="AH184" s="1245">
        <v>0.13673722743988037</v>
      </c>
      <c r="AI184" s="1245">
        <v>0.22849801182746887</v>
      </c>
      <c r="AJ184" s="1245">
        <v>0.21924318373203278</v>
      </c>
      <c r="AK184" s="1245">
        <v>0.16922442615032196</v>
      </c>
      <c r="AL184" s="1245">
        <v>0.22950339317321777</v>
      </c>
      <c r="AM184" s="1245">
        <v>0.23910386860370636</v>
      </c>
      <c r="AN184" s="1245">
        <v>0.18893119692802429</v>
      </c>
      <c r="AO184" s="1245">
        <v>0.22995424270629883</v>
      </c>
      <c r="AP184" s="1245">
        <v>0.18825694918632507</v>
      </c>
      <c r="AQ184" s="1245">
        <v>0.23545731604099274</v>
      </c>
      <c r="AR184" s="1245">
        <v>0.24367576837539673</v>
      </c>
      <c r="AS184" s="1245">
        <v>0.23133306205272675</v>
      </c>
      <c r="AT184" s="1245">
        <v>0.1762644499540329</v>
      </c>
      <c r="AU184" s="1245">
        <v>0.19974407553672791</v>
      </c>
      <c r="AV184" s="1245">
        <v>0.2011813223361969</v>
      </c>
      <c r="AW184" s="1245">
        <v>0.20889949798583984</v>
      </c>
      <c r="AX184" s="1245">
        <v>0.30034208297729492</v>
      </c>
      <c r="AY184" s="1245">
        <v>0.23507612943649292</v>
      </c>
      <c r="AZ184" s="1245">
        <v>0.18923595547676086</v>
      </c>
      <c r="BA184" s="1245">
        <v>0.21590763330459595</v>
      </c>
      <c r="BB184" s="1245">
        <v>0.1788727194070816</v>
      </c>
      <c r="BC184" s="1245">
        <v>0.1546071469783783</v>
      </c>
      <c r="BD184" s="1245">
        <v>0.22415585815906525</v>
      </c>
      <c r="BE184" s="1245">
        <v>0.14913037419319153</v>
      </c>
    </row>
    <row r="185" spans="1:57" s="220" customFormat="1" ht="15.75" x14ac:dyDescent="0.3">
      <c r="A185" s="1254"/>
      <c r="B185" s="1249"/>
      <c r="C185" s="1224" t="s">
        <v>605</v>
      </c>
      <c r="D185" s="1245">
        <v>0.22816082835197449</v>
      </c>
      <c r="E185" s="1245">
        <v>0.18154752254486084</v>
      </c>
      <c r="F185" s="1245">
        <v>0.30609267950057983</v>
      </c>
      <c r="G185" s="1245">
        <v>0.21507048606872559</v>
      </c>
      <c r="H185" s="1245">
        <v>0.26054501533508301</v>
      </c>
      <c r="I185" s="1245">
        <v>0.32182192802429199</v>
      </c>
      <c r="J185" s="1245">
        <v>0.25811272859573364</v>
      </c>
      <c r="K185" s="1245">
        <v>0.18416544795036316</v>
      </c>
      <c r="L185" s="1245">
        <v>0.17148098349571228</v>
      </c>
      <c r="M185" s="1245">
        <v>0.33111861348152161</v>
      </c>
      <c r="N185" s="1245">
        <v>0.2584957480430603</v>
      </c>
      <c r="O185" s="1245">
        <v>0.207275390625</v>
      </c>
      <c r="P185" s="1245">
        <v>0.25939595699310303</v>
      </c>
      <c r="Q185" s="1245">
        <v>0.27489173412322998</v>
      </c>
      <c r="R185" s="1245">
        <v>0.2158944308757782</v>
      </c>
      <c r="S185" s="1245">
        <v>0.22601008415222168</v>
      </c>
      <c r="T185" s="1245">
        <v>0.24231785535812378</v>
      </c>
      <c r="U185" s="1245">
        <v>0.21419093012809753</v>
      </c>
      <c r="V185" s="1245">
        <v>0.21075364947319031</v>
      </c>
      <c r="W185" s="1245">
        <v>0.23498961329460144</v>
      </c>
      <c r="X185" s="1245">
        <v>0.23016895353794098</v>
      </c>
      <c r="Y185" s="1245">
        <v>0.25607272982597351</v>
      </c>
      <c r="Z185" s="1245">
        <v>0.2487027496099472</v>
      </c>
      <c r="AA185" s="1245">
        <v>0.28927809000015259</v>
      </c>
      <c r="AB185" s="1245">
        <v>0.2044176459312439</v>
      </c>
      <c r="AC185" s="1245">
        <v>0.25204992294311523</v>
      </c>
      <c r="AD185" s="1245">
        <v>0.21980856359004974</v>
      </c>
      <c r="AE185" s="260">
        <f>'User Add-in Location'!B190</f>
        <v>0</v>
      </c>
      <c r="AF185" s="260">
        <f>'User Add-in Location'!C190</f>
        <v>0</v>
      </c>
      <c r="AG185" s="1245">
        <v>0.25150305032730103</v>
      </c>
      <c r="AH185" s="1245">
        <v>0</v>
      </c>
      <c r="AI185" s="1245">
        <v>0.25160032510757446</v>
      </c>
      <c r="AJ185" s="1245">
        <v>0.27445822954177856</v>
      </c>
      <c r="AK185" s="1245">
        <v>0.19502931833267212</v>
      </c>
      <c r="AL185" s="1245">
        <v>0.19369389116764069</v>
      </c>
      <c r="AM185" s="1245">
        <v>0.22027045488357544</v>
      </c>
      <c r="AN185" s="1245">
        <v>0.22550635039806366</v>
      </c>
      <c r="AO185" s="1245">
        <v>0.2484239786863327</v>
      </c>
      <c r="AP185" s="1245">
        <v>0.25190448760986328</v>
      </c>
      <c r="AQ185" s="1245">
        <v>0.24736320972442627</v>
      </c>
      <c r="AR185" s="1245">
        <v>0.27011007070541382</v>
      </c>
      <c r="AS185" s="1245">
        <v>0.25975292921066284</v>
      </c>
      <c r="AT185" s="1245">
        <v>0.22499431669712067</v>
      </c>
      <c r="AU185" s="1245">
        <v>0.18944311141967773</v>
      </c>
      <c r="AV185" s="1245">
        <v>0.23897695541381836</v>
      </c>
      <c r="AW185" s="1245">
        <v>0.31329327821731567</v>
      </c>
      <c r="AX185" s="1245">
        <v>0.3381323516368866</v>
      </c>
      <c r="AY185" s="1245">
        <v>0.29881191253662109</v>
      </c>
      <c r="AZ185" s="1245">
        <v>0.21846766769886017</v>
      </c>
      <c r="BA185" s="1245">
        <v>0.23096776008605957</v>
      </c>
      <c r="BB185" s="1245">
        <v>0.23672989010810852</v>
      </c>
      <c r="BC185" s="1245">
        <v>0.16922849416732788</v>
      </c>
      <c r="BD185" s="1245">
        <v>0.25122672319412231</v>
      </c>
      <c r="BE185" s="1245">
        <v>0.20317700505256653</v>
      </c>
    </row>
    <row r="186" spans="1:57" s="220" customFormat="1" ht="15.75" x14ac:dyDescent="0.3">
      <c r="A186" s="1254"/>
      <c r="B186" s="1249"/>
      <c r="C186" s="1224" t="s">
        <v>1411</v>
      </c>
      <c r="D186" s="1245">
        <v>0.2142905592918396</v>
      </c>
      <c r="E186" s="1245">
        <v>0.19729313254356384</v>
      </c>
      <c r="F186" s="1245">
        <v>0.2654564380645752</v>
      </c>
      <c r="G186" s="1245">
        <v>0.21852518618106842</v>
      </c>
      <c r="H186" s="1245">
        <v>0.2679065465927124</v>
      </c>
      <c r="I186" s="1245">
        <v>0.27639561891555786</v>
      </c>
      <c r="J186" s="1245">
        <v>0.26412650942802429</v>
      </c>
      <c r="K186" s="1245">
        <v>0.23093149065971375</v>
      </c>
      <c r="L186" s="1245">
        <v>0.15840770304203033</v>
      </c>
      <c r="M186" s="1245">
        <v>0.27046093344688416</v>
      </c>
      <c r="N186" s="1245">
        <v>0.24379062652587891</v>
      </c>
      <c r="O186" s="1245">
        <v>0.22266747057437897</v>
      </c>
      <c r="P186" s="1245">
        <v>0.22714880108833313</v>
      </c>
      <c r="Q186" s="1245">
        <v>0.2467280775308609</v>
      </c>
      <c r="R186" s="1245">
        <v>0.20452739298343658</v>
      </c>
      <c r="S186" s="1245">
        <v>0.22367793321609497</v>
      </c>
      <c r="T186" s="1245">
        <v>0.2326761782169342</v>
      </c>
      <c r="U186" s="1245">
        <v>0.20486548542976379</v>
      </c>
      <c r="V186" s="1245">
        <v>0.18695299327373505</v>
      </c>
      <c r="W186" s="1245">
        <v>0.25680744647979736</v>
      </c>
      <c r="X186" s="1245">
        <v>0.24536210298538208</v>
      </c>
      <c r="Y186" s="1245">
        <v>0.27282211184501648</v>
      </c>
      <c r="Z186" s="1245">
        <v>0.24896757304668427</v>
      </c>
      <c r="AA186" s="1245">
        <v>0.2677304744720459</v>
      </c>
      <c r="AB186" s="1245">
        <v>0.18731436133384705</v>
      </c>
      <c r="AC186" s="1245">
        <v>0.24563288688659668</v>
      </c>
      <c r="AD186" s="1245">
        <v>0.2130391001701355</v>
      </c>
      <c r="AE186" s="260">
        <f>'User Add-in Location'!B191</f>
        <v>0</v>
      </c>
      <c r="AF186" s="260">
        <f>'User Add-in Location'!C191</f>
        <v>0</v>
      </c>
      <c r="AG186" s="1245">
        <v>0.23447036743164063</v>
      </c>
      <c r="AH186" s="1245">
        <v>0.1596372127532959</v>
      </c>
      <c r="AI186" s="1245">
        <v>0.26205277442932129</v>
      </c>
      <c r="AJ186" s="1245">
        <v>0.24823774397373199</v>
      </c>
      <c r="AK186" s="1245">
        <v>0.2149939239025116</v>
      </c>
      <c r="AL186" s="1245">
        <v>0.23767921328544617</v>
      </c>
      <c r="AM186" s="1245">
        <v>0.25461193919181824</v>
      </c>
      <c r="AN186" s="1245">
        <v>0.20072135329246521</v>
      </c>
      <c r="AO186" s="1245">
        <v>0.26764756441116333</v>
      </c>
      <c r="AP186" s="1245">
        <v>0.21476155519485474</v>
      </c>
      <c r="AQ186" s="1245">
        <v>0.22172233462333679</v>
      </c>
      <c r="AR186" s="1245">
        <v>0.25489810109138489</v>
      </c>
      <c r="AS186" s="1245">
        <v>0.28432133793830872</v>
      </c>
      <c r="AT186" s="1245">
        <v>0.21579650044441223</v>
      </c>
      <c r="AU186" s="1245">
        <v>0.24211561679840088</v>
      </c>
      <c r="AV186" s="1245">
        <v>0.22912755608558655</v>
      </c>
      <c r="AW186" s="1245">
        <v>0.23483432829380035</v>
      </c>
      <c r="AX186" s="1245">
        <v>0.33261168003082275</v>
      </c>
      <c r="AY186" s="1245">
        <v>0.29730725288391113</v>
      </c>
      <c r="AZ186" s="1245">
        <v>0.24593102931976318</v>
      </c>
      <c r="BA186" s="1245">
        <v>0.21594530344009399</v>
      </c>
      <c r="BB186" s="1245">
        <v>0.25189292430877686</v>
      </c>
      <c r="BC186" s="1245">
        <v>0.18231669068336487</v>
      </c>
      <c r="BD186" s="1245">
        <v>0.25210511684417725</v>
      </c>
      <c r="BE186" s="1245">
        <v>0.16672725975513458</v>
      </c>
    </row>
    <row r="187" spans="1:57" s="220" customFormat="1" ht="15.75" x14ac:dyDescent="0.3">
      <c r="A187" s="1254"/>
      <c r="B187" s="1249"/>
      <c r="C187" s="1224" t="s">
        <v>1412</v>
      </c>
      <c r="D187" s="1245">
        <v>0.1805867999792099</v>
      </c>
      <c r="E187" s="1245">
        <v>0.17992712557315826</v>
      </c>
      <c r="F187" s="1245">
        <v>0.24057823419570923</v>
      </c>
      <c r="G187" s="1245">
        <v>0.17264634370803833</v>
      </c>
      <c r="H187" s="1245">
        <v>0.25660115480422974</v>
      </c>
      <c r="I187" s="1245">
        <v>0.24153983592987061</v>
      </c>
      <c r="J187" s="1245">
        <v>0.22237907350063324</v>
      </c>
      <c r="K187" s="1245">
        <v>0.21411827206611633</v>
      </c>
      <c r="L187" s="1245">
        <v>0.17656992375850677</v>
      </c>
      <c r="M187" s="1245">
        <v>0.25095078349113464</v>
      </c>
      <c r="N187" s="1245">
        <v>0.24367813766002655</v>
      </c>
      <c r="O187" s="1245">
        <v>0.19432860612869263</v>
      </c>
      <c r="P187" s="1245">
        <v>0.19628050923347473</v>
      </c>
      <c r="Q187" s="1245">
        <v>0.24955534934997559</v>
      </c>
      <c r="R187" s="1245">
        <v>0.19110897183418274</v>
      </c>
      <c r="S187" s="1245">
        <v>0.19200527667999268</v>
      </c>
      <c r="T187" s="1245">
        <v>0.19482740759849548</v>
      </c>
      <c r="U187" s="1245">
        <v>0.1798931360244751</v>
      </c>
      <c r="V187" s="1245">
        <v>0.17230935394763947</v>
      </c>
      <c r="W187" s="1245">
        <v>0.2124573290348053</v>
      </c>
      <c r="X187" s="1245">
        <v>0.21377110481262207</v>
      </c>
      <c r="Y187" s="1245">
        <v>0.24239002168178558</v>
      </c>
      <c r="Z187" s="1245">
        <v>0.21453279256820679</v>
      </c>
      <c r="AA187" s="1245">
        <v>0.23820848762989044</v>
      </c>
      <c r="AB187" s="1245">
        <v>0.16474077105522156</v>
      </c>
      <c r="AC187" s="1245">
        <v>0.22831250727176666</v>
      </c>
      <c r="AD187" s="1245">
        <v>0.18978454172611237</v>
      </c>
      <c r="AE187" s="260">
        <f>'User Add-in Location'!B192</f>
        <v>0</v>
      </c>
      <c r="AF187" s="260">
        <f>'User Add-in Location'!C192</f>
        <v>0</v>
      </c>
      <c r="AG187" s="1245">
        <v>0.21097622811794281</v>
      </c>
      <c r="AH187" s="1245">
        <v>0.13135994970798492</v>
      </c>
      <c r="AI187" s="1245">
        <v>0.21082554757595062</v>
      </c>
      <c r="AJ187" s="1245">
        <v>0.22773063182830811</v>
      </c>
      <c r="AK187" s="1245">
        <v>0.19698368012905121</v>
      </c>
      <c r="AL187" s="1245">
        <v>0.23796926438808441</v>
      </c>
      <c r="AM187" s="1245">
        <v>0.23283834755420685</v>
      </c>
      <c r="AN187" s="1245">
        <v>0.17659576237201691</v>
      </c>
      <c r="AO187" s="1245">
        <v>0.23095786571502686</v>
      </c>
      <c r="AP187" s="1245">
        <v>0.19299674034118652</v>
      </c>
      <c r="AQ187" s="1245">
        <v>0.22132144868373871</v>
      </c>
      <c r="AR187" s="1245">
        <v>0.2208678275346756</v>
      </c>
      <c r="AS187" s="1245">
        <v>0.23328006267547607</v>
      </c>
      <c r="AT187" s="1245">
        <v>0.19046491384506226</v>
      </c>
      <c r="AU187" s="1245">
        <v>0.19785231351852417</v>
      </c>
      <c r="AV187" s="1245">
        <v>0.20794232189655304</v>
      </c>
      <c r="AW187" s="1245">
        <v>0.23569118976593018</v>
      </c>
      <c r="AX187" s="1245">
        <v>0.32952982187271118</v>
      </c>
      <c r="AY187" s="1245">
        <v>0.25005465745925903</v>
      </c>
      <c r="AZ187" s="1245">
        <v>0.19979643821716309</v>
      </c>
      <c r="BA187" s="1245">
        <v>0.20611245930194855</v>
      </c>
      <c r="BB187" s="1245">
        <v>0.21784844994544983</v>
      </c>
      <c r="BC187" s="1245">
        <v>0.15509356558322906</v>
      </c>
      <c r="BD187" s="1245">
        <v>0.20920222997665405</v>
      </c>
      <c r="BE187" s="1245">
        <v>0.14537005126476288</v>
      </c>
    </row>
    <row r="188" spans="1:57" s="220" customFormat="1" ht="15.75" x14ac:dyDescent="0.3">
      <c r="A188" s="1254"/>
      <c r="B188" s="1249"/>
      <c r="C188" s="1224" t="s">
        <v>609</v>
      </c>
      <c r="D188" s="1245">
        <v>4.8029236495494843E-2</v>
      </c>
      <c r="E188" s="1245">
        <v>2.3375576362013817E-2</v>
      </c>
      <c r="F188" s="1245">
        <v>8.26534703373909E-2</v>
      </c>
      <c r="G188" s="1245">
        <v>4.1748635470867157E-2</v>
      </c>
      <c r="H188" s="1245">
        <v>6.0573060065507889E-2</v>
      </c>
      <c r="I188" s="1245">
        <v>3.9708215743303299E-2</v>
      </c>
      <c r="J188" s="1245">
        <v>9.4589978456497192E-2</v>
      </c>
      <c r="K188" s="1245">
        <v>1.1564560234546661E-2</v>
      </c>
      <c r="L188" s="1245">
        <v>5.4864408448338509E-3</v>
      </c>
      <c r="M188" s="1245">
        <v>4.7353431582450867E-2</v>
      </c>
      <c r="N188" s="1245">
        <v>9.1010583564639091E-3</v>
      </c>
      <c r="O188" s="1245">
        <v>3.0645154416561127E-2</v>
      </c>
      <c r="P188" s="1245">
        <v>5.4562788456678391E-2</v>
      </c>
      <c r="Q188" s="1245">
        <v>2.7573063969612122E-2</v>
      </c>
      <c r="R188" s="1245">
        <v>2.9885940253734589E-2</v>
      </c>
      <c r="S188" s="1245">
        <v>4.1161928325891495E-2</v>
      </c>
      <c r="T188" s="1245">
        <v>4.5549303293228149E-2</v>
      </c>
      <c r="U188" s="1245">
        <v>4.2536981403827667E-2</v>
      </c>
      <c r="V188" s="1245">
        <v>6.2863484025001526E-2</v>
      </c>
      <c r="W188" s="1245">
        <v>4.8443496227264404E-2</v>
      </c>
      <c r="X188" s="1245">
        <v>1.4101957902312279E-2</v>
      </c>
      <c r="Y188" s="1245">
        <v>2.0891739055514336E-2</v>
      </c>
      <c r="Z188" s="1245">
        <v>3.644871711730957E-2</v>
      </c>
      <c r="AA188" s="1245">
        <v>8.4017202258110046E-2</v>
      </c>
      <c r="AB188" s="1245">
        <v>3.262045606970787E-2</v>
      </c>
      <c r="AC188" s="1245">
        <v>4.5423842966556549E-2</v>
      </c>
      <c r="AD188" s="1245">
        <v>4.7970116138458252E-2</v>
      </c>
      <c r="AE188" s="260">
        <f>'User Add-in Location'!B193</f>
        <v>0</v>
      </c>
      <c r="AF188" s="260">
        <f>'User Add-in Location'!C193</f>
        <v>0</v>
      </c>
      <c r="AG188" s="1245">
        <v>4.2933396995067596E-2</v>
      </c>
      <c r="AH188" s="1245">
        <v>7.4300765991210938E-2</v>
      </c>
      <c r="AI188" s="1245">
        <v>3.2624900341033936E-2</v>
      </c>
      <c r="AJ188" s="1245">
        <v>3.1202804297208786E-2</v>
      </c>
      <c r="AK188" s="1245">
        <v>5.7368472218513489E-2</v>
      </c>
      <c r="AL188" s="1245">
        <v>6.3761189579963684E-2</v>
      </c>
      <c r="AM188" s="1245">
        <v>2.616201713681221E-2</v>
      </c>
      <c r="AN188" s="1245">
        <v>0.11672781407833099</v>
      </c>
      <c r="AO188" s="1245">
        <v>3.6225751042366028E-2</v>
      </c>
      <c r="AP188" s="1245">
        <v>0.10528822243213654</v>
      </c>
      <c r="AQ188" s="1245">
        <v>5.7562779635190964E-2</v>
      </c>
      <c r="AR188" s="1245">
        <v>5.1085822284221649E-2</v>
      </c>
      <c r="AS188" s="1245">
        <v>2.4326996877789497E-2</v>
      </c>
      <c r="AT188" s="1245">
        <v>4.3040547519922256E-2</v>
      </c>
      <c r="AU188" s="1245">
        <v>0.11251601576805115</v>
      </c>
      <c r="AV188" s="1245">
        <v>6.1395797878503799E-2</v>
      </c>
      <c r="AW188" s="1245">
        <v>4.9996465444564819E-2</v>
      </c>
      <c r="AX188" s="1245">
        <v>7.2108082473278046E-2</v>
      </c>
      <c r="AY188" s="1245">
        <v>3.5774998366832733E-2</v>
      </c>
      <c r="AZ188" s="1245">
        <v>2.0362261682748795E-2</v>
      </c>
      <c r="BA188" s="1245">
        <v>3.949245810508728E-2</v>
      </c>
      <c r="BB188" s="1245">
        <v>8.8303990662097931E-2</v>
      </c>
      <c r="BC188" s="1245">
        <v>4.272085428237915E-2</v>
      </c>
      <c r="BD188" s="1245">
        <v>5.8546911925077438E-2</v>
      </c>
      <c r="BE188" s="1245">
        <v>4.3598778545856476E-2</v>
      </c>
    </row>
    <row r="189" spans="1:57" s="220" customFormat="1" ht="15.75" x14ac:dyDescent="0.3">
      <c r="A189" s="1254"/>
      <c r="B189" s="1249"/>
      <c r="C189" s="1224"/>
      <c r="D189" s="1245"/>
      <c r="E189" s="1245"/>
      <c r="F189" s="1245"/>
      <c r="G189" s="1245"/>
      <c r="H189" s="1245"/>
      <c r="I189" s="1245"/>
      <c r="J189" s="1245"/>
      <c r="K189" s="1245"/>
      <c r="L189" s="1245"/>
      <c r="M189" s="1245"/>
      <c r="N189" s="1245"/>
      <c r="O189" s="1245"/>
      <c r="P189" s="1245"/>
      <c r="Q189" s="1245"/>
      <c r="R189" s="1245"/>
      <c r="S189" s="1245"/>
      <c r="T189" s="1245"/>
      <c r="U189" s="1245"/>
      <c r="V189" s="1245"/>
      <c r="W189" s="1245"/>
      <c r="X189" s="1245"/>
      <c r="Y189" s="1245"/>
      <c r="Z189" s="1245"/>
      <c r="AA189" s="1245"/>
      <c r="AB189" s="1245"/>
      <c r="AC189" s="1245"/>
      <c r="AD189" s="1245"/>
      <c r="AE189" s="260"/>
      <c r="AF189" s="260"/>
      <c r="AG189" s="1245"/>
      <c r="AH189" s="1245"/>
      <c r="AI189" s="1245"/>
      <c r="AJ189" s="1245"/>
      <c r="AK189" s="1245"/>
      <c r="AL189" s="1245"/>
      <c r="AM189" s="1245"/>
      <c r="AN189" s="1245"/>
      <c r="AO189" s="1245"/>
      <c r="AP189" s="1245"/>
      <c r="AQ189" s="1245"/>
      <c r="AR189" s="1245"/>
      <c r="AS189" s="1245"/>
      <c r="AT189" s="1245"/>
      <c r="AU189" s="1245"/>
      <c r="AV189" s="1245"/>
      <c r="AW189" s="1245"/>
      <c r="AX189" s="1245"/>
      <c r="AY189" s="1245"/>
      <c r="AZ189" s="1245"/>
      <c r="BA189" s="1245"/>
      <c r="BB189" s="1245"/>
      <c r="BC189" s="1245"/>
      <c r="BD189" s="1245"/>
      <c r="BE189" s="1245"/>
    </row>
    <row r="190" spans="1:57" s="220" customFormat="1" ht="15.75" x14ac:dyDescent="0.3">
      <c r="A190" s="1254"/>
      <c r="B190" s="1249"/>
      <c r="C190" s="1259" t="s">
        <v>1405</v>
      </c>
      <c r="D190" s="1245"/>
      <c r="E190" s="1245"/>
      <c r="F190" s="1245"/>
      <c r="G190" s="1245"/>
      <c r="H190" s="1245"/>
      <c r="I190" s="1245"/>
      <c r="J190" s="1245"/>
      <c r="K190" s="1245"/>
      <c r="L190" s="1245"/>
      <c r="M190" s="1245"/>
      <c r="N190" s="1245"/>
      <c r="O190" s="1245"/>
      <c r="P190" s="1245"/>
      <c r="Q190" s="1245"/>
      <c r="R190" s="1245"/>
      <c r="S190" s="1245"/>
      <c r="T190" s="1245"/>
      <c r="U190" s="1245"/>
      <c r="V190" s="1245"/>
      <c r="W190" s="1245"/>
      <c r="X190" s="1245"/>
      <c r="Y190" s="1245"/>
      <c r="Z190" s="1245"/>
      <c r="AA190" s="1245"/>
      <c r="AB190" s="1245"/>
      <c r="AC190" s="1245"/>
      <c r="AD190" s="1245"/>
      <c r="AE190" s="260"/>
      <c r="AF190" s="260"/>
      <c r="AG190" s="1245"/>
      <c r="AH190" s="1245"/>
      <c r="AI190" s="1245"/>
      <c r="AJ190" s="1245"/>
      <c r="AK190" s="1245"/>
      <c r="AL190" s="1245"/>
      <c r="AM190" s="1245"/>
      <c r="AN190" s="1245"/>
      <c r="AO190" s="1245"/>
      <c r="AP190" s="1245"/>
      <c r="AQ190" s="1245"/>
      <c r="AR190" s="1245"/>
      <c r="AS190" s="1245"/>
      <c r="AT190" s="1245"/>
      <c r="AU190" s="1245"/>
      <c r="AV190" s="1245"/>
      <c r="AW190" s="1245"/>
      <c r="AX190" s="1245"/>
      <c r="AY190" s="1245"/>
      <c r="AZ190" s="1245"/>
      <c r="BA190" s="1245"/>
      <c r="BB190" s="1245"/>
      <c r="BC190" s="1245"/>
      <c r="BD190" s="1245"/>
      <c r="BE190" s="1245"/>
    </row>
    <row r="191" spans="1:57" s="220" customFormat="1" ht="15.75" x14ac:dyDescent="0.3">
      <c r="A191" s="1254"/>
      <c r="B191" s="1249"/>
      <c r="C191" s="1260" t="s">
        <v>1414</v>
      </c>
      <c r="D191" s="1245" t="s">
        <v>539</v>
      </c>
      <c r="E191" s="1245" t="s">
        <v>540</v>
      </c>
      <c r="F191" s="1245" t="s">
        <v>541</v>
      </c>
      <c r="G191" s="1245" t="s">
        <v>542</v>
      </c>
      <c r="H191" s="1245" t="s">
        <v>543</v>
      </c>
      <c r="I191" s="1245" t="s">
        <v>143</v>
      </c>
      <c r="J191" s="1245" t="s">
        <v>544</v>
      </c>
      <c r="K191" s="1245" t="s">
        <v>545</v>
      </c>
      <c r="L191" s="1245" t="s">
        <v>546</v>
      </c>
      <c r="M191" s="1245" t="s">
        <v>547</v>
      </c>
      <c r="N191" s="1245" t="s">
        <v>548</v>
      </c>
      <c r="O191" s="1245" t="s">
        <v>549</v>
      </c>
      <c r="P191" s="1245" t="s">
        <v>550</v>
      </c>
      <c r="Q191" s="1245" t="s">
        <v>551</v>
      </c>
      <c r="R191" s="1245" t="s">
        <v>552</v>
      </c>
      <c r="S191" s="1245" t="s">
        <v>553</v>
      </c>
      <c r="T191" s="1245" t="s">
        <v>554</v>
      </c>
      <c r="U191" s="1245" t="s">
        <v>555</v>
      </c>
      <c r="V191" s="1245" t="s">
        <v>556</v>
      </c>
      <c r="W191" s="1245" t="s">
        <v>557</v>
      </c>
      <c r="X191" s="1245" t="s">
        <v>558</v>
      </c>
      <c r="Y191" s="1245" t="s">
        <v>559</v>
      </c>
      <c r="Z191" s="1245" t="s">
        <v>560</v>
      </c>
      <c r="AA191" s="1245" t="s">
        <v>561</v>
      </c>
      <c r="AB191" s="1245" t="s">
        <v>562</v>
      </c>
      <c r="AC191" s="1245" t="s">
        <v>563</v>
      </c>
      <c r="AD191" s="1245" t="s">
        <v>564</v>
      </c>
      <c r="AE191" s="260" t="s">
        <v>565</v>
      </c>
      <c r="AF191" s="260" t="s">
        <v>566</v>
      </c>
      <c r="AG191" s="1245" t="s">
        <v>567</v>
      </c>
      <c r="AH191" s="1245" t="s">
        <v>568</v>
      </c>
      <c r="AI191" s="1245" t="s">
        <v>569</v>
      </c>
      <c r="AJ191" s="1245" t="s">
        <v>570</v>
      </c>
      <c r="AK191" s="1245" t="s">
        <v>571</v>
      </c>
      <c r="AL191" s="1245" t="s">
        <v>572</v>
      </c>
      <c r="AM191" s="1245" t="s">
        <v>573</v>
      </c>
      <c r="AN191" s="1245" t="s">
        <v>574</v>
      </c>
      <c r="AO191" s="1245" t="s">
        <v>575</v>
      </c>
      <c r="AP191" s="1245" t="s">
        <v>576</v>
      </c>
      <c r="AQ191" s="1245" t="s">
        <v>577</v>
      </c>
      <c r="AR191" s="1245" t="s">
        <v>578</v>
      </c>
      <c r="AS191" s="1245" t="s">
        <v>579</v>
      </c>
      <c r="AT191" s="1245" t="s">
        <v>580</v>
      </c>
      <c r="AU191" s="1245" t="s">
        <v>581</v>
      </c>
      <c r="AV191" s="1245" t="s">
        <v>582</v>
      </c>
      <c r="AW191" s="1245" t="s">
        <v>583</v>
      </c>
      <c r="AX191" s="1245" t="s">
        <v>1404</v>
      </c>
      <c r="AY191" s="1245" t="s">
        <v>584</v>
      </c>
      <c r="AZ191" s="1245" t="s">
        <v>585</v>
      </c>
      <c r="BA191" s="1245" t="s">
        <v>586</v>
      </c>
      <c r="BB191" s="1245" t="s">
        <v>587</v>
      </c>
      <c r="BC191" s="1245" t="s">
        <v>588</v>
      </c>
      <c r="BD191" s="1245" t="s">
        <v>589</v>
      </c>
      <c r="BE191" s="1245" t="s">
        <v>590</v>
      </c>
    </row>
    <row r="192" spans="1:57" s="220" customFormat="1" ht="15.75" x14ac:dyDescent="0.3">
      <c r="A192" s="1254"/>
      <c r="B192" s="1249"/>
      <c r="C192" s="1224" t="s">
        <v>592</v>
      </c>
      <c r="D192" s="1245">
        <v>0.14695435762405396</v>
      </c>
      <c r="E192" s="1245">
        <v>0.16943886876106262</v>
      </c>
      <c r="F192" s="1245">
        <v>0.18105100095272064</v>
      </c>
      <c r="G192" s="1245">
        <v>0.14487454295158386</v>
      </c>
      <c r="H192" s="1245">
        <v>0.26994284987449646</v>
      </c>
      <c r="I192" s="1245">
        <v>0.16603229939937592</v>
      </c>
      <c r="J192" s="1245">
        <v>0.14563965797424316</v>
      </c>
      <c r="K192" s="1245">
        <v>0.11072543263435364</v>
      </c>
      <c r="L192" s="1245">
        <v>6.4209051430225372E-2</v>
      </c>
      <c r="M192" s="1245">
        <v>0.23831698298454285</v>
      </c>
      <c r="N192" s="1245">
        <v>0.26043608784675598</v>
      </c>
      <c r="O192" s="1245">
        <v>0.2157314121723175</v>
      </c>
      <c r="P192" s="1245">
        <v>0.18045321106910706</v>
      </c>
      <c r="Q192" s="1245">
        <v>0.32660102844238281</v>
      </c>
      <c r="R192" s="1245">
        <v>0.18473188579082489</v>
      </c>
      <c r="S192" s="1245">
        <v>0.13851013779640198</v>
      </c>
      <c r="T192" s="1245">
        <v>0.14179308712482452</v>
      </c>
      <c r="U192" s="1245">
        <v>0.13814008235931396</v>
      </c>
      <c r="V192" s="1245">
        <v>0.16786813735961914</v>
      </c>
      <c r="W192" s="1245">
        <v>0.20191450417041779</v>
      </c>
      <c r="X192" s="1245">
        <v>0.13715046644210815</v>
      </c>
      <c r="Y192" s="1245">
        <v>0.21960234642028809</v>
      </c>
      <c r="Z192" s="1245">
        <v>0.16758643090724945</v>
      </c>
      <c r="AA192" s="1245">
        <v>0.18470826745033264</v>
      </c>
      <c r="AB192" s="1245">
        <v>0.14631187915802002</v>
      </c>
      <c r="AC192" s="1245">
        <v>0.16454800963401794</v>
      </c>
      <c r="AD192" s="1245">
        <v>0.10081103444099426</v>
      </c>
      <c r="AE192" s="260">
        <f>'User Add-in Location'!B197</f>
        <v>0</v>
      </c>
      <c r="AF192" s="260">
        <f>'User Add-in Location'!C197</f>
        <v>0</v>
      </c>
      <c r="AG192" s="1245">
        <v>0.15127605199813843</v>
      </c>
      <c r="AH192" s="1245">
        <v>8.6415231227874756E-2</v>
      </c>
      <c r="AI192" s="1245">
        <v>0.15945011377334595</v>
      </c>
      <c r="AJ192" s="1245">
        <v>0.25877481698989868</v>
      </c>
      <c r="AK192" s="1245">
        <v>0.17640462517738342</v>
      </c>
      <c r="AL192" s="1245">
        <v>0.16914528608322144</v>
      </c>
      <c r="AM192" s="1245">
        <v>0.16778117418289185</v>
      </c>
      <c r="AN192" s="1245">
        <v>8.4409996867179871E-2</v>
      </c>
      <c r="AO192" s="1245">
        <v>0.17343774437904358</v>
      </c>
      <c r="AP192" s="1245">
        <v>8.5451267659664154E-2</v>
      </c>
      <c r="AQ192" s="1245">
        <v>0.21677696704864502</v>
      </c>
      <c r="AR192" s="1245">
        <v>0.14380864799022675</v>
      </c>
      <c r="AS192" s="1245">
        <v>0.16873331367969513</v>
      </c>
      <c r="AT192" s="1245">
        <v>0.14405053853988647</v>
      </c>
      <c r="AU192" s="1245">
        <v>0.16248989105224609</v>
      </c>
      <c r="AV192" s="1245">
        <v>0.13580590486526489</v>
      </c>
      <c r="AW192" s="1245">
        <v>0.13848882913589478</v>
      </c>
      <c r="AX192" s="1245">
        <v>0.3815481960773468</v>
      </c>
      <c r="AY192" s="1245">
        <v>0.10973027348518372</v>
      </c>
      <c r="AZ192" s="1245">
        <v>0.12792181968688965</v>
      </c>
      <c r="BA192" s="1245">
        <v>0.10706318914890289</v>
      </c>
      <c r="BB192" s="1245">
        <v>0.24610725045204163</v>
      </c>
      <c r="BC192" s="1245">
        <v>3.3323846757411957E-2</v>
      </c>
      <c r="BD192" s="1245">
        <v>0.17689085006713867</v>
      </c>
      <c r="BE192" s="1245">
        <v>5.7256162166595459E-2</v>
      </c>
    </row>
    <row r="193" spans="1:57" s="220" customFormat="1" ht="15.75" x14ac:dyDescent="0.3">
      <c r="A193" s="1254"/>
      <c r="B193" s="1249"/>
      <c r="C193" s="1224" t="s">
        <v>593</v>
      </c>
      <c r="D193" s="1245">
        <v>7.8433960676193237E-2</v>
      </c>
      <c r="E193" s="1245">
        <v>6.1663798987865448E-2</v>
      </c>
      <c r="F193" s="1245">
        <v>0.1327979564666748</v>
      </c>
      <c r="G193" s="1245">
        <v>0.1095079630613327</v>
      </c>
      <c r="H193" s="1245">
        <v>0.15033340454101563</v>
      </c>
      <c r="I193" s="1245">
        <v>0.23160001635551453</v>
      </c>
      <c r="J193" s="1245">
        <v>0.15162217617034912</v>
      </c>
      <c r="K193" s="1245">
        <v>0.22407770156860352</v>
      </c>
      <c r="L193" s="1245">
        <v>5.8202415704727173E-2</v>
      </c>
      <c r="M193" s="1245">
        <v>0.12622272968292236</v>
      </c>
      <c r="N193" s="1245">
        <v>0.16248878836631775</v>
      </c>
      <c r="O193" s="1245">
        <v>0.10029493272304535</v>
      </c>
      <c r="P193" s="1245">
        <v>0.10548043251037598</v>
      </c>
      <c r="Q193" s="1245">
        <v>0.14187967777252197</v>
      </c>
      <c r="R193" s="1245">
        <v>0.1256122887134552</v>
      </c>
      <c r="S193" s="1245">
        <v>9.3402981758117676E-2</v>
      </c>
      <c r="T193" s="1245">
        <v>0.1657136082649231</v>
      </c>
      <c r="U193" s="1245">
        <v>8.4711678326129913E-2</v>
      </c>
      <c r="V193" s="1245">
        <v>0.10700459778308868</v>
      </c>
      <c r="W193" s="1245">
        <v>0.1032421737909317</v>
      </c>
      <c r="X193" s="1245">
        <v>0.11847352981567383</v>
      </c>
      <c r="Y193" s="1245">
        <v>0.20378664135932922</v>
      </c>
      <c r="Z193" s="1245">
        <v>0.16185945272445679</v>
      </c>
      <c r="AA193" s="1245">
        <v>0.15239980816841125</v>
      </c>
      <c r="AB193" s="1245">
        <v>0.12186983227729797</v>
      </c>
      <c r="AC193" s="1245">
        <v>0.12287691235542297</v>
      </c>
      <c r="AD193" s="1245">
        <v>0.12275309860706329</v>
      </c>
      <c r="AE193" s="260">
        <f>'User Add-in Location'!B198</f>
        <v>0</v>
      </c>
      <c r="AF193" s="260">
        <f>'User Add-in Location'!C198</f>
        <v>0</v>
      </c>
      <c r="AG193" s="1245">
        <v>0.12047609686851501</v>
      </c>
      <c r="AH193" s="1245">
        <v>7.8907698392868042E-2</v>
      </c>
      <c r="AI193" s="1245">
        <v>0.12519560754299164</v>
      </c>
      <c r="AJ193" s="1245">
        <v>0.25017547607421875</v>
      </c>
      <c r="AK193" s="1245">
        <v>0.10522814095020294</v>
      </c>
      <c r="AL193" s="1245">
        <v>0.22754365205764771</v>
      </c>
      <c r="AM193" s="1245">
        <v>8.6988337337970734E-2</v>
      </c>
      <c r="AN193" s="1245">
        <v>0.11212918162345886</v>
      </c>
      <c r="AO193" s="1245">
        <v>0.16855683922767639</v>
      </c>
      <c r="AP193" s="1245">
        <v>0.1829720139503479</v>
      </c>
      <c r="AQ193" s="1245">
        <v>0.12692247331142426</v>
      </c>
      <c r="AR193" s="1245">
        <v>0.15615877509117126</v>
      </c>
      <c r="AS193" s="1245">
        <v>0.15633842349052429</v>
      </c>
      <c r="AT193" s="1245">
        <v>8.1388503313064575E-2</v>
      </c>
      <c r="AU193" s="1245">
        <v>9.4575636088848114E-2</v>
      </c>
      <c r="AV193" s="1245">
        <v>0.11121787130832672</v>
      </c>
      <c r="AW193" s="1245">
        <v>0.1845647394657135</v>
      </c>
      <c r="AX193" s="1245">
        <v>0.31732410192489624</v>
      </c>
      <c r="AY193" s="1245">
        <v>0.15734779834747314</v>
      </c>
      <c r="AZ193" s="1245">
        <v>8.3823308348655701E-2</v>
      </c>
      <c r="BA193" s="1245">
        <v>0.14903567731380463</v>
      </c>
      <c r="BB193" s="1245">
        <v>0.10551354289054871</v>
      </c>
      <c r="BC193" s="1245">
        <v>8.7612316012382507E-2</v>
      </c>
      <c r="BD193" s="1245">
        <v>0.12032873928546906</v>
      </c>
      <c r="BE193" s="1245">
        <v>5.9132523834705353E-2</v>
      </c>
    </row>
    <row r="194" spans="1:57" s="220" customFormat="1" ht="15.75" x14ac:dyDescent="0.3">
      <c r="A194" s="1254"/>
      <c r="B194" s="1249"/>
      <c r="C194" s="1224" t="s">
        <v>595</v>
      </c>
      <c r="D194" s="1245">
        <v>0.16257657110691071</v>
      </c>
      <c r="E194" s="1245">
        <v>0.16704371571540833</v>
      </c>
      <c r="F194" s="1245">
        <v>0.22802995145320892</v>
      </c>
      <c r="G194" s="1245">
        <v>0.14967960119247437</v>
      </c>
      <c r="H194" s="1245">
        <v>0.27098053693771362</v>
      </c>
      <c r="I194" s="1245">
        <v>0.25204044580459595</v>
      </c>
      <c r="J194" s="1245">
        <v>0.24717892706394196</v>
      </c>
      <c r="K194" s="1245">
        <v>0.19866189360618591</v>
      </c>
      <c r="L194" s="1245">
        <v>7.2618894279003143E-2</v>
      </c>
      <c r="M194" s="1245">
        <v>0.2213599681854248</v>
      </c>
      <c r="N194" s="1245">
        <v>0.21921439468860626</v>
      </c>
      <c r="O194" s="1245">
        <v>0.18222944438457489</v>
      </c>
      <c r="P194" s="1245">
        <v>0.14605782926082611</v>
      </c>
      <c r="Q194" s="1245">
        <v>0.2560582160949707</v>
      </c>
      <c r="R194" s="1245">
        <v>0.18161551654338837</v>
      </c>
      <c r="S194" s="1245">
        <v>0.16811162233352661</v>
      </c>
      <c r="T194" s="1245">
        <v>0.17418672144412994</v>
      </c>
      <c r="U194" s="1245">
        <v>0.14944685995578766</v>
      </c>
      <c r="V194" s="1245">
        <v>0.15973417460918427</v>
      </c>
      <c r="W194" s="1245">
        <v>0.18960605561733246</v>
      </c>
      <c r="X194" s="1245">
        <v>0.22205621004104614</v>
      </c>
      <c r="Y194" s="1245">
        <v>0.25230973958969116</v>
      </c>
      <c r="Z194" s="1245">
        <v>0.2140694260597229</v>
      </c>
      <c r="AA194" s="1245">
        <v>0.24296630918979645</v>
      </c>
      <c r="AB194" s="1245">
        <v>0.12313041090965271</v>
      </c>
      <c r="AC194" s="1245">
        <v>0.22124725580215454</v>
      </c>
      <c r="AD194" s="1245">
        <v>0.14108279347419739</v>
      </c>
      <c r="AE194" s="260">
        <f>'User Add-in Location'!B199</f>
        <v>0</v>
      </c>
      <c r="AF194" s="260">
        <f>'User Add-in Location'!C199</f>
        <v>0</v>
      </c>
      <c r="AG194" s="1245">
        <v>0.17989438772201538</v>
      </c>
      <c r="AH194" s="1245">
        <v>0.11059741675853729</v>
      </c>
      <c r="AI194" s="1245">
        <v>0.2507021427154541</v>
      </c>
      <c r="AJ194" s="1245">
        <v>0.26017209887504578</v>
      </c>
      <c r="AK194" s="1245">
        <v>0.13379308581352234</v>
      </c>
      <c r="AL194" s="1245">
        <v>0.21110877394676208</v>
      </c>
      <c r="AM194" s="1245">
        <v>0.20886756479740143</v>
      </c>
      <c r="AN194" s="1245">
        <v>0.15644645690917969</v>
      </c>
      <c r="AO194" s="1245">
        <v>0.24335449934005737</v>
      </c>
      <c r="AP194" s="1245">
        <v>0.17680607736110687</v>
      </c>
      <c r="AQ194" s="1245">
        <v>0.21185225248336792</v>
      </c>
      <c r="AR194" s="1245">
        <v>0.2565651535987854</v>
      </c>
      <c r="AS194" s="1245">
        <v>0.21215522289276123</v>
      </c>
      <c r="AT194" s="1245">
        <v>0.15359827876091003</v>
      </c>
      <c r="AU194" s="1245">
        <v>0.15623551607131958</v>
      </c>
      <c r="AV194" s="1245">
        <v>0.23573300242424011</v>
      </c>
      <c r="AW194" s="1245">
        <v>0.23880094289779663</v>
      </c>
      <c r="AX194" s="1245">
        <v>0.45922544598579407</v>
      </c>
      <c r="AY194" s="1245">
        <v>0.2293158620595932</v>
      </c>
      <c r="AZ194" s="1245">
        <v>0.17530959844589233</v>
      </c>
      <c r="BA194" s="1245">
        <v>0.20147646963596344</v>
      </c>
      <c r="BB194" s="1245">
        <v>0.22143658995628357</v>
      </c>
      <c r="BC194" s="1245">
        <v>0.13925594091415405</v>
      </c>
      <c r="BD194" s="1245">
        <v>0.21225887537002563</v>
      </c>
      <c r="BE194" s="1245">
        <v>9.3145817518234253E-2</v>
      </c>
    </row>
    <row r="195" spans="1:57" s="220" customFormat="1" ht="15.75" x14ac:dyDescent="0.3">
      <c r="A195" s="1254"/>
      <c r="B195" s="1249"/>
      <c r="C195" s="1224" t="s">
        <v>596</v>
      </c>
      <c r="D195" s="1245">
        <v>8.1522606313228607E-2</v>
      </c>
      <c r="E195" s="1245">
        <v>7.0284187793731689E-2</v>
      </c>
      <c r="F195" s="1245">
        <v>0.15731252729892731</v>
      </c>
      <c r="G195" s="1245">
        <v>8.6900874972343445E-2</v>
      </c>
      <c r="H195" s="1245">
        <v>0.18117055296897888</v>
      </c>
      <c r="I195" s="1245">
        <v>0.16751626133918762</v>
      </c>
      <c r="J195" s="1245">
        <v>0.15976837277412415</v>
      </c>
      <c r="K195" s="1245">
        <v>9.1654360294342041E-2</v>
      </c>
      <c r="L195" s="1245">
        <v>4.4238001108169556E-2</v>
      </c>
      <c r="M195" s="1245">
        <v>0.15497776865959167</v>
      </c>
      <c r="N195" s="1245">
        <v>0.13313961029052734</v>
      </c>
      <c r="O195" s="1245">
        <v>8.4594748914241791E-2</v>
      </c>
      <c r="P195" s="1245">
        <v>8.4904685616493225E-2</v>
      </c>
      <c r="Q195" s="1245">
        <v>0.15372282266616821</v>
      </c>
      <c r="R195" s="1245">
        <v>9.0179532766342163E-2</v>
      </c>
      <c r="S195" s="1245">
        <v>9.1747552156448364E-2</v>
      </c>
      <c r="T195" s="1245">
        <v>0.10210518538951874</v>
      </c>
      <c r="U195" s="1245">
        <v>7.5048789381980896E-2</v>
      </c>
      <c r="V195" s="1245">
        <v>5.7841651141643524E-2</v>
      </c>
      <c r="W195" s="1245">
        <v>0.1202458068728447</v>
      </c>
      <c r="X195" s="1245">
        <v>0.12041112780570984</v>
      </c>
      <c r="Y195" s="1245">
        <v>0.1592496931552887</v>
      </c>
      <c r="Z195" s="1245">
        <v>0.12355758249759674</v>
      </c>
      <c r="AA195" s="1245">
        <v>0.16350483894348145</v>
      </c>
      <c r="AB195" s="1245">
        <v>6.471000611782074E-2</v>
      </c>
      <c r="AC195" s="1245">
        <v>0.11688853800296783</v>
      </c>
      <c r="AD195" s="1245">
        <v>5.9632215648889542E-2</v>
      </c>
      <c r="AE195" s="260">
        <f>'User Add-in Location'!B200</f>
        <v>0</v>
      </c>
      <c r="AF195" s="260">
        <f>'User Add-in Location'!C200</f>
        <v>0</v>
      </c>
      <c r="AG195" s="1245">
        <v>9.1828584671020508E-2</v>
      </c>
      <c r="AH195" s="1245">
        <v>7.2802118957042694E-2</v>
      </c>
      <c r="AI195" s="1245">
        <v>0.1550537645816803</v>
      </c>
      <c r="AJ195" s="1245">
        <v>0.14574505388736725</v>
      </c>
      <c r="AK195" s="1245">
        <v>7.041187584400177E-2</v>
      </c>
      <c r="AL195" s="1245">
        <v>0.12685345113277435</v>
      </c>
      <c r="AM195" s="1245">
        <v>0.11197657883167267</v>
      </c>
      <c r="AN195" s="1245">
        <v>7.0760868489742279E-2</v>
      </c>
      <c r="AO195" s="1245">
        <v>0.1345667839050293</v>
      </c>
      <c r="AP195" s="1245">
        <v>0.10587819665670395</v>
      </c>
      <c r="AQ195" s="1245">
        <v>0.12958580255508423</v>
      </c>
      <c r="AR195" s="1245">
        <v>0.14398464560508728</v>
      </c>
      <c r="AS195" s="1245">
        <v>0.14315801858901978</v>
      </c>
      <c r="AT195" s="1245">
        <v>8.6021214723587036E-2</v>
      </c>
      <c r="AU195" s="1245">
        <v>9.2863574624061584E-2</v>
      </c>
      <c r="AV195" s="1245">
        <v>0.11468271911144257</v>
      </c>
      <c r="AW195" s="1245">
        <v>0.12798884510993958</v>
      </c>
      <c r="AX195" s="1245">
        <v>0.33422034978866577</v>
      </c>
      <c r="AY195" s="1245">
        <v>0.12793120741844177</v>
      </c>
      <c r="AZ195" s="1245">
        <v>0.10424187779426575</v>
      </c>
      <c r="BA195" s="1245">
        <v>0.10824432224035263</v>
      </c>
      <c r="BB195" s="1245">
        <v>0.1249823123216629</v>
      </c>
      <c r="BC195" s="1245">
        <v>6.4569368958473206E-2</v>
      </c>
      <c r="BD195" s="1245">
        <v>0.13311314582824707</v>
      </c>
      <c r="BE195" s="1245">
        <v>3.4487508237361908E-2</v>
      </c>
    </row>
    <row r="196" spans="1:57" s="220" customFormat="1" ht="15.75" x14ac:dyDescent="0.3">
      <c r="A196" s="1254"/>
      <c r="B196" s="1249"/>
      <c r="C196" s="1224" t="s">
        <v>1407</v>
      </c>
      <c r="D196" s="1245">
        <v>0.1189974844455719</v>
      </c>
      <c r="E196" s="1245">
        <v>0.12072815001010895</v>
      </c>
      <c r="F196" s="1245">
        <v>0.19649821519851685</v>
      </c>
      <c r="G196" s="1245">
        <v>0.11577810347080231</v>
      </c>
      <c r="H196" s="1245">
        <v>0.23826588690280914</v>
      </c>
      <c r="I196" s="1245">
        <v>0.19340534508228302</v>
      </c>
      <c r="J196" s="1245">
        <v>0.19781205058097839</v>
      </c>
      <c r="K196" s="1245">
        <v>0.15288297832012177</v>
      </c>
      <c r="L196" s="1245">
        <v>0</v>
      </c>
      <c r="M196" s="1245">
        <v>0.19886726140975952</v>
      </c>
      <c r="N196" s="1245">
        <v>0.17569643259048462</v>
      </c>
      <c r="O196" s="1245">
        <v>0.14069116115570068</v>
      </c>
      <c r="P196" s="1245">
        <v>0.11843212693929672</v>
      </c>
      <c r="Q196" s="1245">
        <v>0.22236503660678864</v>
      </c>
      <c r="R196" s="1245">
        <v>0.13514021039009094</v>
      </c>
      <c r="S196" s="1245">
        <v>0.12553201615810394</v>
      </c>
      <c r="T196" s="1245">
        <v>0.12918630242347717</v>
      </c>
      <c r="U196" s="1245">
        <v>0.1286541223526001</v>
      </c>
      <c r="V196" s="1245">
        <v>0.12093009054660797</v>
      </c>
      <c r="W196" s="1245">
        <v>0.15132486820220947</v>
      </c>
      <c r="X196" s="1245">
        <v>0.16935563087463379</v>
      </c>
      <c r="Y196" s="1245">
        <v>0.20804065465927124</v>
      </c>
      <c r="Z196" s="1245">
        <v>0.18749329447746277</v>
      </c>
      <c r="AA196" s="1245">
        <v>0.2272801399230957</v>
      </c>
      <c r="AB196" s="1245">
        <v>9.8223000764846802E-2</v>
      </c>
      <c r="AC196" s="1245">
        <v>0.17477104067802429</v>
      </c>
      <c r="AD196" s="1245">
        <v>0.11418352276086807</v>
      </c>
      <c r="AE196" s="260">
        <f>'User Add-in Location'!B201</f>
        <v>0</v>
      </c>
      <c r="AF196" s="260">
        <f>'User Add-in Location'!C201</f>
        <v>0</v>
      </c>
      <c r="AG196" s="1245">
        <v>0.12962788343429565</v>
      </c>
      <c r="AH196" s="1245">
        <v>9.1966971755027771E-2</v>
      </c>
      <c r="AI196" s="1245">
        <v>0.18185937404632568</v>
      </c>
      <c r="AJ196" s="1245">
        <v>0.21883267164230347</v>
      </c>
      <c r="AK196" s="1245">
        <v>9.5167055726051331E-2</v>
      </c>
      <c r="AL196" s="1245">
        <v>0.17485085129737854</v>
      </c>
      <c r="AM196" s="1245">
        <v>0.16687579452991486</v>
      </c>
      <c r="AN196" s="1245">
        <v>0.10584381222724915</v>
      </c>
      <c r="AO196" s="1245">
        <v>0.20021483302116394</v>
      </c>
      <c r="AP196" s="1245">
        <v>0.13757088780403137</v>
      </c>
      <c r="AQ196" s="1245">
        <v>0.16945961117744446</v>
      </c>
      <c r="AR196" s="1245">
        <v>0.20293334126472473</v>
      </c>
      <c r="AS196" s="1245">
        <v>0.1871519535779953</v>
      </c>
      <c r="AT196" s="1245">
        <v>0.13330209255218506</v>
      </c>
      <c r="AU196" s="1245">
        <v>0.10766041278839111</v>
      </c>
      <c r="AV196" s="1245">
        <v>0.18456891179084778</v>
      </c>
      <c r="AW196" s="1245">
        <v>0.19295340776443481</v>
      </c>
      <c r="AX196" s="1245">
        <v>0.42291057109832764</v>
      </c>
      <c r="AY196" s="1245">
        <v>0.18027177453041077</v>
      </c>
      <c r="AZ196" s="1245">
        <v>0.14503777027130127</v>
      </c>
      <c r="BA196" s="1245">
        <v>0.17442256212234497</v>
      </c>
      <c r="BB196" s="1245">
        <v>0.17417925596237183</v>
      </c>
      <c r="BC196" s="1245">
        <v>9.7787395119667053E-2</v>
      </c>
      <c r="BD196" s="1245">
        <v>0.18092307448387146</v>
      </c>
      <c r="BE196" s="1245">
        <v>6.6132910549640656E-2</v>
      </c>
    </row>
    <row r="197" spans="1:57" s="220" customFormat="1" ht="15.75" x14ac:dyDescent="0.3">
      <c r="A197" s="1254"/>
      <c r="B197" s="1249"/>
      <c r="C197" s="1224" t="s">
        <v>599</v>
      </c>
      <c r="D197" s="1245">
        <v>8.3106324076652527E-2</v>
      </c>
      <c r="E197" s="1245">
        <v>7.8020989894866943E-2</v>
      </c>
      <c r="F197" s="1245">
        <v>0.13944205641746521</v>
      </c>
      <c r="G197" s="1245">
        <v>8.7123341858386993E-2</v>
      </c>
      <c r="H197" s="1245">
        <v>0.19663506746292114</v>
      </c>
      <c r="I197" s="1245">
        <v>0.14978982508182526</v>
      </c>
      <c r="J197" s="1245">
        <v>0.16307759284973145</v>
      </c>
      <c r="K197" s="1245">
        <v>0.13431957364082336</v>
      </c>
      <c r="L197" s="1245">
        <v>4.6421945095062256E-2</v>
      </c>
      <c r="M197" s="1245">
        <v>0.15704450011253357</v>
      </c>
      <c r="N197" s="1245">
        <v>0.13171309232711792</v>
      </c>
      <c r="O197" s="1245">
        <v>9.3449778854846954E-2</v>
      </c>
      <c r="P197" s="1245">
        <v>7.9058989882469177E-2</v>
      </c>
      <c r="Q197" s="1245">
        <v>0.15271472930908203</v>
      </c>
      <c r="R197" s="1245">
        <v>9.6419759094715118E-2</v>
      </c>
      <c r="S197" s="1245">
        <v>8.2246601581573486E-2</v>
      </c>
      <c r="T197" s="1245">
        <v>9.4585120677947998E-2</v>
      </c>
      <c r="U197" s="1245">
        <v>9.2123046517372131E-2</v>
      </c>
      <c r="V197" s="1245">
        <v>8.7507441639900208E-2</v>
      </c>
      <c r="W197" s="1245">
        <v>0.13477215170860291</v>
      </c>
      <c r="X197" s="1245">
        <v>0.1103978157043457</v>
      </c>
      <c r="Y197" s="1245">
        <v>0.18634095788002014</v>
      </c>
      <c r="Z197" s="1245">
        <v>0.15367132425308228</v>
      </c>
      <c r="AA197" s="1245">
        <v>0.17233195900917053</v>
      </c>
      <c r="AB197" s="1245">
        <v>5.5534705519676208E-2</v>
      </c>
      <c r="AC197" s="1245">
        <v>0.11145585030317307</v>
      </c>
      <c r="AD197" s="1245">
        <v>6.4428478479385376E-2</v>
      </c>
      <c r="AE197" s="260">
        <f>'User Add-in Location'!B202</f>
        <v>0</v>
      </c>
      <c r="AF197" s="260">
        <f>'User Add-in Location'!C202</f>
        <v>0</v>
      </c>
      <c r="AG197" s="1245">
        <v>8.0035075545310974E-2</v>
      </c>
      <c r="AH197" s="1245">
        <v>7.1133419871330261E-2</v>
      </c>
      <c r="AI197" s="1245">
        <v>0.22931438684463501</v>
      </c>
      <c r="AJ197" s="1245">
        <v>0.19306221604347229</v>
      </c>
      <c r="AK197" s="1245">
        <v>6.8794697523117065E-2</v>
      </c>
      <c r="AL197" s="1245">
        <v>0.13655433058738708</v>
      </c>
      <c r="AM197" s="1245">
        <v>0.12836045026779175</v>
      </c>
      <c r="AN197" s="1245">
        <v>6.6634923219680786E-2</v>
      </c>
      <c r="AO197" s="1245">
        <v>0.1650892049074173</v>
      </c>
      <c r="AP197" s="1245">
        <v>0.1101495623588562</v>
      </c>
      <c r="AQ197" s="1245">
        <v>0.13442492485046387</v>
      </c>
      <c r="AR197" s="1245">
        <v>0.16078823804855347</v>
      </c>
      <c r="AS197" s="1245">
        <v>0.16502627730369568</v>
      </c>
      <c r="AT197" s="1245">
        <v>0.10648268461227417</v>
      </c>
      <c r="AU197" s="1245">
        <v>7.7301532030105591E-2</v>
      </c>
      <c r="AV197" s="1245">
        <v>0.12076391279697418</v>
      </c>
      <c r="AW197" s="1245">
        <v>0.14993488788604736</v>
      </c>
      <c r="AX197" s="1245">
        <v>0.35288766026496887</v>
      </c>
      <c r="AY197" s="1245">
        <v>0.12986388802528381</v>
      </c>
      <c r="AZ197" s="1245">
        <v>0.14366638660430908</v>
      </c>
      <c r="BA197" s="1245">
        <v>0.1343538761138916</v>
      </c>
      <c r="BB197" s="1245">
        <v>0.14818671345710754</v>
      </c>
      <c r="BC197" s="1245">
        <v>0.10098955035209656</v>
      </c>
      <c r="BD197" s="1245">
        <v>0.12106388807296753</v>
      </c>
      <c r="BE197" s="1245">
        <v>4.4484950602054596E-2</v>
      </c>
    </row>
    <row r="198" spans="1:57" s="220" customFormat="1" ht="15.75" x14ac:dyDescent="0.3">
      <c r="A198" s="1254"/>
      <c r="B198" s="1249"/>
      <c r="C198" s="1224" t="s">
        <v>1408</v>
      </c>
      <c r="D198" s="1245">
        <v>0.1262056827545166</v>
      </c>
      <c r="E198" s="1245">
        <v>0</v>
      </c>
      <c r="F198" s="1245">
        <v>0.17465542256832123</v>
      </c>
      <c r="G198" s="1245">
        <v>0.10894099622964859</v>
      </c>
      <c r="H198" s="1245">
        <v>0.22592216730117798</v>
      </c>
      <c r="I198" s="1245">
        <v>0.16214773058891296</v>
      </c>
      <c r="J198" s="1245">
        <v>0.16870647668838501</v>
      </c>
      <c r="K198" s="1245">
        <v>0.15537196397781372</v>
      </c>
      <c r="L198" s="1245">
        <v>2.8163693845272064E-2</v>
      </c>
      <c r="M198" s="1245">
        <v>0.17269238829612732</v>
      </c>
      <c r="N198" s="1245">
        <v>0.14244638383388519</v>
      </c>
      <c r="O198" s="1245">
        <v>7.1968674659729004E-2</v>
      </c>
      <c r="P198" s="1245">
        <v>0.11194542795419693</v>
      </c>
      <c r="Q198" s="1245">
        <v>0.19765865802764893</v>
      </c>
      <c r="R198" s="1245">
        <v>0.13070425391197205</v>
      </c>
      <c r="S198" s="1245">
        <v>0.10937447845935822</v>
      </c>
      <c r="T198" s="1245">
        <v>0.1207892894744873</v>
      </c>
      <c r="U198" s="1245">
        <v>0.11965151131153107</v>
      </c>
      <c r="V198" s="1245">
        <v>0.11250635236501694</v>
      </c>
      <c r="W198" s="1245">
        <v>0.10927410423755646</v>
      </c>
      <c r="X198" s="1245">
        <v>0.14522884786128998</v>
      </c>
      <c r="Y198" s="1245">
        <v>0.17233827710151672</v>
      </c>
      <c r="Z198" s="1245">
        <v>0.1760002076625824</v>
      </c>
      <c r="AA198" s="1245">
        <v>0.18574249744415283</v>
      </c>
      <c r="AB198" s="1245">
        <v>7.345397025346756E-2</v>
      </c>
      <c r="AC198" s="1245">
        <v>0.14442156255245209</v>
      </c>
      <c r="AD198" s="1245">
        <v>7.0093460381031036E-2</v>
      </c>
      <c r="AE198" s="260">
        <f>'User Add-in Location'!B203</f>
        <v>0</v>
      </c>
      <c r="AF198" s="260">
        <f>'User Add-in Location'!C203</f>
        <v>0</v>
      </c>
      <c r="AG198" s="1245">
        <v>0.13555854558944702</v>
      </c>
      <c r="AH198" s="1245">
        <v>8.0313503742218018E-2</v>
      </c>
      <c r="AI198" s="1245">
        <v>0.17763659358024597</v>
      </c>
      <c r="AJ198" s="1245">
        <v>0.18394559621810913</v>
      </c>
      <c r="AK198" s="1245">
        <v>7.2657935321331024E-2</v>
      </c>
      <c r="AL198" s="1245">
        <v>0.14708638191223145</v>
      </c>
      <c r="AM198" s="1245">
        <v>0.12781661748886108</v>
      </c>
      <c r="AN198" s="1245">
        <v>9.3613207340240479E-2</v>
      </c>
      <c r="AO198" s="1245">
        <v>0.16665294766426086</v>
      </c>
      <c r="AP198" s="1245">
        <v>0.12579023838043213</v>
      </c>
      <c r="AQ198" s="1245">
        <v>7.4217334389686584E-2</v>
      </c>
      <c r="AR198" s="1245">
        <v>0.17227709293365479</v>
      </c>
      <c r="AS198" s="1245">
        <v>0.12242299318313599</v>
      </c>
      <c r="AT198" s="1245">
        <v>0.1358429342508316</v>
      </c>
      <c r="AU198" s="1245">
        <v>9.896579384803772E-2</v>
      </c>
      <c r="AV198" s="1245">
        <v>0.15620464086532593</v>
      </c>
      <c r="AW198" s="1245">
        <v>0.15591564774513245</v>
      </c>
      <c r="AX198" s="1245">
        <v>0.33136153221130371</v>
      </c>
      <c r="AY198" s="1245">
        <v>0.14119255542755127</v>
      </c>
      <c r="AZ198" s="1245">
        <v>0.11856444180011749</v>
      </c>
      <c r="BA198" s="1245">
        <v>0.1373666375875473</v>
      </c>
      <c r="BB198" s="1245">
        <v>0.12766106426715851</v>
      </c>
      <c r="BC198" s="1245">
        <v>7.2755143046379089E-2</v>
      </c>
      <c r="BD198" s="1245">
        <v>0.16460694372653961</v>
      </c>
      <c r="BE198" s="1245">
        <v>5.4728493094444275E-2</v>
      </c>
    </row>
    <row r="199" spans="1:57" s="220" customFormat="1" ht="15.75" x14ac:dyDescent="0.3">
      <c r="A199" s="1254"/>
      <c r="B199" s="1249"/>
      <c r="C199" s="1224" t="s">
        <v>602</v>
      </c>
      <c r="D199" s="1245">
        <v>0.12244455516338348</v>
      </c>
      <c r="E199" s="1245">
        <v>7.7028974890708923E-2</v>
      </c>
      <c r="F199" s="1245">
        <v>0.18282629549503326</v>
      </c>
      <c r="G199" s="1245">
        <v>0.13810797035694122</v>
      </c>
      <c r="H199" s="1245">
        <v>0.2366940975189209</v>
      </c>
      <c r="I199" s="1245">
        <v>0.22259064018726349</v>
      </c>
      <c r="J199" s="1245">
        <v>0.17948919534683228</v>
      </c>
      <c r="K199" s="1245">
        <v>0.15458545088768005</v>
      </c>
      <c r="L199" s="1245">
        <v>7.3116473853588104E-2</v>
      </c>
      <c r="M199" s="1245">
        <v>0.17954769730567932</v>
      </c>
      <c r="N199" s="1245">
        <v>0.18867510557174683</v>
      </c>
      <c r="O199" s="1245">
        <v>0.11996394395828247</v>
      </c>
      <c r="P199" s="1245">
        <v>0.12720641493797302</v>
      </c>
      <c r="Q199" s="1245">
        <v>0.23326484858989716</v>
      </c>
      <c r="R199" s="1245">
        <v>0.14502677321434021</v>
      </c>
      <c r="S199" s="1245">
        <v>0.12857341766357422</v>
      </c>
      <c r="T199" s="1245">
        <v>0.13525965809822083</v>
      </c>
      <c r="U199" s="1245">
        <v>0.1224360466003418</v>
      </c>
      <c r="V199" s="1245">
        <v>0.12188777327537537</v>
      </c>
      <c r="W199" s="1245">
        <v>0.14838993549346924</v>
      </c>
      <c r="X199" s="1245">
        <v>0.15428227186203003</v>
      </c>
      <c r="Y199" s="1245">
        <v>0.19519272446632385</v>
      </c>
      <c r="Z199" s="1245">
        <v>0.17504501342773438</v>
      </c>
      <c r="AA199" s="1245">
        <v>0.20915353298187256</v>
      </c>
      <c r="AB199" s="1245">
        <v>9.871239960193634E-2</v>
      </c>
      <c r="AC199" s="1245">
        <v>0.17297154664993286</v>
      </c>
      <c r="AD199" s="1245">
        <v>0.12182376533746719</v>
      </c>
      <c r="AE199" s="260">
        <f>'User Add-in Location'!B204</f>
        <v>0</v>
      </c>
      <c r="AF199" s="260">
        <f>'User Add-in Location'!C204</f>
        <v>0</v>
      </c>
      <c r="AG199" s="1245">
        <v>0.15029652416706085</v>
      </c>
      <c r="AH199" s="1245">
        <v>0</v>
      </c>
      <c r="AI199" s="1245">
        <v>0.1638035923242569</v>
      </c>
      <c r="AJ199" s="1245">
        <v>0.20488539338111877</v>
      </c>
      <c r="AK199" s="1245">
        <v>0.11018084734678268</v>
      </c>
      <c r="AL199" s="1245">
        <v>0.19035106897354126</v>
      </c>
      <c r="AM199" s="1245">
        <v>0.1670747697353363</v>
      </c>
      <c r="AN199" s="1245">
        <v>0.12607601284980774</v>
      </c>
      <c r="AO199" s="1245">
        <v>0.18535631895065308</v>
      </c>
      <c r="AP199" s="1245">
        <v>0.16748163104057312</v>
      </c>
      <c r="AQ199" s="1245">
        <v>0.15603232383728027</v>
      </c>
      <c r="AR199" s="1245">
        <v>0.21851646900177002</v>
      </c>
      <c r="AS199" s="1245">
        <v>0.17143933475017548</v>
      </c>
      <c r="AT199" s="1245">
        <v>0.11642298102378845</v>
      </c>
      <c r="AU199" s="1245">
        <v>0.12414008378982544</v>
      </c>
      <c r="AV199" s="1245">
        <v>0.18322731554508209</v>
      </c>
      <c r="AW199" s="1245">
        <v>0.21948538720607758</v>
      </c>
      <c r="AX199" s="1245">
        <v>0.3887825608253479</v>
      </c>
      <c r="AY199" s="1245">
        <v>0.20951174199581146</v>
      </c>
      <c r="AZ199" s="1245">
        <v>0.14364920556545258</v>
      </c>
      <c r="BA199" s="1245">
        <v>0.1716325581073761</v>
      </c>
      <c r="BB199" s="1245">
        <v>0.16960299015045166</v>
      </c>
      <c r="BC199" s="1245">
        <v>0.1160653829574585</v>
      </c>
      <c r="BD199" s="1245">
        <v>0.17095714807510376</v>
      </c>
      <c r="BE199" s="1245">
        <v>7.4679024517536163E-2</v>
      </c>
    </row>
    <row r="200" spans="1:57" s="220" customFormat="1" ht="15.75" x14ac:dyDescent="0.3">
      <c r="A200" s="1254"/>
      <c r="B200" s="1249"/>
      <c r="C200" s="1224" t="s">
        <v>1409</v>
      </c>
      <c r="D200" s="1245">
        <v>0.16844363510608673</v>
      </c>
      <c r="E200" s="1245">
        <v>0.12579163908958435</v>
      </c>
      <c r="F200" s="1245">
        <v>0.2669370174407959</v>
      </c>
      <c r="G200" s="1245">
        <v>0.15119434893131256</v>
      </c>
      <c r="H200" s="1245">
        <v>0.26744905114173889</v>
      </c>
      <c r="I200" s="1245">
        <v>0.28615888953208923</v>
      </c>
      <c r="J200" s="1245">
        <v>0.2412574291229248</v>
      </c>
      <c r="K200" s="1245">
        <v>0.21470242738723755</v>
      </c>
      <c r="L200" s="1245">
        <v>8.1826590001583099E-2</v>
      </c>
      <c r="M200" s="1245">
        <v>0.26127925515174866</v>
      </c>
      <c r="N200" s="1245">
        <v>0.24686667323112488</v>
      </c>
      <c r="O200" s="1245">
        <v>0.18395550549030304</v>
      </c>
      <c r="P200" s="1245">
        <v>0.16453522443771362</v>
      </c>
      <c r="Q200" s="1245">
        <v>0.28073534369468689</v>
      </c>
      <c r="R200" s="1245">
        <v>0.18622224032878876</v>
      </c>
      <c r="S200" s="1245">
        <v>0.1772303581237793</v>
      </c>
      <c r="T200" s="1245">
        <v>0.18031129240989685</v>
      </c>
      <c r="U200" s="1245">
        <v>0.15232174098491669</v>
      </c>
      <c r="V200" s="1245">
        <v>0.15615320205688477</v>
      </c>
      <c r="W200" s="1245">
        <v>0.20788873732089996</v>
      </c>
      <c r="X200" s="1245">
        <v>0.22185179591178894</v>
      </c>
      <c r="Y200" s="1245">
        <v>0.28214854001998901</v>
      </c>
      <c r="Z200" s="1245">
        <v>0.23209723830223083</v>
      </c>
      <c r="AA200" s="1245">
        <v>0.29292041063308716</v>
      </c>
      <c r="AB200" s="1245">
        <v>0.12728601694107056</v>
      </c>
      <c r="AC200" s="1245">
        <v>0.23551227152347565</v>
      </c>
      <c r="AD200" s="1245">
        <v>0.15369859337806702</v>
      </c>
      <c r="AE200" s="260">
        <f>'User Add-in Location'!B205</f>
        <v>0</v>
      </c>
      <c r="AF200" s="260">
        <f>'User Add-in Location'!C205</f>
        <v>0</v>
      </c>
      <c r="AG200" s="1245">
        <v>0.18483993411064148</v>
      </c>
      <c r="AH200" s="1245">
        <v>0.13044717907905579</v>
      </c>
      <c r="AI200" s="1245">
        <v>0.27284738421440125</v>
      </c>
      <c r="AJ200" s="1245">
        <v>0.26156610250473022</v>
      </c>
      <c r="AK200" s="1245">
        <v>0.1348457932472229</v>
      </c>
      <c r="AL200" s="1245">
        <v>0.22205862402915955</v>
      </c>
      <c r="AM200" s="1245">
        <v>0.24177670478820801</v>
      </c>
      <c r="AN200" s="1245">
        <v>0.14413057267665863</v>
      </c>
      <c r="AO200" s="1245">
        <v>0.25450694561004639</v>
      </c>
      <c r="AP200" s="1245">
        <v>0.1653047502040863</v>
      </c>
      <c r="AQ200" s="1245">
        <v>0.2242855578660965</v>
      </c>
      <c r="AR200" s="1245">
        <v>0.25824952125549316</v>
      </c>
      <c r="AS200" s="1245">
        <v>0.25258743762969971</v>
      </c>
      <c r="AT200" s="1245">
        <v>0.1678411066532135</v>
      </c>
      <c r="AU200" s="1245">
        <v>0.16502952575683594</v>
      </c>
      <c r="AV200" s="1245">
        <v>0.22506323456764221</v>
      </c>
      <c r="AW200" s="1245">
        <v>0.2334398627281189</v>
      </c>
      <c r="AX200" s="1245">
        <v>0.42678913474082947</v>
      </c>
      <c r="AY200" s="1245">
        <v>0.24624495208263397</v>
      </c>
      <c r="AZ200" s="1245">
        <v>0.18403229117393494</v>
      </c>
      <c r="BA200" s="1245">
        <v>0.22797578573226929</v>
      </c>
      <c r="BB200" s="1245">
        <v>0.21922573447227478</v>
      </c>
      <c r="BC200" s="1245">
        <v>0.13756769895553589</v>
      </c>
      <c r="BD200" s="1245">
        <v>0.2278468906879425</v>
      </c>
      <c r="BE200" s="1245">
        <v>9.4206169247627258E-2</v>
      </c>
    </row>
    <row r="201" spans="1:57" s="220" customFormat="1" ht="15.75" x14ac:dyDescent="0.3">
      <c r="A201" s="1254"/>
      <c r="B201" s="1249"/>
      <c r="C201" s="1224" t="s">
        <v>1410</v>
      </c>
      <c r="D201" s="1245">
        <v>0.18322959542274475</v>
      </c>
      <c r="E201" s="1245">
        <v>0.1935962438583374</v>
      </c>
      <c r="F201" s="1245">
        <v>0.28919330239295959</v>
      </c>
      <c r="G201" s="1245">
        <v>0.19330579042434692</v>
      </c>
      <c r="H201" s="1245">
        <v>0.29936426877975464</v>
      </c>
      <c r="I201" s="1245">
        <v>0.29819521307945251</v>
      </c>
      <c r="J201" s="1245">
        <v>0.29025518894195557</v>
      </c>
      <c r="K201" s="1245">
        <v>0.2481377124786377</v>
      </c>
      <c r="L201" s="1245">
        <v>8.308236300945282E-2</v>
      </c>
      <c r="M201" s="1245">
        <v>0.29952752590179443</v>
      </c>
      <c r="N201" s="1245">
        <v>0.27828839421272278</v>
      </c>
      <c r="O201" s="1245">
        <v>0.19907131791114807</v>
      </c>
      <c r="P201" s="1245">
        <v>0.19359377026557922</v>
      </c>
      <c r="Q201" s="1245">
        <v>0.30369925498962402</v>
      </c>
      <c r="R201" s="1245">
        <v>0.20657289028167725</v>
      </c>
      <c r="S201" s="1245">
        <v>0.19845327734947205</v>
      </c>
      <c r="T201" s="1245">
        <v>0.19119261205196381</v>
      </c>
      <c r="U201" s="1245">
        <v>0.20042237639427185</v>
      </c>
      <c r="V201" s="1245">
        <v>0.17707586288452148</v>
      </c>
      <c r="W201" s="1245">
        <v>0.24060943722724915</v>
      </c>
      <c r="X201" s="1245">
        <v>0.24757009744644165</v>
      </c>
      <c r="Y201" s="1245">
        <v>0.31660875678062439</v>
      </c>
      <c r="Z201" s="1245">
        <v>0.24356311559677124</v>
      </c>
      <c r="AA201" s="1245">
        <v>0.29411202669143677</v>
      </c>
      <c r="AB201" s="1245">
        <v>0.15413376688957214</v>
      </c>
      <c r="AC201" s="1245">
        <v>0.26232796907424927</v>
      </c>
      <c r="AD201" s="1245">
        <v>0.20605580508708954</v>
      </c>
      <c r="AE201" s="260">
        <f>'User Add-in Location'!B206</f>
        <v>0</v>
      </c>
      <c r="AF201" s="260">
        <f>'User Add-in Location'!C206</f>
        <v>0</v>
      </c>
      <c r="AG201" s="1245">
        <v>0.20257177948951721</v>
      </c>
      <c r="AH201" s="1245">
        <v>9.4952374696731567E-2</v>
      </c>
      <c r="AI201" s="1245">
        <v>0.31198281049728394</v>
      </c>
      <c r="AJ201" s="1245">
        <v>0.30135923624038696</v>
      </c>
      <c r="AK201" s="1245">
        <v>0.17272880673408508</v>
      </c>
      <c r="AL201" s="1245">
        <v>0.25987595319747925</v>
      </c>
      <c r="AM201" s="1245">
        <v>0.28297960758209229</v>
      </c>
      <c r="AN201" s="1245">
        <v>0.16560935974121094</v>
      </c>
      <c r="AO201" s="1245">
        <v>0.27685573697090149</v>
      </c>
      <c r="AP201" s="1245">
        <v>0.20967796444892883</v>
      </c>
      <c r="AQ201" s="1245">
        <v>0.27858299016952515</v>
      </c>
      <c r="AR201" s="1245">
        <v>0.29869264364242554</v>
      </c>
      <c r="AS201" s="1245">
        <v>0.29020065069198608</v>
      </c>
      <c r="AT201" s="1245">
        <v>0.19780559837818146</v>
      </c>
      <c r="AU201" s="1245">
        <v>0.19029408693313599</v>
      </c>
      <c r="AV201" s="1245">
        <v>0.26642835140228271</v>
      </c>
      <c r="AW201" s="1245">
        <v>0.25569832324981689</v>
      </c>
      <c r="AX201" s="1245">
        <v>0.4726460874080658</v>
      </c>
      <c r="AY201" s="1245">
        <v>0.27738338708877563</v>
      </c>
      <c r="AZ201" s="1245">
        <v>0.22360220551490784</v>
      </c>
      <c r="BA201" s="1245">
        <v>0.24141544103622437</v>
      </c>
      <c r="BB201" s="1245">
        <v>0.23678570985794067</v>
      </c>
      <c r="BC201" s="1245">
        <v>0.16537380218505859</v>
      </c>
      <c r="BD201" s="1245">
        <v>0.24303413927555084</v>
      </c>
      <c r="BE201" s="1245">
        <v>0.11469757556915283</v>
      </c>
    </row>
    <row r="202" spans="1:57" s="220" customFormat="1" ht="15.75" x14ac:dyDescent="0.3">
      <c r="A202" s="1254"/>
      <c r="B202" s="1249"/>
      <c r="C202" s="1224" t="s">
        <v>605</v>
      </c>
      <c r="D202" s="1245">
        <v>0.13705578446388245</v>
      </c>
      <c r="E202" s="1245">
        <v>0.10882732272148132</v>
      </c>
      <c r="F202" s="1245">
        <v>0.21825411915779114</v>
      </c>
      <c r="G202" s="1245">
        <v>0.11841282248497009</v>
      </c>
      <c r="H202" s="1245">
        <v>0.21157951653003693</v>
      </c>
      <c r="I202" s="1245">
        <v>0.21461197733879089</v>
      </c>
      <c r="J202" s="1245">
        <v>0.22984540462493896</v>
      </c>
      <c r="K202" s="1245">
        <v>0.1252131462097168</v>
      </c>
      <c r="L202" s="1245">
        <v>5.8372329920530319E-2</v>
      </c>
      <c r="M202" s="1245">
        <v>0.21680405735969543</v>
      </c>
      <c r="N202" s="1245">
        <v>0.18723976612091064</v>
      </c>
      <c r="O202" s="1245">
        <v>0.12715476751327515</v>
      </c>
      <c r="P202" s="1245">
        <v>0.11615265905857086</v>
      </c>
      <c r="Q202" s="1245">
        <v>0.21894222497940063</v>
      </c>
      <c r="R202" s="1245">
        <v>0.12887722253799438</v>
      </c>
      <c r="S202" s="1245">
        <v>0.13168257474899292</v>
      </c>
      <c r="T202" s="1245">
        <v>0.14349478483200073</v>
      </c>
      <c r="U202" s="1245">
        <v>0.132630854845047</v>
      </c>
      <c r="V202" s="1245">
        <v>0.12029866874217987</v>
      </c>
      <c r="W202" s="1245">
        <v>0.15303343534469604</v>
      </c>
      <c r="X202" s="1245">
        <v>0.15897254645824432</v>
      </c>
      <c r="Y202" s="1245">
        <v>0.24070978164672852</v>
      </c>
      <c r="Z202" s="1245">
        <v>0.1738518625497818</v>
      </c>
      <c r="AA202" s="1245">
        <v>0.24756315350532532</v>
      </c>
      <c r="AB202" s="1245">
        <v>0.10091674327850342</v>
      </c>
      <c r="AC202" s="1245">
        <v>0.17410552501678467</v>
      </c>
      <c r="AD202" s="1245">
        <v>0.10854503512382507</v>
      </c>
      <c r="AE202" s="260">
        <f>'User Add-in Location'!B207</f>
        <v>0</v>
      </c>
      <c r="AF202" s="260">
        <f>'User Add-in Location'!C207</f>
        <v>0</v>
      </c>
      <c r="AG202" s="1245">
        <v>0.13978962600231171</v>
      </c>
      <c r="AH202" s="1245">
        <v>0</v>
      </c>
      <c r="AI202" s="1245">
        <v>0.19272890686988831</v>
      </c>
      <c r="AJ202" s="1245">
        <v>0.20593631267547607</v>
      </c>
      <c r="AK202" s="1245">
        <v>8.5925914347171783E-2</v>
      </c>
      <c r="AL202" s="1245">
        <v>0.20534645020961761</v>
      </c>
      <c r="AM202" s="1245">
        <v>0.20497044920921326</v>
      </c>
      <c r="AN202" s="1245">
        <v>0.11331944167613983</v>
      </c>
      <c r="AO202" s="1245">
        <v>0.182545006275177</v>
      </c>
      <c r="AP202" s="1245">
        <v>0.1380593329668045</v>
      </c>
      <c r="AQ202" s="1245">
        <v>0.14677324891090393</v>
      </c>
      <c r="AR202" s="1245">
        <v>0.20831441879272461</v>
      </c>
      <c r="AS202" s="1245">
        <v>0.20339956879615784</v>
      </c>
      <c r="AT202" s="1245">
        <v>0.15305124223232269</v>
      </c>
      <c r="AU202" s="1245">
        <v>0.11477618664503098</v>
      </c>
      <c r="AV202" s="1245">
        <v>0.18942934274673462</v>
      </c>
      <c r="AW202" s="1245">
        <v>0.21132567524909973</v>
      </c>
      <c r="AX202" s="1245">
        <v>0.35200566053390503</v>
      </c>
      <c r="AY202" s="1245">
        <v>0.16466799378395081</v>
      </c>
      <c r="AZ202" s="1245">
        <v>0.13362830877304077</v>
      </c>
      <c r="BA202" s="1245">
        <v>0.16015130281448364</v>
      </c>
      <c r="BB202" s="1245">
        <v>0.15269632637500763</v>
      </c>
      <c r="BC202" s="1245">
        <v>0.10031692683696747</v>
      </c>
      <c r="BD202" s="1245">
        <v>0.15876516699790955</v>
      </c>
      <c r="BE202" s="1245">
        <v>6.5812379121780396E-2</v>
      </c>
    </row>
    <row r="203" spans="1:57" s="220" customFormat="1" ht="15.75" x14ac:dyDescent="0.3">
      <c r="A203" s="1254"/>
      <c r="B203" s="1249"/>
      <c r="C203" s="1224" t="s">
        <v>1411</v>
      </c>
      <c r="D203" s="1245">
        <v>0.23944258689880371</v>
      </c>
      <c r="E203" s="1245">
        <v>0.22477257251739502</v>
      </c>
      <c r="F203" s="1245">
        <v>0.36533847451210022</v>
      </c>
      <c r="G203" s="1245">
        <v>0.22180438041687012</v>
      </c>
      <c r="H203" s="1245">
        <v>0.39479988813400269</v>
      </c>
      <c r="I203" s="1245">
        <v>0.37909385561943054</v>
      </c>
      <c r="J203" s="1245">
        <v>0.34569558501243591</v>
      </c>
      <c r="K203" s="1245">
        <v>0.28201135993003845</v>
      </c>
      <c r="L203" s="1245">
        <v>0.11104565858840942</v>
      </c>
      <c r="M203" s="1245">
        <v>0.36904668807983398</v>
      </c>
      <c r="N203" s="1245">
        <v>0.35126972198486328</v>
      </c>
      <c r="O203" s="1245">
        <v>0.24790924787521362</v>
      </c>
      <c r="P203" s="1245">
        <v>0.21149048209190369</v>
      </c>
      <c r="Q203" s="1245">
        <v>0.38862302899360657</v>
      </c>
      <c r="R203" s="1245">
        <v>0.21730071306228638</v>
      </c>
      <c r="S203" s="1245">
        <v>0.22205619513988495</v>
      </c>
      <c r="T203" s="1245">
        <v>0.24877393245697021</v>
      </c>
      <c r="U203" s="1245">
        <v>0.22665989398956299</v>
      </c>
      <c r="V203" s="1245">
        <v>0.22945226728916168</v>
      </c>
      <c r="W203" s="1245">
        <v>0.28321459889411926</v>
      </c>
      <c r="X203" s="1245">
        <v>0.30500665307044983</v>
      </c>
      <c r="Y203" s="1245">
        <v>0.36056554317474365</v>
      </c>
      <c r="Z203" s="1245">
        <v>0.32985728979110718</v>
      </c>
      <c r="AA203" s="1245">
        <v>0.37004131078720093</v>
      </c>
      <c r="AB203" s="1245">
        <v>0.1780647486448288</v>
      </c>
      <c r="AC203" s="1245">
        <v>0.30986407399177551</v>
      </c>
      <c r="AD203" s="1245">
        <v>0.21018531918525696</v>
      </c>
      <c r="AE203" s="260">
        <f>'User Add-in Location'!B208</f>
        <v>0</v>
      </c>
      <c r="AF203" s="260">
        <f>'User Add-in Location'!C208</f>
        <v>0</v>
      </c>
      <c r="AG203" s="1245">
        <v>0.23535320162773132</v>
      </c>
      <c r="AH203" s="1245">
        <v>0.18877774477005005</v>
      </c>
      <c r="AI203" s="1245">
        <v>0.32513988018035889</v>
      </c>
      <c r="AJ203" s="1245">
        <v>0.36760470271110535</v>
      </c>
      <c r="AK203" s="1245">
        <v>0.19264319539070129</v>
      </c>
      <c r="AL203" s="1245">
        <v>0.31479650735855103</v>
      </c>
      <c r="AM203" s="1245">
        <v>0.30204015970230103</v>
      </c>
      <c r="AN203" s="1245">
        <v>0.19871944189071655</v>
      </c>
      <c r="AO203" s="1245">
        <v>0.34483301639556885</v>
      </c>
      <c r="AP203" s="1245">
        <v>0.23850095272064209</v>
      </c>
      <c r="AQ203" s="1245">
        <v>0.25826567411422729</v>
      </c>
      <c r="AR203" s="1245">
        <v>0.34744587540626526</v>
      </c>
      <c r="AS203" s="1245">
        <v>0.32612553238868713</v>
      </c>
      <c r="AT203" s="1245">
        <v>0.24631315469741821</v>
      </c>
      <c r="AU203" s="1245">
        <v>0.20514389872550964</v>
      </c>
      <c r="AV203" s="1245">
        <v>0.31596589088439941</v>
      </c>
      <c r="AW203" s="1245">
        <v>0.3372921347618103</v>
      </c>
      <c r="AX203" s="1245">
        <v>0.5853760838508606</v>
      </c>
      <c r="AY203" s="1245">
        <v>0.32645571231842041</v>
      </c>
      <c r="AZ203" s="1245">
        <v>0.24780189990997314</v>
      </c>
      <c r="BA203" s="1245">
        <v>0.32614004611968994</v>
      </c>
      <c r="BB203" s="1245">
        <v>0.29990094900131226</v>
      </c>
      <c r="BC203" s="1245">
        <v>0.19210396707057953</v>
      </c>
      <c r="BD203" s="1245">
        <v>0.29114943742752075</v>
      </c>
      <c r="BE203" s="1245">
        <v>0.13535124063491821</v>
      </c>
    </row>
    <row r="204" spans="1:57" s="220" customFormat="1" ht="15.75" x14ac:dyDescent="0.3">
      <c r="A204" s="1254"/>
      <c r="B204" s="1249"/>
      <c r="C204" s="1224" t="s">
        <v>1412</v>
      </c>
      <c r="D204" s="1245">
        <v>0.17559882998466492</v>
      </c>
      <c r="E204" s="1245">
        <v>0.16427381336688995</v>
      </c>
      <c r="F204" s="1245">
        <v>0.27977609634399414</v>
      </c>
      <c r="G204" s="1245">
        <v>0.16360071301460266</v>
      </c>
      <c r="H204" s="1245">
        <v>0.29922479391098022</v>
      </c>
      <c r="I204" s="1245">
        <v>0.27801424264907837</v>
      </c>
      <c r="J204" s="1245">
        <v>0.26982057094573975</v>
      </c>
      <c r="K204" s="1245">
        <v>0.23269391059875488</v>
      </c>
      <c r="L204" s="1245">
        <v>9.3799740076065063E-2</v>
      </c>
      <c r="M204" s="1245">
        <v>0.28070777654647827</v>
      </c>
      <c r="N204" s="1245">
        <v>0.25561428070068359</v>
      </c>
      <c r="O204" s="1245">
        <v>0.20017318427562714</v>
      </c>
      <c r="P204" s="1245">
        <v>0.1719212532043457</v>
      </c>
      <c r="Q204" s="1245">
        <v>0.29516905546188354</v>
      </c>
      <c r="R204" s="1245">
        <v>0.19727863371372223</v>
      </c>
      <c r="S204" s="1245">
        <v>0.17515335977077484</v>
      </c>
      <c r="T204" s="1245">
        <v>0.18559050559997559</v>
      </c>
      <c r="U204" s="1245">
        <v>0.17944799363613129</v>
      </c>
      <c r="V204" s="1245">
        <v>0.16586896777153015</v>
      </c>
      <c r="W204" s="1245">
        <v>0.22994667291641235</v>
      </c>
      <c r="X204" s="1245">
        <v>0.23613294959068298</v>
      </c>
      <c r="Y204" s="1245">
        <v>0.29645818471908569</v>
      </c>
      <c r="Z204" s="1245">
        <v>0.24805867671966553</v>
      </c>
      <c r="AA204" s="1245">
        <v>0.29294490814208984</v>
      </c>
      <c r="AB204" s="1245">
        <v>0.13643406331539154</v>
      </c>
      <c r="AC204" s="1245">
        <v>0.24229484796524048</v>
      </c>
      <c r="AD204" s="1245">
        <v>0.16404804587364197</v>
      </c>
      <c r="AE204" s="260">
        <f>'User Add-in Location'!B209</f>
        <v>0</v>
      </c>
      <c r="AF204" s="260">
        <f>'User Add-in Location'!C209</f>
        <v>0</v>
      </c>
      <c r="AG204" s="1245">
        <v>0.19590362906455994</v>
      </c>
      <c r="AH204" s="1245">
        <v>0.1345323920249939</v>
      </c>
      <c r="AI204" s="1245">
        <v>0.26585739850997925</v>
      </c>
      <c r="AJ204" s="1245">
        <v>0.28700342774391174</v>
      </c>
      <c r="AK204" s="1245">
        <v>0.14261801540851593</v>
      </c>
      <c r="AL204" s="1245">
        <v>0.24927634000778198</v>
      </c>
      <c r="AM204" s="1245">
        <v>0.2507987916469574</v>
      </c>
      <c r="AN204" s="1245">
        <v>0.14686715602874756</v>
      </c>
      <c r="AO204" s="1245">
        <v>0.27493274211883545</v>
      </c>
      <c r="AP204" s="1245">
        <v>0.17788287997245789</v>
      </c>
      <c r="AQ204" s="1245">
        <v>0.23982656002044678</v>
      </c>
      <c r="AR204" s="1245">
        <v>0.28656750917434692</v>
      </c>
      <c r="AS204" s="1245">
        <v>0.26864704489707947</v>
      </c>
      <c r="AT204" s="1245">
        <v>0.17861588299274445</v>
      </c>
      <c r="AU204" s="1245">
        <v>0.17575070261955261</v>
      </c>
      <c r="AV204" s="1245">
        <v>0.25990617275238037</v>
      </c>
      <c r="AW204" s="1245">
        <v>0.24833749234676361</v>
      </c>
      <c r="AX204" s="1245">
        <v>0.46402466297149658</v>
      </c>
      <c r="AY204" s="1245">
        <v>0.24505871534347534</v>
      </c>
      <c r="AZ204" s="1245">
        <v>0.20115607976913452</v>
      </c>
      <c r="BA204" s="1245">
        <v>0.24201744794845581</v>
      </c>
      <c r="BB204" s="1245">
        <v>0.22739467024803162</v>
      </c>
      <c r="BC204" s="1245">
        <v>0.15761019289493561</v>
      </c>
      <c r="BD204" s="1245">
        <v>0.23184025287628174</v>
      </c>
      <c r="BE204" s="1245">
        <v>9.660552442073822E-2</v>
      </c>
    </row>
    <row r="205" spans="1:57" s="220" customFormat="1" ht="15.75" x14ac:dyDescent="0.3">
      <c r="A205" s="1254"/>
      <c r="B205" s="1249"/>
      <c r="C205" s="1224" t="s">
        <v>609</v>
      </c>
      <c r="D205" s="1245">
        <v>0.26787382364273071</v>
      </c>
      <c r="E205" s="1245">
        <v>0.29362332820892334</v>
      </c>
      <c r="F205" s="1245">
        <v>0.39252197742462158</v>
      </c>
      <c r="G205" s="1245">
        <v>0.31059432029724121</v>
      </c>
      <c r="H205" s="1245">
        <v>0.43444430828094482</v>
      </c>
      <c r="I205" s="1245">
        <v>0.4322318434715271</v>
      </c>
      <c r="J205" s="1245">
        <v>0.34698507189750671</v>
      </c>
      <c r="K205" s="1245">
        <v>0.32032841444015503</v>
      </c>
      <c r="L205" s="1245">
        <v>0.10087834298610687</v>
      </c>
      <c r="M205" s="1245">
        <v>0.42370465397834778</v>
      </c>
      <c r="N205" s="1245">
        <v>0.43069547414779663</v>
      </c>
      <c r="O205" s="1245">
        <v>0.33155107498168945</v>
      </c>
      <c r="P205" s="1245">
        <v>0.28975456953048706</v>
      </c>
      <c r="Q205" s="1245">
        <v>0.46909219026565552</v>
      </c>
      <c r="R205" s="1245">
        <v>0.34102591872215271</v>
      </c>
      <c r="S205" s="1245">
        <v>0.30507534742355347</v>
      </c>
      <c r="T205" s="1245">
        <v>0.32388490438461304</v>
      </c>
      <c r="U205" s="1245">
        <v>0.30099552869796753</v>
      </c>
      <c r="V205" s="1245">
        <v>0.29566746950149536</v>
      </c>
      <c r="W205" s="1245">
        <v>0.37814748287200928</v>
      </c>
      <c r="X205" s="1245">
        <v>0.31128406524658203</v>
      </c>
      <c r="Y205" s="1245">
        <v>0.32734116911888123</v>
      </c>
      <c r="Z205" s="1245">
        <v>0.39598220586776733</v>
      </c>
      <c r="AA205" s="1245">
        <v>0.41615670919418335</v>
      </c>
      <c r="AB205" s="1245">
        <v>0.2570030689239502</v>
      </c>
      <c r="AC205" s="1245">
        <v>0.39250025153160095</v>
      </c>
      <c r="AD205" s="1245">
        <v>0.27951464056968689</v>
      </c>
      <c r="AE205" s="260">
        <f>'User Add-in Location'!B210</f>
        <v>0</v>
      </c>
      <c r="AF205" s="260">
        <f>'User Add-in Location'!C210</f>
        <v>0</v>
      </c>
      <c r="AG205" s="1245">
        <v>0.33972865343093872</v>
      </c>
      <c r="AH205" s="1245">
        <v>0.22266954183578491</v>
      </c>
      <c r="AI205" s="1245">
        <v>0.32848796248435974</v>
      </c>
      <c r="AJ205" s="1245">
        <v>0.43586766719818115</v>
      </c>
      <c r="AK205" s="1245">
        <v>0.19164001941680908</v>
      </c>
      <c r="AL205" s="1245">
        <v>0.35251247882843018</v>
      </c>
      <c r="AM205" s="1245">
        <v>0.41328397393226624</v>
      </c>
      <c r="AN205" s="1245">
        <v>0.25104540586471558</v>
      </c>
      <c r="AO205" s="1245">
        <v>0.41516733169555664</v>
      </c>
      <c r="AP205" s="1245">
        <v>0.27969753742218018</v>
      </c>
      <c r="AQ205" s="1245">
        <v>0.36531925201416016</v>
      </c>
      <c r="AR205" s="1245">
        <v>0.41158196330070496</v>
      </c>
      <c r="AS205" s="1245">
        <v>0.3513648509979248</v>
      </c>
      <c r="AT205" s="1245">
        <v>0.3171379566192627</v>
      </c>
      <c r="AU205" s="1245">
        <v>0.28437519073486328</v>
      </c>
      <c r="AV205" s="1245">
        <v>0.37394672632217407</v>
      </c>
      <c r="AW205" s="1245">
        <v>0.3807947039604187</v>
      </c>
      <c r="AX205" s="1245">
        <v>0.63461416959762573</v>
      </c>
      <c r="AY205" s="1245">
        <v>0.38695052266120911</v>
      </c>
      <c r="AZ205" s="1245">
        <v>0.34267514944076538</v>
      </c>
      <c r="BA205" s="1245">
        <v>0.32990694046020508</v>
      </c>
      <c r="BB205" s="1245">
        <v>0.34728878736495972</v>
      </c>
      <c r="BC205" s="1245">
        <v>0.25022810697555542</v>
      </c>
      <c r="BD205" s="1245">
        <v>0.36853808164596558</v>
      </c>
      <c r="BE205" s="1245">
        <v>0.19265486299991608</v>
      </c>
    </row>
    <row r="206" spans="1:57" s="220" customFormat="1" ht="15.75" x14ac:dyDescent="0.3">
      <c r="A206" s="1254"/>
      <c r="B206" s="1249"/>
      <c r="C206" s="1224"/>
      <c r="D206" s="260"/>
      <c r="E206" s="260"/>
      <c r="F206" s="260"/>
      <c r="G206" s="260"/>
      <c r="H206" s="260"/>
      <c r="I206" s="260"/>
      <c r="J206" s="260"/>
      <c r="K206" s="260"/>
      <c r="L206" s="260"/>
      <c r="M206" s="260"/>
      <c r="N206" s="260"/>
      <c r="O206" s="260"/>
      <c r="P206" s="260"/>
      <c r="Q206" s="260"/>
      <c r="R206" s="260"/>
      <c r="S206" s="260"/>
      <c r="T206" s="260"/>
      <c r="U206" s="260"/>
      <c r="V206" s="260"/>
      <c r="W206" s="260"/>
      <c r="X206" s="260"/>
      <c r="Y206" s="260"/>
      <c r="Z206" s="260"/>
      <c r="AA206" s="260"/>
      <c r="AB206" s="260"/>
      <c r="AC206" s="260"/>
      <c r="AD206" s="260"/>
      <c r="AE206" s="260"/>
      <c r="AF206" s="260"/>
      <c r="AG206" s="1261"/>
      <c r="AH206" s="1261"/>
      <c r="AI206" s="1261"/>
      <c r="AJ206" s="1261"/>
      <c r="AK206" s="1261"/>
      <c r="AL206" s="1261"/>
      <c r="AM206" s="1261"/>
      <c r="AN206" s="1261"/>
      <c r="AO206" s="1261"/>
      <c r="AP206" s="1261"/>
      <c r="AQ206" s="1261"/>
      <c r="AR206" s="1261"/>
      <c r="AS206" s="1261"/>
      <c r="AT206" s="1261"/>
      <c r="AU206" s="1261"/>
      <c r="AV206" s="1261"/>
      <c r="AW206" s="1261"/>
      <c r="AX206" s="1261"/>
      <c r="AY206" s="1261"/>
      <c r="AZ206" s="1261"/>
      <c r="BA206" s="1261"/>
      <c r="BB206" s="1261"/>
      <c r="BC206" s="1261"/>
      <c r="BD206" s="1261"/>
      <c r="BE206" s="1261"/>
    </row>
    <row r="207" spans="1:57" s="220" customFormat="1" ht="15" customHeight="1" x14ac:dyDescent="0.25">
      <c r="A207" s="1254"/>
      <c r="B207" s="1249"/>
      <c r="C207" s="1306" t="s">
        <v>1416</v>
      </c>
      <c r="D207" s="1307"/>
      <c r="E207" s="1307"/>
      <c r="F207" s="1307"/>
      <c r="G207" s="1307"/>
      <c r="H207" s="1307"/>
      <c r="I207" s="260"/>
      <c r="J207" s="260"/>
      <c r="K207" s="260"/>
      <c r="L207" s="260"/>
      <c r="M207" s="260"/>
      <c r="N207" s="260"/>
      <c r="O207" s="260"/>
      <c r="P207" s="260"/>
      <c r="Q207" s="260"/>
      <c r="R207" s="260"/>
      <c r="S207" s="260"/>
      <c r="T207" s="260"/>
      <c r="U207" s="260"/>
      <c r="V207" s="260"/>
      <c r="W207" s="260"/>
      <c r="X207" s="260"/>
      <c r="Y207" s="260"/>
      <c r="Z207" s="260"/>
      <c r="AA207" s="260"/>
      <c r="AB207" s="260"/>
      <c r="AC207" s="260"/>
      <c r="AD207" s="260"/>
      <c r="AE207" s="260"/>
      <c r="AF207" s="260"/>
      <c r="AG207" s="1261"/>
      <c r="AH207" s="1261"/>
      <c r="AI207" s="1261"/>
      <c r="AJ207" s="1261"/>
      <c r="AK207" s="1261"/>
      <c r="AL207" s="1261"/>
      <c r="AM207" s="1261"/>
      <c r="AN207" s="1261"/>
      <c r="AO207" s="1261"/>
      <c r="AP207" s="1261"/>
      <c r="AQ207" s="1261"/>
      <c r="AR207" s="1261"/>
      <c r="AS207" s="1261"/>
      <c r="AT207" s="1261"/>
      <c r="AU207" s="1261"/>
      <c r="AV207" s="1261"/>
      <c r="AW207" s="1261"/>
      <c r="AX207" s="1261"/>
      <c r="AY207" s="1261"/>
      <c r="AZ207" s="1261"/>
      <c r="BA207" s="1261"/>
      <c r="BB207" s="1261"/>
      <c r="BC207" s="1261"/>
      <c r="BD207" s="1261"/>
      <c r="BE207" s="1261"/>
    </row>
    <row r="208" spans="1:57" s="220" customFormat="1" x14ac:dyDescent="0.25">
      <c r="A208" s="1254"/>
      <c r="B208" s="1249"/>
      <c r="C208" s="260"/>
      <c r="D208" s="260"/>
      <c r="E208" s="260"/>
      <c r="F208" s="260"/>
      <c r="G208" s="260"/>
      <c r="H208" s="260"/>
      <c r="I208" s="260"/>
      <c r="J208" s="260"/>
      <c r="K208" s="260"/>
      <c r="L208" s="260"/>
      <c r="M208" s="260"/>
      <c r="N208" s="260"/>
      <c r="O208" s="260"/>
      <c r="P208" s="260"/>
      <c r="Q208" s="260"/>
      <c r="R208" s="260"/>
      <c r="S208" s="260"/>
      <c r="T208" s="260"/>
      <c r="U208" s="260"/>
      <c r="V208" s="260"/>
      <c r="W208" s="260"/>
      <c r="X208" s="260"/>
      <c r="Y208" s="260"/>
      <c r="Z208" s="260"/>
      <c r="AA208" s="260"/>
      <c r="AB208" s="260"/>
      <c r="AC208" s="260"/>
      <c r="AD208" s="260"/>
      <c r="AE208" s="260"/>
      <c r="AF208" s="260"/>
      <c r="AG208" s="260"/>
      <c r="AH208" s="260"/>
      <c r="AI208" s="260"/>
      <c r="AJ208" s="260"/>
      <c r="AK208" s="260"/>
      <c r="AL208" s="260"/>
      <c r="AM208" s="260"/>
      <c r="AN208" s="260"/>
      <c r="AO208" s="260"/>
      <c r="AP208" s="260"/>
      <c r="AQ208" s="260"/>
      <c r="AR208" s="260"/>
      <c r="AS208" s="260"/>
      <c r="AT208" s="260"/>
      <c r="AU208" s="260"/>
      <c r="AV208" s="260"/>
      <c r="AW208" s="260"/>
      <c r="AX208" s="260"/>
      <c r="AY208" s="260"/>
      <c r="AZ208" s="260"/>
      <c r="BA208" s="260"/>
      <c r="BB208" s="260"/>
      <c r="BC208" s="260"/>
      <c r="BD208" s="260"/>
      <c r="BE208" s="260"/>
    </row>
    <row r="209" spans="1:57" s="220" customFormat="1" x14ac:dyDescent="0.25">
      <c r="A209" s="1254"/>
      <c r="B209" s="1249"/>
      <c r="C209" s="260"/>
      <c r="D209" s="260"/>
      <c r="E209" s="260"/>
      <c r="F209" s="260"/>
      <c r="G209" s="260"/>
      <c r="H209" s="260"/>
      <c r="I209" s="260"/>
      <c r="J209" s="260"/>
      <c r="K209" s="260"/>
      <c r="L209" s="260"/>
      <c r="M209" s="260"/>
      <c r="N209" s="260"/>
      <c r="O209" s="260"/>
      <c r="P209" s="260"/>
      <c r="Q209" s="260"/>
      <c r="R209" s="260"/>
      <c r="S209" s="260"/>
      <c r="T209" s="260"/>
      <c r="U209" s="260"/>
      <c r="V209" s="260"/>
      <c r="W209" s="260"/>
      <c r="X209" s="260"/>
      <c r="Y209" s="260"/>
      <c r="Z209" s="260"/>
      <c r="AA209" s="260"/>
      <c r="AB209" s="260"/>
      <c r="AC209" s="260"/>
      <c r="AD209" s="260"/>
      <c r="AE209" s="260"/>
      <c r="AF209" s="260"/>
      <c r="AG209" s="260"/>
      <c r="AH209" s="260"/>
      <c r="AI209" s="260"/>
      <c r="AJ209" s="260"/>
      <c r="AK209" s="260"/>
      <c r="AL209" s="260"/>
      <c r="AM209" s="260"/>
      <c r="AN209" s="260"/>
      <c r="AO209" s="260"/>
      <c r="AP209" s="260"/>
      <c r="AQ209" s="260"/>
      <c r="AR209" s="260"/>
      <c r="AS209" s="260"/>
      <c r="AT209" s="260"/>
      <c r="AU209" s="260"/>
      <c r="AV209" s="260"/>
      <c r="AW209" s="260"/>
      <c r="AX209" s="260"/>
      <c r="AY209" s="260"/>
      <c r="AZ209" s="260"/>
      <c r="BA209" s="260"/>
      <c r="BB209" s="260"/>
      <c r="BC209" s="260"/>
      <c r="BD209" s="260"/>
      <c r="BE209" s="260"/>
    </row>
    <row r="210" spans="1:57" s="220" customFormat="1" x14ac:dyDescent="0.25">
      <c r="A210" s="1254"/>
      <c r="C210" s="1262" t="s">
        <v>620</v>
      </c>
      <c r="D210" s="260"/>
      <c r="E210" s="260"/>
      <c r="F210" s="260"/>
      <c r="G210" s="260"/>
      <c r="H210" s="260"/>
      <c r="I210" s="260"/>
      <c r="J210" s="260"/>
      <c r="K210" s="260"/>
      <c r="L210" s="260"/>
      <c r="M210" s="260"/>
      <c r="N210" s="260"/>
      <c r="O210" s="260"/>
      <c r="P210" s="260"/>
      <c r="Q210" s="260"/>
      <c r="R210" s="260"/>
      <c r="S210" s="260"/>
      <c r="T210" s="260"/>
      <c r="U210" s="260"/>
      <c r="V210" s="260"/>
      <c r="W210" s="260"/>
      <c r="X210" s="260"/>
      <c r="Y210" s="260"/>
      <c r="Z210" s="260"/>
      <c r="AA210" s="260"/>
      <c r="AB210" s="260"/>
      <c r="AC210" s="260"/>
      <c r="AD210" s="260"/>
      <c r="AE210" s="260"/>
      <c r="AF210" s="260"/>
      <c r="AG210" s="1261"/>
      <c r="AH210" s="1261"/>
      <c r="AI210" s="1261"/>
      <c r="AJ210" s="1261"/>
      <c r="AK210" s="1261"/>
      <c r="AL210" s="1261"/>
      <c r="AM210" s="1261"/>
      <c r="AN210" s="1261"/>
      <c r="AO210" s="1261"/>
      <c r="AP210" s="1261"/>
      <c r="AQ210" s="1261"/>
      <c r="AR210" s="1261"/>
      <c r="AS210" s="1261"/>
      <c r="AT210" s="1261"/>
      <c r="AU210" s="1261"/>
      <c r="AV210" s="1261"/>
      <c r="AW210" s="1261"/>
      <c r="AX210" s="1261"/>
      <c r="AY210" s="1261"/>
      <c r="AZ210" s="1261"/>
      <c r="BA210" s="1261"/>
      <c r="BB210" s="1261"/>
      <c r="BC210" s="1261"/>
      <c r="BD210" s="1261"/>
      <c r="BE210" s="1261"/>
    </row>
    <row r="211" spans="1:57" s="220" customFormat="1" x14ac:dyDescent="0.25">
      <c r="A211" s="1254"/>
      <c r="C211" s="260"/>
      <c r="D211" s="1252" t="s">
        <v>537</v>
      </c>
      <c r="E211" s="1263"/>
      <c r="F211" s="1263"/>
      <c r="G211" s="1263"/>
      <c r="H211" s="1252" t="s">
        <v>612</v>
      </c>
      <c r="I211" s="1263"/>
      <c r="J211" s="1263"/>
      <c r="K211" s="1263"/>
      <c r="L211" s="1258" t="s">
        <v>616</v>
      </c>
      <c r="M211" s="1263"/>
      <c r="N211" s="1263"/>
      <c r="O211" s="1263"/>
      <c r="P211" s="1258" t="s">
        <v>616</v>
      </c>
      <c r="Q211" s="1263"/>
      <c r="R211" s="1263"/>
      <c r="S211" s="1263"/>
      <c r="T211" s="260"/>
      <c r="U211" s="260"/>
      <c r="V211" s="260"/>
      <c r="W211" s="260"/>
      <c r="X211" s="260"/>
      <c r="Y211" s="260"/>
      <c r="Z211" s="260"/>
      <c r="AA211" s="260"/>
      <c r="AB211" s="260"/>
      <c r="AC211" s="260"/>
      <c r="AD211" s="260"/>
      <c r="AE211" s="260"/>
      <c r="AF211" s="260"/>
      <c r="AG211" s="1261"/>
      <c r="AH211" s="1261"/>
      <c r="AI211" s="1261"/>
      <c r="AJ211" s="1261"/>
      <c r="AK211" s="1261"/>
      <c r="AL211" s="1261"/>
      <c r="AM211" s="1261"/>
      <c r="AN211" s="1261"/>
      <c r="AO211" s="1261"/>
      <c r="AP211" s="1261"/>
      <c r="AQ211" s="1261"/>
      <c r="AR211" s="1261"/>
      <c r="AS211" s="1261"/>
      <c r="AT211" s="1261"/>
      <c r="AU211" s="1261"/>
      <c r="AV211" s="1261"/>
      <c r="AW211" s="1261"/>
      <c r="AX211" s="1261"/>
      <c r="AY211" s="1261"/>
      <c r="AZ211" s="1261"/>
      <c r="BA211" s="1261"/>
      <c r="BB211" s="1261"/>
      <c r="BC211" s="1261"/>
      <c r="BD211" s="1261"/>
      <c r="BE211" s="1261"/>
    </row>
    <row r="212" spans="1:57" s="220" customFormat="1" x14ac:dyDescent="0.25">
      <c r="A212" s="1254"/>
      <c r="C212" s="260"/>
      <c r="D212" s="1263" t="s">
        <v>621</v>
      </c>
      <c r="E212" s="1263" t="s">
        <v>622</v>
      </c>
      <c r="F212" s="1263" t="s">
        <v>623</v>
      </c>
      <c r="G212" s="1263" t="s">
        <v>624</v>
      </c>
      <c r="H212" s="1263" t="s">
        <v>621</v>
      </c>
      <c r="I212" s="1263" t="s">
        <v>622</v>
      </c>
      <c r="J212" s="1263" t="s">
        <v>623</v>
      </c>
      <c r="K212" s="1263" t="s">
        <v>624</v>
      </c>
      <c r="L212" s="1263" t="s">
        <v>621</v>
      </c>
      <c r="M212" s="1263" t="s">
        <v>622</v>
      </c>
      <c r="N212" s="1263" t="s">
        <v>623</v>
      </c>
      <c r="O212" s="1263" t="s">
        <v>624</v>
      </c>
      <c r="P212" s="1263" t="s">
        <v>621</v>
      </c>
      <c r="Q212" s="1263" t="s">
        <v>622</v>
      </c>
      <c r="R212" s="1263" t="s">
        <v>623</v>
      </c>
      <c r="S212" s="1263" t="s">
        <v>624</v>
      </c>
      <c r="T212" s="260"/>
      <c r="U212" s="1263" t="s">
        <v>625</v>
      </c>
      <c r="V212" s="260"/>
      <c r="W212" s="260"/>
      <c r="X212" s="260"/>
      <c r="Y212" s="260"/>
      <c r="Z212" s="260"/>
      <c r="AA212" s="260"/>
      <c r="AB212" s="260"/>
      <c r="AC212" s="260"/>
      <c r="AD212" s="260"/>
      <c r="AE212" s="260"/>
      <c r="AF212" s="260"/>
      <c r="AG212" s="260"/>
      <c r="AH212" s="260"/>
      <c r="AI212" s="260"/>
      <c r="AJ212" s="260"/>
      <c r="AK212" s="260"/>
      <c r="AL212" s="260"/>
      <c r="AM212" s="260"/>
      <c r="AN212" s="260"/>
      <c r="AO212" s="260"/>
      <c r="AP212" s="260"/>
      <c r="AQ212" s="260"/>
      <c r="AR212" s="260"/>
      <c r="AS212" s="260"/>
      <c r="AT212" s="260"/>
      <c r="AU212" s="260"/>
      <c r="AV212" s="260"/>
      <c r="AW212" s="260"/>
      <c r="AX212" s="260"/>
      <c r="AY212" s="260"/>
      <c r="AZ212" s="260"/>
      <c r="BA212" s="260"/>
      <c r="BB212" s="260"/>
      <c r="BC212" s="260"/>
      <c r="BD212" s="260"/>
      <c r="BE212" s="260"/>
    </row>
    <row r="213" spans="1:57" s="220" customFormat="1" x14ac:dyDescent="0.25">
      <c r="A213" s="1254"/>
      <c r="B213" s="220">
        <v>2</v>
      </c>
      <c r="C213" s="1247" t="s">
        <v>592</v>
      </c>
      <c r="D213" s="220">
        <f>HLOOKUP(Calculations!$D$1,Multipliers!$D$4:$BE$18,$B213)</f>
        <v>4.3942043294119415</v>
      </c>
      <c r="E213" s="220">
        <f>HLOOKUP(Calculations!$D$1,Multipliers!$D$21:$BE$35,$B213)</f>
        <v>1.6603899698941409</v>
      </c>
      <c r="F213" s="220">
        <f>HLOOKUP(Calculations!$D$1,Multipliers!$D$38:$BE$52,$B213)</f>
        <v>2.4720465965942053</v>
      </c>
      <c r="G213" s="260">
        <f>SUM(D213:F213)</f>
        <v>8.5266408959002877</v>
      </c>
      <c r="H213" s="220">
        <f>HLOOKUP(Calculations!$D$1,Multipliers!$D$55:$BE$69,$B213)</f>
        <v>0.36470335721969604</v>
      </c>
      <c r="I213" s="220">
        <f>HLOOKUP(Calculations!$D$1,Multipliers!$D$72:$BE$86,$B213)</f>
        <v>0.1140865758061409</v>
      </c>
      <c r="J213" s="220">
        <f>HLOOKUP(Calculations!$D$1,Multipliers!$D$89:$BE$103,$B213)</f>
        <v>0.10600273311138153</v>
      </c>
      <c r="K213" s="260">
        <f>SUM(H213:J213)</f>
        <v>0.58479266613721848</v>
      </c>
      <c r="L213" s="220">
        <f>HLOOKUP(Calculations!$D$1,Multipliers!$D$106:$BE$120,$B213)</f>
        <v>1</v>
      </c>
      <c r="M213" s="220">
        <f>HLOOKUP(Calculations!$D$1,Multipliers!$D$123:$BE$137,$B213)</f>
        <v>0.36452841758728027</v>
      </c>
      <c r="N213" s="220">
        <f>HLOOKUP(Calculations!$D$1,Multipliers!$D$140:$BE$154,$B213)</f>
        <v>0.34008705615997314</v>
      </c>
      <c r="O213" s="260">
        <f>SUM(L213:N213)</f>
        <v>1.7046154737472534</v>
      </c>
      <c r="P213" s="220">
        <f>HLOOKUP(Calculations!$D$1,Multipliers!$D$157:$BE$171,$B213)</f>
        <v>0.56518316268920898</v>
      </c>
      <c r="Q213" s="220">
        <f>HLOOKUP(Calculations!$D$1,Multipliers!$D$174:$BE$188,$B213)</f>
        <v>0.18824398517608643</v>
      </c>
      <c r="R213" s="220">
        <f>HLOOKUP(Calculations!$D$1,Multipliers!$D$191:$BE$205,$B213)</f>
        <v>0.18045321106910706</v>
      </c>
      <c r="S213" s="260">
        <f>SUM(P213:R213)</f>
        <v>0.93388035893440247</v>
      </c>
      <c r="T213" s="260"/>
      <c r="U213" s="220">
        <f>HLOOKUP(Calculations!$D$1,'Household Exp'!$D$3:$BE$17,$B213)</f>
        <v>9.4917506916313097E-3</v>
      </c>
      <c r="V213" s="260"/>
      <c r="W213" s="260"/>
      <c r="X213" s="260"/>
      <c r="Y213" s="260"/>
      <c r="Z213" s="260"/>
      <c r="AA213" s="260"/>
      <c r="AB213" s="260"/>
      <c r="AC213" s="260"/>
      <c r="AD213" s="260"/>
      <c r="AE213" s="260"/>
      <c r="AF213" s="260"/>
      <c r="AG213" s="260"/>
      <c r="AH213" s="260"/>
      <c r="AI213" s="260"/>
      <c r="AJ213" s="260"/>
      <c r="AK213" s="260"/>
      <c r="AL213" s="260"/>
      <c r="AM213" s="260"/>
      <c r="AN213" s="260"/>
      <c r="AO213" s="260"/>
      <c r="AP213" s="260"/>
      <c r="AQ213" s="260"/>
      <c r="AR213" s="260"/>
      <c r="AS213" s="260"/>
      <c r="AT213" s="260"/>
      <c r="AU213" s="260"/>
      <c r="AV213" s="260"/>
      <c r="AW213" s="260"/>
      <c r="AX213" s="260"/>
      <c r="AY213" s="260"/>
      <c r="AZ213" s="260"/>
      <c r="BA213" s="260"/>
      <c r="BB213" s="260"/>
      <c r="BC213" s="260"/>
      <c r="BD213" s="260"/>
      <c r="BE213" s="260"/>
    </row>
    <row r="214" spans="1:57" s="220" customFormat="1" x14ac:dyDescent="0.25">
      <c r="A214" s="1254"/>
      <c r="B214" s="220">
        <v>3</v>
      </c>
      <c r="C214" s="1247" t="s">
        <v>593</v>
      </c>
      <c r="D214" s="220">
        <f>HLOOKUP(Calculations!$D$1,Multipliers!$D$4:$BE$18,$B214)</f>
        <v>3.9741334224092788</v>
      </c>
      <c r="E214" s="220">
        <f>HLOOKUP(Calculations!$D$1,Multipliers!$D$21:$BE$35,$B214)</f>
        <v>1.9186764316282412</v>
      </c>
      <c r="F214" s="220">
        <f>HLOOKUP(Calculations!$D$1,Multipliers!$D$38:$BE$52,$B214)</f>
        <v>1.6592180417931599</v>
      </c>
      <c r="G214" s="260">
        <f t="shared" ref="G214:G226" si="1">SUM(D214:F214)</f>
        <v>7.5520278958306797</v>
      </c>
      <c r="H214" s="220">
        <f>HLOOKUP(Calculations!$D$1,Multipliers!$D$55:$BE$69,$B214)</f>
        <v>0.1952044665813446</v>
      </c>
      <c r="I214" s="220">
        <f>HLOOKUP(Calculations!$D$1,Multipliers!$D$72:$BE$86,$B214)</f>
        <v>8.3986923098564148E-2</v>
      </c>
      <c r="J214" s="220">
        <f>HLOOKUP(Calculations!$D$1,Multipliers!$D$89:$BE$103,$B214)</f>
        <v>6.1931557953357697E-2</v>
      </c>
      <c r="K214" s="260">
        <f t="shared" ref="K214:K226" si="2">SUM(H214:J214)</f>
        <v>0.34112294763326645</v>
      </c>
      <c r="L214" s="220">
        <f>HLOOKUP(Calculations!$D$1,Multipliers!$D$106:$BE$120,$B214)</f>
        <v>1</v>
      </c>
      <c r="M214" s="220">
        <f>HLOOKUP(Calculations!$D$1,Multipliers!$D$123:$BE$137,$B214)</f>
        <v>0.3093874454498291</v>
      </c>
      <c r="N214" s="220">
        <f>HLOOKUP(Calculations!$D$1,Multipliers!$D$140:$BE$154,$B214)</f>
        <v>0.19884210824966431</v>
      </c>
      <c r="O214" s="260">
        <f t="shared" ref="O214:O226" si="3">SUM(L214:N214)</f>
        <v>1.5082295536994934</v>
      </c>
      <c r="P214" s="220">
        <f>HLOOKUP(Calculations!$D$1,Multipliers!$D$157:$BE$171,$B214)</f>
        <v>0.37038236856460571</v>
      </c>
      <c r="Q214" s="220">
        <f>HLOOKUP(Calculations!$D$1,Multipliers!$D$174:$BE$188,$B214)</f>
        <v>0.13933141529560089</v>
      </c>
      <c r="R214" s="220">
        <f>HLOOKUP(Calculations!$D$1,Multipliers!$D$191:$BE$205,$B214)</f>
        <v>0.10548043251037598</v>
      </c>
      <c r="S214" s="260">
        <f t="shared" ref="S214:S226" si="4">SUM(P214:R214)</f>
        <v>0.61519421637058258</v>
      </c>
      <c r="T214" s="260"/>
      <c r="U214" s="220">
        <f>HLOOKUP(Calculations!$D$1,'Household Exp'!$D$3:$BE$17,$B214)</f>
        <v>3.6726986121286635E-6</v>
      </c>
      <c r="V214" s="260"/>
      <c r="W214" s="260"/>
      <c r="X214" s="260"/>
      <c r="Y214" s="260"/>
      <c r="Z214" s="260"/>
      <c r="AA214" s="260"/>
      <c r="AB214" s="260"/>
      <c r="AC214" s="260"/>
      <c r="AD214" s="260"/>
      <c r="AE214" s="260"/>
      <c r="AF214" s="260"/>
      <c r="AG214" s="260"/>
      <c r="AH214" s="260"/>
      <c r="AI214" s="260"/>
      <c r="AJ214" s="260"/>
      <c r="AK214" s="260"/>
      <c r="AL214" s="260"/>
      <c r="AM214" s="260"/>
      <c r="AN214" s="260"/>
      <c r="AO214" s="260"/>
      <c r="AP214" s="260"/>
      <c r="AQ214" s="260"/>
      <c r="AR214" s="260"/>
      <c r="AS214" s="260"/>
      <c r="AT214" s="260"/>
      <c r="AU214" s="260"/>
      <c r="AV214" s="260"/>
      <c r="AW214" s="260"/>
      <c r="AX214" s="260"/>
      <c r="AY214" s="260"/>
      <c r="AZ214" s="260"/>
      <c r="BA214" s="260"/>
      <c r="BB214" s="260"/>
      <c r="BC214" s="260"/>
      <c r="BD214" s="260"/>
      <c r="BE214" s="260"/>
    </row>
    <row r="215" spans="1:57" s="220" customFormat="1" x14ac:dyDescent="0.25">
      <c r="A215" s="1254"/>
      <c r="B215" s="220">
        <v>4</v>
      </c>
      <c r="C215" s="1247" t="s">
        <v>595</v>
      </c>
      <c r="D215" s="220">
        <f>HLOOKUP(Calculations!$D$1,Multipliers!$D$4:$BE$18,$B215)</f>
        <v>6.1614920079593549</v>
      </c>
      <c r="E215" s="220">
        <f>HLOOKUP(Calculations!$D$1,Multipliers!$D$21:$BE$35,$B215)</f>
        <v>3.4000618244729539</v>
      </c>
      <c r="F215" s="220">
        <f>HLOOKUP(Calculations!$D$1,Multipliers!$D$38:$BE$52,$B215)</f>
        <v>2.2220004550697405</v>
      </c>
      <c r="G215" s="260">
        <f t="shared" si="1"/>
        <v>11.783554287502049</v>
      </c>
      <c r="H215" s="220">
        <f>HLOOKUP(Calculations!$D$1,Multipliers!$D$55:$BE$69,$B215)</f>
        <v>0.25086641311645508</v>
      </c>
      <c r="I215" s="220">
        <f>HLOOKUP(Calculations!$D$1,Multipliers!$D$72:$BE$86,$B215)</f>
        <v>0.13584995269775391</v>
      </c>
      <c r="J215" s="220">
        <f>HLOOKUP(Calculations!$D$1,Multipliers!$D$89:$BE$103,$B215)</f>
        <v>8.5760995745658875E-2</v>
      </c>
      <c r="K215" s="260">
        <f t="shared" si="2"/>
        <v>0.47247736155986786</v>
      </c>
      <c r="L215" s="220">
        <f>HLOOKUP(Calculations!$D$1,Multipliers!$D$106:$BE$120,$B215)</f>
        <v>1</v>
      </c>
      <c r="M215" s="220">
        <f>HLOOKUP(Calculations!$D$1,Multipliers!$D$123:$BE$137,$B215)</f>
        <v>0.42445194721221924</v>
      </c>
      <c r="N215" s="220">
        <f>HLOOKUP(Calculations!$D$1,Multipliers!$D$140:$BE$154,$B215)</f>
        <v>0.27532663941383362</v>
      </c>
      <c r="O215" s="260">
        <f t="shared" si="3"/>
        <v>1.6997785866260529</v>
      </c>
      <c r="P215" s="220">
        <f>HLOOKUP(Calculations!$D$1,Multipliers!$D$157:$BE$171,$B215)</f>
        <v>0.32925111055374146</v>
      </c>
      <c r="Q215" s="220">
        <f>HLOOKUP(Calculations!$D$1,Multipliers!$D$174:$BE$188,$B215)</f>
        <v>0.22170333564281464</v>
      </c>
      <c r="R215" s="220">
        <f>HLOOKUP(Calculations!$D$1,Multipliers!$D$191:$BE$205,$B215)</f>
        <v>0.14605782926082611</v>
      </c>
      <c r="S215" s="260">
        <f t="shared" si="4"/>
        <v>0.6970122754573822</v>
      </c>
      <c r="T215" s="260"/>
      <c r="U215" s="220">
        <f>HLOOKUP(Calculations!$D$1,'Household Exp'!$D$3:$BE$17,$B215)</f>
        <v>0</v>
      </c>
      <c r="V215" s="260"/>
      <c r="W215" s="260"/>
      <c r="X215" s="260"/>
      <c r="Y215" s="260"/>
      <c r="Z215" s="260"/>
      <c r="AA215" s="260"/>
      <c r="AB215" s="260"/>
      <c r="AC215" s="260"/>
      <c r="AD215" s="260"/>
      <c r="AE215" s="260"/>
      <c r="AF215" s="260"/>
      <c r="AG215" s="260"/>
      <c r="AH215" s="260"/>
      <c r="AI215" s="260"/>
      <c r="AJ215" s="260"/>
      <c r="AK215" s="260"/>
      <c r="AL215" s="260"/>
      <c r="AM215" s="260"/>
      <c r="AN215" s="260"/>
      <c r="AO215" s="260"/>
      <c r="AP215" s="260"/>
      <c r="AQ215" s="260"/>
      <c r="AR215" s="260"/>
      <c r="AS215" s="260"/>
      <c r="AT215" s="260"/>
      <c r="AU215" s="260"/>
      <c r="AV215" s="260"/>
      <c r="AW215" s="260"/>
      <c r="AX215" s="260"/>
      <c r="AY215" s="260"/>
      <c r="AZ215" s="260"/>
      <c r="BA215" s="260"/>
      <c r="BB215" s="260"/>
      <c r="BC215" s="260"/>
      <c r="BD215" s="260"/>
      <c r="BE215" s="260"/>
    </row>
    <row r="216" spans="1:57" s="220" customFormat="1" x14ac:dyDescent="0.25">
      <c r="A216" s="1254"/>
      <c r="B216" s="220">
        <v>5</v>
      </c>
      <c r="C216" s="1247" t="s">
        <v>596</v>
      </c>
      <c r="D216" s="220">
        <f>HLOOKUP(Calculations!$D$1,Multipliers!$D$4:$BE$18,$B216)</f>
        <v>1.9073630041483662</v>
      </c>
      <c r="E216" s="220">
        <f>HLOOKUP(Calculations!$D$1,Multipliers!$D$21:$BE$35,$B216)</f>
        <v>2.1859821463507876</v>
      </c>
      <c r="F216" s="220">
        <f>HLOOKUP(Calculations!$D$1,Multipliers!$D$38:$BE$52,$B216)</f>
        <v>1.2956194049669387</v>
      </c>
      <c r="G216" s="260">
        <f t="shared" si="1"/>
        <v>5.3889645554660923</v>
      </c>
      <c r="H216" s="220">
        <f>HLOOKUP(Calculations!$D$1,Multipliers!$D$55:$BE$69,$B216)</f>
        <v>0.11277534067630768</v>
      </c>
      <c r="I216" s="220">
        <f>HLOOKUP(Calculations!$D$1,Multipliers!$D$72:$BE$86,$B216)</f>
        <v>0.11180654168128967</v>
      </c>
      <c r="J216" s="220">
        <f>HLOOKUP(Calculations!$D$1,Multipliers!$D$89:$BE$103,$B216)</f>
        <v>4.9845762550830841E-2</v>
      </c>
      <c r="K216" s="260">
        <f t="shared" si="2"/>
        <v>0.27442764490842819</v>
      </c>
      <c r="L216" s="220">
        <f>HLOOKUP(Calculations!$D$1,Multipliers!$D$106:$BE$120,$B216)</f>
        <v>1</v>
      </c>
      <c r="M216" s="220">
        <f>HLOOKUP(Calculations!$D$1,Multipliers!$D$123:$BE$137,$B216)</f>
        <v>0.39698696136474609</v>
      </c>
      <c r="N216" s="220">
        <f>HLOOKUP(Calculations!$D$1,Multipliers!$D$140:$BE$154,$B216)</f>
        <v>0.16006304323673248</v>
      </c>
      <c r="O216" s="260">
        <f t="shared" si="3"/>
        <v>1.5570500046014786</v>
      </c>
      <c r="P216" s="220">
        <f>HLOOKUP(Calculations!$D$1,Multipliers!$D$157:$BE$171,$B216)</f>
        <v>0.19283029437065125</v>
      </c>
      <c r="Q216" s="220">
        <f>HLOOKUP(Calculations!$D$1,Multipliers!$D$174:$BE$188,$B216)</f>
        <v>0.1869751363992691</v>
      </c>
      <c r="R216" s="220">
        <f>HLOOKUP(Calculations!$D$1,Multipliers!$D$191:$BE$205,$B216)</f>
        <v>8.4904685616493225E-2</v>
      </c>
      <c r="S216" s="260">
        <f t="shared" si="4"/>
        <v>0.46471011638641357</v>
      </c>
      <c r="T216" s="260"/>
      <c r="U216" s="220">
        <f>HLOOKUP(Calculations!$D$1,'Household Exp'!$D$3:$BE$17,$B216)</f>
        <v>3.4840698576490761E-2</v>
      </c>
      <c r="V216" s="260"/>
      <c r="W216" s="260"/>
      <c r="X216" s="260"/>
      <c r="Y216" s="260"/>
      <c r="Z216" s="260"/>
      <c r="AA216" s="260"/>
      <c r="AB216" s="260"/>
      <c r="AC216" s="260"/>
      <c r="AD216" s="260"/>
      <c r="AE216" s="260"/>
      <c r="AF216" s="260"/>
      <c r="AG216" s="260"/>
      <c r="AH216" s="260"/>
      <c r="AI216" s="260"/>
      <c r="AJ216" s="260"/>
      <c r="AK216" s="260"/>
      <c r="AL216" s="260"/>
      <c r="AM216" s="260"/>
      <c r="AN216" s="260"/>
      <c r="AO216" s="260"/>
      <c r="AP216" s="260"/>
      <c r="AQ216" s="260"/>
      <c r="AR216" s="260"/>
      <c r="AS216" s="260"/>
      <c r="AT216" s="260"/>
      <c r="AU216" s="260"/>
      <c r="AV216" s="260"/>
      <c r="AW216" s="260"/>
      <c r="AX216" s="260"/>
      <c r="AY216" s="260"/>
      <c r="AZ216" s="260"/>
      <c r="BA216" s="260"/>
      <c r="BB216" s="260"/>
      <c r="BC216" s="260"/>
      <c r="BD216" s="260"/>
      <c r="BE216" s="260"/>
    </row>
    <row r="217" spans="1:57" s="220" customFormat="1" x14ac:dyDescent="0.25">
      <c r="A217" s="1254"/>
      <c r="B217" s="220">
        <v>6</v>
      </c>
      <c r="C217" s="1247" t="s">
        <v>598</v>
      </c>
      <c r="D217" s="220">
        <f>HLOOKUP(Calculations!$D$1,Multipliers!$D$4:$BE$18,$B217)</f>
        <v>4.6311624558960522</v>
      </c>
      <c r="E217" s="220">
        <f>HLOOKUP(Calculations!$D$1,Multipliers!$D$21:$BE$35,$B217)</f>
        <v>1.8684941203129002</v>
      </c>
      <c r="F217" s="220">
        <f>HLOOKUP(Calculations!$D$1,Multipliers!$D$38:$BE$52,$B217)</f>
        <v>1.8352835570893637</v>
      </c>
      <c r="G217" s="260">
        <f t="shared" si="1"/>
        <v>8.334940133298316</v>
      </c>
      <c r="H217" s="220">
        <f>HLOOKUP(Calculations!$D$1,Multipliers!$D$55:$BE$69,$B217)</f>
        <v>0.22860912978649139</v>
      </c>
      <c r="I217" s="220">
        <f>HLOOKUP(Calculations!$D$1,Multipliers!$D$72:$BE$86,$B217)</f>
        <v>8.4558106958866119E-2</v>
      </c>
      <c r="J217" s="220">
        <f>HLOOKUP(Calculations!$D$1,Multipliers!$D$89:$BE$103,$B217)</f>
        <v>6.9521725177764893E-2</v>
      </c>
      <c r="K217" s="260">
        <f t="shared" si="2"/>
        <v>0.38268896192312241</v>
      </c>
      <c r="L217" s="220">
        <f>HLOOKUP(Calculations!$D$1,Multipliers!$D$106:$BE$120,$B217)</f>
        <v>1</v>
      </c>
      <c r="M217" s="220">
        <f>HLOOKUP(Calculations!$D$1,Multipliers!$D$123:$BE$137,$B217)</f>
        <v>0.31689167022705078</v>
      </c>
      <c r="N217" s="220">
        <f>HLOOKUP(Calculations!$D$1,Multipliers!$D$140:$BE$154,$B217)</f>
        <v>0.22328154742717743</v>
      </c>
      <c r="O217" s="260">
        <f t="shared" si="3"/>
        <v>1.5401732176542282</v>
      </c>
      <c r="P217" s="220">
        <f>HLOOKUP(Calculations!$D$1,Multipliers!$D$157:$BE$171,$B217)</f>
        <v>0.25842329859733582</v>
      </c>
      <c r="Q217" s="220">
        <f>HLOOKUP(Calculations!$D$1,Multipliers!$D$174:$BE$188,$B217)</f>
        <v>0.14351001381874084</v>
      </c>
      <c r="R217" s="220">
        <f>HLOOKUP(Calculations!$D$1,Multipliers!$D$191:$BE$205,$B217)</f>
        <v>0.11843212693929672</v>
      </c>
      <c r="S217" s="260">
        <f t="shared" si="4"/>
        <v>0.52036543935537338</v>
      </c>
      <c r="T217" s="260"/>
      <c r="U217" s="220">
        <f>HLOOKUP(Calculations!$D$1,'Household Exp'!$D$3:$BE$17,$B217)</f>
        <v>5.338386940833573E-7</v>
      </c>
      <c r="V217" s="260"/>
      <c r="W217" s="260"/>
      <c r="X217" s="260"/>
      <c r="Y217" s="260"/>
      <c r="Z217" s="260"/>
      <c r="AA217" s="260"/>
      <c r="AB217" s="260"/>
      <c r="AC217" s="260"/>
      <c r="AD217" s="260"/>
      <c r="AE217" s="260"/>
      <c r="AF217" s="260"/>
      <c r="AG217" s="260"/>
      <c r="AH217" s="260"/>
      <c r="AI217" s="260"/>
      <c r="AJ217" s="260"/>
      <c r="AK217" s="260"/>
      <c r="AL217" s="260"/>
      <c r="AM217" s="260"/>
      <c r="AN217" s="260"/>
      <c r="AO217" s="260"/>
      <c r="AP217" s="260"/>
      <c r="AQ217" s="260"/>
      <c r="AR217" s="260"/>
      <c r="AS217" s="260"/>
      <c r="AT217" s="260"/>
      <c r="AU217" s="260"/>
      <c r="AV217" s="260"/>
      <c r="AW217" s="260"/>
      <c r="AX217" s="260"/>
      <c r="AY217" s="260"/>
      <c r="AZ217" s="260"/>
      <c r="BA217" s="260"/>
      <c r="BB217" s="260"/>
      <c r="BC217" s="260"/>
      <c r="BD217" s="260"/>
      <c r="BE217" s="260"/>
    </row>
    <row r="218" spans="1:57" s="220" customFormat="1" x14ac:dyDescent="0.25">
      <c r="A218" s="1254"/>
      <c r="B218" s="220">
        <v>7</v>
      </c>
      <c r="C218" s="1247" t="s">
        <v>599</v>
      </c>
      <c r="D218" s="220">
        <f>HLOOKUP(Calculations!$D$1,Multipliers!$D$4:$BE$18,$B218)</f>
        <v>2.0214689886197448</v>
      </c>
      <c r="E218" s="220">
        <f>HLOOKUP(Calculations!$D$1,Multipliers!$D$21:$BE$35,$B218)</f>
        <v>2.0572034120559692</v>
      </c>
      <c r="F218" s="220">
        <f>HLOOKUP(Calculations!$D$1,Multipliers!$D$38:$BE$52,$B218)</f>
        <v>1.2284438111819327</v>
      </c>
      <c r="G218" s="260">
        <f t="shared" si="1"/>
        <v>5.3071162118576467</v>
      </c>
      <c r="H218" s="220">
        <f>HLOOKUP(Calculations!$D$1,Multipliers!$D$55:$BE$69,$B218)</f>
        <v>0.11316985636949539</v>
      </c>
      <c r="I218" s="220">
        <f>HLOOKUP(Calculations!$D$1,Multipliers!$D$72:$BE$86,$B218)</f>
        <v>9.5895290374755859E-2</v>
      </c>
      <c r="J218" s="220">
        <f>HLOOKUP(Calculations!$D$1,Multipliers!$D$89:$BE$103,$B218)</f>
        <v>4.6410400420427322E-2</v>
      </c>
      <c r="K218" s="260">
        <f t="shared" si="2"/>
        <v>0.25547554716467857</v>
      </c>
      <c r="L218" s="220">
        <f>HLOOKUP(Calculations!$D$1,Multipliers!$D$106:$BE$120,$B218)</f>
        <v>1</v>
      </c>
      <c r="M218" s="220">
        <f>HLOOKUP(Calculations!$D$1,Multipliers!$D$123:$BE$137,$B218)</f>
        <v>0.36100435256958008</v>
      </c>
      <c r="N218" s="220">
        <f>HLOOKUP(Calculations!$D$1,Multipliers!$D$140:$BE$154,$B218)</f>
        <v>0.14904852211475372</v>
      </c>
      <c r="O218" s="260">
        <f t="shared" si="3"/>
        <v>1.5100528746843338</v>
      </c>
      <c r="P218" s="220">
        <f>HLOOKUP(Calculations!$D$1,Multipliers!$D$157:$BE$171,$B218)</f>
        <v>0.19599002599716187</v>
      </c>
      <c r="Q218" s="220">
        <f>HLOOKUP(Calculations!$D$1,Multipliers!$D$174:$BE$188,$B218)</f>
        <v>0.16323372721672058</v>
      </c>
      <c r="R218" s="220">
        <f>HLOOKUP(Calculations!$D$1,Multipliers!$D$191:$BE$205,$B218)</f>
        <v>7.9058989882469177E-2</v>
      </c>
      <c r="S218" s="260">
        <f t="shared" si="4"/>
        <v>0.43828274309635162</v>
      </c>
      <c r="T218" s="260"/>
      <c r="U218" s="220">
        <f>HLOOKUP(Calculations!$D$1,'Household Exp'!$D$3:$BE$17,$B218)</f>
        <v>1.8867113762817547E-5</v>
      </c>
      <c r="V218" s="260"/>
      <c r="W218" s="260"/>
      <c r="X218" s="260"/>
      <c r="Y218" s="260"/>
      <c r="Z218" s="260"/>
      <c r="AA218" s="260"/>
      <c r="AB218" s="260"/>
      <c r="AC218" s="260"/>
      <c r="AD218" s="260"/>
      <c r="AE218" s="260"/>
      <c r="AF218" s="260"/>
      <c r="AG218" s="260"/>
      <c r="AH218" s="260"/>
      <c r="AI218" s="260"/>
      <c r="AJ218" s="260"/>
      <c r="AK218" s="260"/>
      <c r="AL218" s="260"/>
      <c r="AM218" s="260"/>
      <c r="AN218" s="260"/>
      <c r="AO218" s="260"/>
      <c r="AP218" s="260"/>
      <c r="AQ218" s="260"/>
      <c r="AR218" s="260"/>
      <c r="AS218" s="260"/>
      <c r="AT218" s="260"/>
      <c r="AU218" s="260"/>
      <c r="AV218" s="260"/>
      <c r="AW218" s="260"/>
      <c r="AX218" s="260"/>
      <c r="AY218" s="260"/>
      <c r="AZ218" s="260"/>
      <c r="BA218" s="260"/>
      <c r="BB218" s="260"/>
      <c r="BC218" s="260"/>
      <c r="BD218" s="260"/>
      <c r="BE218" s="260"/>
    </row>
    <row r="219" spans="1:57" s="220" customFormat="1" x14ac:dyDescent="0.25">
      <c r="A219" s="1254"/>
      <c r="B219" s="220">
        <v>8</v>
      </c>
      <c r="C219" s="1247" t="s">
        <v>601</v>
      </c>
      <c r="D219" s="220">
        <f>HLOOKUP(Calculations!$D$1,Multipliers!$D$4:$BE$18,$B219)</f>
        <v>1.1241177346116753</v>
      </c>
      <c r="E219" s="220">
        <f>HLOOKUP(Calculations!$D$1,Multipliers!$D$21:$BE$35,$B219)</f>
        <v>2.2755275182826544</v>
      </c>
      <c r="F219" s="220">
        <f>HLOOKUP(Calculations!$D$1,Multipliers!$D$38:$BE$52,$B219)</f>
        <v>1.7480628926266906</v>
      </c>
      <c r="G219" s="260">
        <f t="shared" si="1"/>
        <v>5.1477081455210207</v>
      </c>
      <c r="H219" s="220">
        <f>HLOOKUP(Calculations!$D$1,Multipliers!$D$55:$BE$69,$B219)</f>
        <v>0.18280212581157684</v>
      </c>
      <c r="I219" s="220">
        <f>HLOOKUP(Calculations!$D$1,Multipliers!$D$72:$BE$86,$B219)</f>
        <v>0.1131548210978508</v>
      </c>
      <c r="J219" s="220">
        <f>HLOOKUP(Calculations!$D$1,Multipliers!$D$89:$BE$103,$B219)</f>
        <v>6.5712854266166687E-2</v>
      </c>
      <c r="K219" s="260">
        <f t="shared" si="2"/>
        <v>0.36166980117559433</v>
      </c>
      <c r="L219" s="220">
        <f>HLOOKUP(Calculations!$D$1,Multipliers!$D$106:$BE$120,$B219)</f>
        <v>1</v>
      </c>
      <c r="M219" s="220">
        <f>HLOOKUP(Calculations!$D$1,Multipliers!$D$123:$BE$137,$B219)</f>
        <v>0.4153292179107666</v>
      </c>
      <c r="N219" s="220">
        <f>HLOOKUP(Calculations!$D$1,Multipliers!$D$140:$BE$154,$B219)</f>
        <v>0.21105378866195679</v>
      </c>
      <c r="O219" s="260">
        <f t="shared" si="3"/>
        <v>1.6263830065727234</v>
      </c>
      <c r="P219" s="220">
        <f>HLOOKUP(Calculations!$D$1,Multipliers!$D$157:$BE$171,$B219)</f>
        <v>0.32563406229019165</v>
      </c>
      <c r="Q219" s="220">
        <f>HLOOKUP(Calculations!$D$1,Multipliers!$D$174:$BE$188,$B219)</f>
        <v>0.18901222944259644</v>
      </c>
      <c r="R219" s="220">
        <f>HLOOKUP(Calculations!$D$1,Multipliers!$D$191:$BE$205,$B219)</f>
        <v>0.11194542795419693</v>
      </c>
      <c r="S219" s="260">
        <f t="shared" si="4"/>
        <v>0.62659171968698502</v>
      </c>
      <c r="T219" s="260"/>
      <c r="U219" s="220">
        <f>HLOOKUP(Calculations!$D$1,'Household Exp'!$D$3:$BE$17,$B219)</f>
        <v>2.4020384171103594E-5</v>
      </c>
      <c r="V219" s="260"/>
      <c r="W219" s="260"/>
      <c r="X219" s="260"/>
      <c r="Y219" s="260"/>
      <c r="Z219" s="260"/>
      <c r="AA219" s="260"/>
      <c r="AB219" s="260"/>
      <c r="AC219" s="260"/>
      <c r="AD219" s="260"/>
      <c r="AE219" s="260"/>
      <c r="AF219" s="260"/>
      <c r="AG219" s="260"/>
      <c r="AH219" s="260"/>
      <c r="AI219" s="260"/>
      <c r="AJ219" s="260"/>
      <c r="AK219" s="260"/>
      <c r="AL219" s="260"/>
      <c r="AM219" s="260"/>
      <c r="AN219" s="260"/>
      <c r="AO219" s="260"/>
      <c r="AP219" s="260"/>
      <c r="AQ219" s="260"/>
      <c r="AR219" s="260"/>
      <c r="AS219" s="260"/>
      <c r="AT219" s="260"/>
      <c r="AU219" s="260"/>
      <c r="AV219" s="260"/>
      <c r="AW219" s="260"/>
      <c r="AX219" s="260"/>
      <c r="AY219" s="260"/>
      <c r="AZ219" s="260"/>
      <c r="BA219" s="260"/>
      <c r="BB219" s="260"/>
      <c r="BC219" s="260"/>
      <c r="BD219" s="260"/>
      <c r="BE219" s="260"/>
    </row>
    <row r="220" spans="1:57" s="220" customFormat="1" x14ac:dyDescent="0.25">
      <c r="A220" s="1254"/>
      <c r="B220" s="220">
        <v>9</v>
      </c>
      <c r="C220" s="1247" t="s">
        <v>602</v>
      </c>
      <c r="D220" s="220">
        <f>HLOOKUP(Calculations!$D$1,Multipliers!$D$4:$BE$18,$B220)</f>
        <v>3.4143175613154977</v>
      </c>
      <c r="E220" s="220">
        <f>HLOOKUP(Calculations!$D$1,Multipliers!$D$21:$BE$35,$B220)</f>
        <v>2.5991948074990852</v>
      </c>
      <c r="F220" s="220">
        <f>HLOOKUP(Calculations!$D$1,Multipliers!$D$38:$BE$52,$B220)</f>
        <v>1.9551792695233083</v>
      </c>
      <c r="G220" s="260">
        <f t="shared" si="1"/>
        <v>7.9686916383378907</v>
      </c>
      <c r="H220" s="220">
        <f>HLOOKUP(Calculations!$D$1,Multipliers!$D$55:$BE$69,$B220)</f>
        <v>0.21687650680541992</v>
      </c>
      <c r="I220" s="220">
        <f>HLOOKUP(Calculations!$D$1,Multipliers!$D$72:$BE$86,$B220)</f>
        <v>0.11965075880289078</v>
      </c>
      <c r="J220" s="220">
        <f>HLOOKUP(Calculations!$D$1,Multipliers!$D$89:$BE$103,$B220)</f>
        <v>7.4683241546154022E-2</v>
      </c>
      <c r="K220" s="260">
        <f t="shared" si="2"/>
        <v>0.41121050715446472</v>
      </c>
      <c r="L220" s="220">
        <f>HLOOKUP(Calculations!$D$1,Multipliers!$D$106:$BE$120,$B220)</f>
        <v>1</v>
      </c>
      <c r="M220" s="220">
        <f>HLOOKUP(Calculations!$D$1,Multipliers!$D$123:$BE$137,$B220)</f>
        <v>0.43269073963165283</v>
      </c>
      <c r="N220" s="220">
        <f>HLOOKUP(Calculations!$D$1,Multipliers!$D$140:$BE$154,$B220)</f>
        <v>0.23980547487735748</v>
      </c>
      <c r="O220" s="260">
        <f t="shared" si="3"/>
        <v>1.6724962145090103</v>
      </c>
      <c r="P220" s="220">
        <f>HLOOKUP(Calculations!$D$1,Multipliers!$D$157:$BE$171,$B220)</f>
        <v>0.38838851451873779</v>
      </c>
      <c r="Q220" s="220">
        <f>HLOOKUP(Calculations!$D$1,Multipliers!$D$174:$BE$188,$B220)</f>
        <v>0.20305162668228149</v>
      </c>
      <c r="R220" s="220">
        <f>HLOOKUP(Calculations!$D$1,Multipliers!$D$191:$BE$205,$B220)</f>
        <v>0.12720641493797302</v>
      </c>
      <c r="S220" s="260">
        <f t="shared" si="4"/>
        <v>0.71864655613899231</v>
      </c>
      <c r="T220" s="260"/>
      <c r="U220" s="220">
        <f>HLOOKUP(Calculations!$D$1,'Household Exp'!$D$3:$BE$17,$B220)</f>
        <v>4.4941833501004072E-2</v>
      </c>
      <c r="V220" s="260"/>
      <c r="W220" s="260"/>
      <c r="X220" s="260"/>
      <c r="Y220" s="260"/>
      <c r="Z220" s="260"/>
      <c r="AA220" s="260"/>
      <c r="AB220" s="260"/>
      <c r="AC220" s="260"/>
      <c r="AD220" s="260"/>
      <c r="AE220" s="260"/>
      <c r="AF220" s="260"/>
      <c r="AG220" s="260"/>
      <c r="AH220" s="260"/>
      <c r="AI220" s="260"/>
      <c r="AJ220" s="260"/>
      <c r="AK220" s="260"/>
      <c r="AL220" s="260"/>
      <c r="AM220" s="260"/>
      <c r="AN220" s="260"/>
      <c r="AO220" s="260"/>
      <c r="AP220" s="260"/>
      <c r="AQ220" s="260"/>
      <c r="AR220" s="260"/>
      <c r="AS220" s="260"/>
      <c r="AT220" s="260"/>
      <c r="AU220" s="260"/>
      <c r="AV220" s="260"/>
      <c r="AW220" s="260"/>
      <c r="AX220" s="260"/>
      <c r="AY220" s="260"/>
      <c r="AZ220" s="260"/>
      <c r="BA220" s="260"/>
      <c r="BB220" s="260"/>
      <c r="BC220" s="260"/>
      <c r="BD220" s="260"/>
      <c r="BE220" s="260"/>
    </row>
    <row r="221" spans="1:57" s="220" customFormat="1" x14ac:dyDescent="0.25">
      <c r="A221" s="1254"/>
      <c r="B221" s="220">
        <v>10</v>
      </c>
      <c r="C221" s="1247" t="s">
        <v>603</v>
      </c>
      <c r="D221" s="220">
        <f>HLOOKUP(Calculations!$D$1,Multipliers!$D$4:$BE$18,$B221)</f>
        <v>4.2342134058832412</v>
      </c>
      <c r="E221" s="220">
        <f>HLOOKUP(Calculations!$D$1,Multipliers!$D$21:$BE$35,$B221)</f>
        <v>2.60957299763571</v>
      </c>
      <c r="F221" s="220">
        <f>HLOOKUP(Calculations!$D$1,Multipliers!$D$38:$BE$52,$B221)</f>
        <v>2.2548413707824526</v>
      </c>
      <c r="G221" s="260">
        <f t="shared" si="1"/>
        <v>9.0986277743014039</v>
      </c>
      <c r="H221" s="220">
        <f>HLOOKUP(Calculations!$D$1,Multipliers!$D$55:$BE$69,$B221)</f>
        <v>0.31574463844299316</v>
      </c>
      <c r="I221" s="220">
        <f>HLOOKUP(Calculations!$D$1,Multipliers!$D$72:$BE$86,$B221)</f>
        <v>0.11949293315410614</v>
      </c>
      <c r="J221" s="220">
        <f>HLOOKUP(Calculations!$D$1,Multipliers!$D$89:$BE$103,$B221)</f>
        <v>9.6592143177986145E-2</v>
      </c>
      <c r="K221" s="260">
        <f t="shared" si="2"/>
        <v>0.53182971477508545</v>
      </c>
      <c r="L221" s="220">
        <f>HLOOKUP(Calculations!$D$1,Multipliers!$D$106:$BE$120,$B221)</f>
        <v>1</v>
      </c>
      <c r="M221" s="220">
        <f>HLOOKUP(Calculations!$D$1,Multipliers!$D$123:$BE$137,$B221)</f>
        <v>0.38926589488983154</v>
      </c>
      <c r="N221" s="220">
        <f>HLOOKUP(Calculations!$D$1,Multipliers!$D$140:$BE$154,$B221)</f>
        <v>0.31018823385238647</v>
      </c>
      <c r="O221" s="260">
        <f t="shared" si="3"/>
        <v>1.699454128742218</v>
      </c>
      <c r="P221" s="220">
        <f>HLOOKUP(Calculations!$D$1,Multipliers!$D$157:$BE$171,$B221)</f>
        <v>0.57618522644042969</v>
      </c>
      <c r="Q221" s="220">
        <f>HLOOKUP(Calculations!$D$1,Multipliers!$D$174:$BE$188,$B221)</f>
        <v>0.20535020530223846</v>
      </c>
      <c r="R221" s="220">
        <f>HLOOKUP(Calculations!$D$1,Multipliers!$D$191:$BE$205,$B221)</f>
        <v>0.16453522443771362</v>
      </c>
      <c r="S221" s="260">
        <f t="shared" si="4"/>
        <v>0.94607065618038177</v>
      </c>
      <c r="T221" s="260"/>
      <c r="U221" s="220">
        <f>HLOOKUP(Calculations!$D$1,'Household Exp'!$D$3:$BE$17,$B221)</f>
        <v>4.5875268943279916E-2</v>
      </c>
      <c r="V221" s="260"/>
      <c r="W221" s="260"/>
      <c r="X221" s="260"/>
      <c r="Y221" s="260"/>
      <c r="Z221" s="260"/>
      <c r="AA221" s="260"/>
      <c r="AB221" s="260"/>
      <c r="AC221" s="260"/>
      <c r="AD221" s="260"/>
      <c r="AE221" s="260"/>
      <c r="AF221" s="260"/>
      <c r="AG221" s="260"/>
      <c r="AH221" s="260"/>
      <c r="AI221" s="260"/>
      <c r="AJ221" s="260"/>
      <c r="AK221" s="260"/>
      <c r="AL221" s="260"/>
      <c r="AM221" s="260"/>
      <c r="AN221" s="260"/>
      <c r="AO221" s="260"/>
      <c r="AP221" s="260"/>
      <c r="AQ221" s="260"/>
      <c r="AR221" s="260"/>
      <c r="AS221" s="260"/>
      <c r="AT221" s="260"/>
      <c r="AU221" s="260"/>
      <c r="AV221" s="260"/>
      <c r="AW221" s="260"/>
      <c r="AX221" s="260"/>
      <c r="AY221" s="260"/>
      <c r="AZ221" s="260"/>
      <c r="BA221" s="260"/>
      <c r="BB221" s="260"/>
      <c r="BC221" s="260"/>
      <c r="BD221" s="260"/>
      <c r="BE221" s="260"/>
    </row>
    <row r="222" spans="1:57" s="220" customFormat="1" x14ac:dyDescent="0.25">
      <c r="A222" s="1254"/>
      <c r="B222" s="220">
        <v>11</v>
      </c>
      <c r="C222" s="1247" t="s">
        <v>604</v>
      </c>
      <c r="D222" s="220">
        <f>HLOOKUP(Calculations!$D$1,Multipliers!$D$4:$BE$18,$B222)</f>
        <v>12.605020897858759</v>
      </c>
      <c r="E222" s="220">
        <f>HLOOKUP(Calculations!$D$1,Multipliers!$D$21:$BE$35,$B222)</f>
        <v>2.5091927158678207</v>
      </c>
      <c r="F222" s="220">
        <f>HLOOKUP(Calculations!$D$1,Multipliers!$D$38:$BE$52,$B222)</f>
        <v>2.9015539249934408</v>
      </c>
      <c r="G222" s="260">
        <f t="shared" si="1"/>
        <v>18.01576753872002</v>
      </c>
      <c r="H222" s="220">
        <f>HLOOKUP(Calculations!$D$1,Multipliers!$D$55:$BE$69,$B222)</f>
        <v>0.41140064597129822</v>
      </c>
      <c r="I222" s="220">
        <f>HLOOKUP(Calculations!$D$1,Multipliers!$D$72:$BE$86,$B222)</f>
        <v>0.1008361428976059</v>
      </c>
      <c r="J222" s="220">
        <f>HLOOKUP(Calculations!$D$1,Multipliers!$D$89:$BE$103,$B222)</f>
        <v>0.11365650594234467</v>
      </c>
      <c r="K222" s="260">
        <f t="shared" si="2"/>
        <v>0.62589329481124878</v>
      </c>
      <c r="L222" s="220">
        <f>HLOOKUP(Calculations!$D$1,Multipliers!$D$106:$BE$120,$B222)</f>
        <v>1</v>
      </c>
      <c r="M222" s="220">
        <f>HLOOKUP(Calculations!$D$1,Multipliers!$D$123:$BE$137,$B222)</f>
        <v>0.35305249691009521</v>
      </c>
      <c r="N222" s="220">
        <f>HLOOKUP(Calculations!$D$1,Multipliers!$D$140:$BE$154,$B222)</f>
        <v>0.36496180295944214</v>
      </c>
      <c r="O222" s="260">
        <f t="shared" si="3"/>
        <v>1.7180142998695374</v>
      </c>
      <c r="P222" s="220">
        <f>HLOOKUP(Calculations!$D$1,Multipliers!$D$157:$BE$171,$B222)</f>
        <v>0.62846821546554565</v>
      </c>
      <c r="Q222" s="220">
        <f>HLOOKUP(Calculations!$D$1,Multipliers!$D$174:$BE$188,$B222)</f>
        <v>0.18207019567489624</v>
      </c>
      <c r="R222" s="220">
        <f>HLOOKUP(Calculations!$D$1,Multipliers!$D$191:$BE$205,$B222)</f>
        <v>0.19359377026557922</v>
      </c>
      <c r="S222" s="260">
        <f t="shared" si="4"/>
        <v>1.0041321814060211</v>
      </c>
      <c r="T222" s="260"/>
      <c r="U222" s="220">
        <f>HLOOKUP(Calculations!$D$1,'Household Exp'!$D$3:$BE$17,$B222)</f>
        <v>0.11859991343998641</v>
      </c>
      <c r="V222" s="260"/>
      <c r="W222" s="260"/>
      <c r="X222" s="260"/>
      <c r="Y222" s="260"/>
      <c r="Z222" s="260"/>
      <c r="AA222" s="260"/>
      <c r="AB222" s="260"/>
      <c r="AC222" s="260"/>
      <c r="AD222" s="260"/>
      <c r="AE222" s="260"/>
      <c r="AF222" s="260"/>
      <c r="AG222" s="260"/>
      <c r="AH222" s="260"/>
      <c r="AI222" s="260"/>
      <c r="AJ222" s="260"/>
      <c r="AK222" s="260"/>
      <c r="AL222" s="260"/>
      <c r="AM222" s="260"/>
      <c r="AN222" s="260"/>
      <c r="AO222" s="260"/>
      <c r="AP222" s="260"/>
      <c r="AQ222" s="260"/>
      <c r="AR222" s="260"/>
      <c r="AS222" s="260"/>
      <c r="AT222" s="260"/>
      <c r="AU222" s="260"/>
      <c r="AV222" s="260"/>
      <c r="AW222" s="260"/>
      <c r="AX222" s="260"/>
      <c r="AY222" s="260"/>
      <c r="AZ222" s="260"/>
      <c r="BA222" s="260"/>
      <c r="BB222" s="260"/>
      <c r="BC222" s="260"/>
      <c r="BD222" s="260"/>
      <c r="BE222" s="260"/>
    </row>
    <row r="223" spans="1:57" s="220" customFormat="1" x14ac:dyDescent="0.25">
      <c r="A223" s="1254"/>
      <c r="B223" s="220">
        <v>12</v>
      </c>
      <c r="C223" s="1247" t="s">
        <v>605</v>
      </c>
      <c r="D223" s="220">
        <f>HLOOKUP(Calculations!$D$1,Multipliers!$D$4:$BE$18,$B223)</f>
        <v>5.7070093314754029</v>
      </c>
      <c r="E223" s="220">
        <f>HLOOKUP(Calculations!$D$1,Multipliers!$D$21:$BE$35,$B223)</f>
        <v>3.4774914441595612</v>
      </c>
      <c r="F223" s="220">
        <f>HLOOKUP(Calculations!$D$1,Multipliers!$D$38:$BE$52,$B223)</f>
        <v>1.77054296775583</v>
      </c>
      <c r="G223" s="260">
        <f t="shared" si="1"/>
        <v>10.955043743390794</v>
      </c>
      <c r="H223" s="220">
        <f>HLOOKUP(Calculations!$D$1,Multipliers!$D$55:$BE$69,$B223)</f>
        <v>0.17657671868801117</v>
      </c>
      <c r="I223" s="220">
        <f>HLOOKUP(Calculations!$D$1,Multipliers!$D$72:$BE$86,$B223)</f>
        <v>0.13083672523498535</v>
      </c>
      <c r="J223" s="220">
        <f>HLOOKUP(Calculations!$D$1,Multipliers!$D$89:$BE$103,$B223)</f>
        <v>6.8197377026081085E-2</v>
      </c>
      <c r="K223" s="260">
        <f t="shared" si="2"/>
        <v>0.37561082094907761</v>
      </c>
      <c r="L223" s="220">
        <f>HLOOKUP(Calculations!$D$1,Multipliers!$D$106:$BE$120,$B223)</f>
        <v>1</v>
      </c>
      <c r="M223" s="220">
        <f>HLOOKUP(Calculations!$D$1,Multipliers!$D$123:$BE$137,$B223)</f>
        <v>0.51972544193267822</v>
      </c>
      <c r="N223" s="220">
        <f>HLOOKUP(Calculations!$D$1,Multipliers!$D$140:$BE$154,$B223)</f>
        <v>0.21896086633205414</v>
      </c>
      <c r="O223" s="260">
        <f t="shared" si="3"/>
        <v>1.7386863082647324</v>
      </c>
      <c r="P223" s="220">
        <f>HLOOKUP(Calculations!$D$1,Multipliers!$D$157:$BE$171,$B223)</f>
        <v>0.49399596452713013</v>
      </c>
      <c r="Q223" s="220">
        <f>HLOOKUP(Calculations!$D$1,Multipliers!$D$174:$BE$188,$B223)</f>
        <v>0.25939595699310303</v>
      </c>
      <c r="R223" s="220">
        <f>HLOOKUP(Calculations!$D$1,Multipliers!$D$191:$BE$205,$B223)</f>
        <v>0.11615265905857086</v>
      </c>
      <c r="S223" s="260">
        <f t="shared" si="4"/>
        <v>0.86954458057880402</v>
      </c>
      <c r="T223" s="260"/>
      <c r="U223" s="220">
        <f>HLOOKUP(Calculations!$D$1,'Household Exp'!$D$3:$BE$17,$B223)</f>
        <v>0.13406431213014702</v>
      </c>
      <c r="V223" s="260"/>
      <c r="W223" s="260"/>
      <c r="X223" s="260"/>
      <c r="Y223" s="260"/>
      <c r="Z223" s="260"/>
      <c r="AA223" s="260"/>
      <c r="AB223" s="260"/>
      <c r="AC223" s="260"/>
      <c r="AD223" s="260"/>
      <c r="AE223" s="260"/>
      <c r="AF223" s="260"/>
      <c r="AG223" s="260"/>
      <c r="AH223" s="260"/>
      <c r="AI223" s="260"/>
      <c r="AJ223" s="260"/>
      <c r="AK223" s="260"/>
      <c r="AL223" s="260"/>
      <c r="AM223" s="260"/>
      <c r="AN223" s="260"/>
      <c r="AO223" s="260"/>
      <c r="AP223" s="260"/>
      <c r="AQ223" s="260"/>
      <c r="AR223" s="260"/>
      <c r="AS223" s="260"/>
      <c r="AT223" s="260"/>
      <c r="AU223" s="260"/>
      <c r="AV223" s="260"/>
      <c r="AW223" s="260"/>
      <c r="AX223" s="260"/>
      <c r="AY223" s="260"/>
      <c r="AZ223" s="260"/>
      <c r="BA223" s="260"/>
      <c r="BB223" s="260"/>
      <c r="BC223" s="260"/>
      <c r="BD223" s="260"/>
      <c r="BE223" s="260"/>
    </row>
    <row r="224" spans="1:57" s="220" customFormat="1" x14ac:dyDescent="0.25">
      <c r="A224" s="1254"/>
      <c r="B224" s="220">
        <v>13</v>
      </c>
      <c r="C224" s="1247" t="s">
        <v>606</v>
      </c>
      <c r="D224" s="220">
        <f>HLOOKUP(Calculations!$D$1,Multipliers!$D$4:$BE$18,$B224)</f>
        <v>5.9261765429635256</v>
      </c>
      <c r="E224" s="220">
        <f>HLOOKUP(Calculations!$D$1,Multipliers!$D$21:$BE$35,$B224)</f>
        <v>2.8476026333302009</v>
      </c>
      <c r="F224" s="220">
        <f>HLOOKUP(Calculations!$D$1,Multipliers!$D$38:$BE$52,$B224)</f>
        <v>2.9285405679006304</v>
      </c>
      <c r="G224" s="260">
        <f t="shared" si="1"/>
        <v>11.702319744194355</v>
      </c>
      <c r="H224" s="220">
        <f>HLOOKUP(Calculations!$D$1,Multipliers!$D$55:$BE$69,$B224)</f>
        <v>0.42362824082374573</v>
      </c>
      <c r="I224" s="220">
        <f>HLOOKUP(Calculations!$D$1,Multipliers!$D$72:$BE$86,$B224)</f>
        <v>0.13589277863502502</v>
      </c>
      <c r="J224" s="220">
        <f>HLOOKUP(Calculations!$D$1,Multipliers!$D$89:$BE$103,$B224)</f>
        <v>0.12416022270917892</v>
      </c>
      <c r="K224" s="260">
        <f t="shared" si="2"/>
        <v>0.68368124216794968</v>
      </c>
      <c r="L224" s="220">
        <f>HLOOKUP(Calculations!$D$1,Multipliers!$D$106:$BE$120,$B224)</f>
        <v>1</v>
      </c>
      <c r="M224" s="220">
        <f>HLOOKUP(Calculations!$D$1,Multipliers!$D$123:$BE$137,$B224)</f>
        <v>0.43909263610839844</v>
      </c>
      <c r="N224" s="220">
        <f>HLOOKUP(Calculations!$D$1,Multipliers!$D$140:$BE$154,$B224)</f>
        <v>0.39870598912239075</v>
      </c>
      <c r="O224" s="260">
        <f t="shared" si="3"/>
        <v>1.8377986252307892</v>
      </c>
      <c r="P224" s="220">
        <f>HLOOKUP(Calculations!$D$1,Multipliers!$D$157:$BE$171,$B224)</f>
        <v>0.52298444509506226</v>
      </c>
      <c r="Q224" s="220">
        <f>HLOOKUP(Calculations!$D$1,Multipliers!$D$174:$BE$188,$B224)</f>
        <v>0.22714880108833313</v>
      </c>
      <c r="R224" s="220">
        <f>HLOOKUP(Calculations!$D$1,Multipliers!$D$191:$BE$205,$B224)</f>
        <v>0.21149048209190369</v>
      </c>
      <c r="S224" s="260">
        <f t="shared" si="4"/>
        <v>0.96162372827529907</v>
      </c>
      <c r="T224" s="260"/>
      <c r="U224" s="220">
        <f>HLOOKUP(Calculations!$D$1,'Household Exp'!$D$3:$BE$17,$B224)</f>
        <v>0.59458089055368835</v>
      </c>
      <c r="V224" s="260"/>
      <c r="W224" s="260"/>
      <c r="X224" s="260"/>
      <c r="Y224" s="260"/>
      <c r="Z224" s="260"/>
      <c r="AA224" s="260"/>
      <c r="AB224" s="260"/>
      <c r="AC224" s="260"/>
      <c r="AD224" s="260"/>
      <c r="AE224" s="260"/>
      <c r="AF224" s="260"/>
      <c r="AG224" s="260"/>
      <c r="AH224" s="260"/>
      <c r="AI224" s="260"/>
      <c r="AJ224" s="260"/>
      <c r="AK224" s="260"/>
      <c r="AL224" s="260"/>
      <c r="AM224" s="260"/>
      <c r="AN224" s="260"/>
      <c r="AO224" s="260"/>
      <c r="AP224" s="260"/>
      <c r="AQ224" s="260"/>
      <c r="AR224" s="260"/>
      <c r="AS224" s="260"/>
      <c r="AT224" s="260"/>
      <c r="AU224" s="260"/>
      <c r="AV224" s="260"/>
      <c r="AW224" s="260"/>
      <c r="AX224" s="260"/>
      <c r="AY224" s="260"/>
      <c r="AZ224" s="260"/>
      <c r="BA224" s="260"/>
      <c r="BB224" s="260"/>
      <c r="BC224" s="260"/>
      <c r="BD224" s="260"/>
      <c r="BE224" s="260"/>
    </row>
    <row r="225" spans="1:79" s="220" customFormat="1" x14ac:dyDescent="0.25">
      <c r="A225" s="1254"/>
      <c r="B225" s="220">
        <v>14</v>
      </c>
      <c r="C225" s="1247" t="s">
        <v>607</v>
      </c>
      <c r="D225" s="220">
        <f>HLOOKUP(Calculations!$D$1,Multipliers!$D$4:$BE$18,$B225)</f>
        <v>9.1265080327058286</v>
      </c>
      <c r="E225" s="220">
        <f>HLOOKUP(Calculations!$D$1,Multipliers!$D$21:$BE$35,$B225)</f>
        <v>2.7547447302282393</v>
      </c>
      <c r="F225" s="220">
        <f>HLOOKUP(Calculations!$D$1,Multipliers!$D$38:$BE$52,$B225)</f>
        <v>2.5922024094820149</v>
      </c>
      <c r="G225" s="260">
        <f t="shared" si="1"/>
        <v>14.473455172416083</v>
      </c>
      <c r="H225" s="220">
        <f>HLOOKUP(Calculations!$D$1,Multipliers!$D$55:$BE$69,$B225)</f>
        <v>0.34283560514450073</v>
      </c>
      <c r="I225" s="220">
        <f>HLOOKUP(Calculations!$D$1,Multipliers!$D$72:$BE$86,$B225)</f>
        <v>0.11203065514564514</v>
      </c>
      <c r="J225" s="220">
        <f>HLOOKUP(Calculations!$D$1,Multipliers!$D$89:$BE$103,$B225)</f>
        <v>0.10093313455581665</v>
      </c>
      <c r="K225" s="260">
        <f t="shared" si="2"/>
        <v>0.55579939484596252</v>
      </c>
      <c r="L225" s="220">
        <f>HLOOKUP(Calculations!$D$1,Multipliers!$D$106:$BE$120,$B225)</f>
        <v>1</v>
      </c>
      <c r="M225" s="220">
        <f>HLOOKUP(Calculations!$D$1,Multipliers!$D$123:$BE$137,$B225)</f>
        <v>0.38498187065124512</v>
      </c>
      <c r="N225" s="220">
        <f>HLOOKUP(Calculations!$D$1,Multipliers!$D$140:$BE$154,$B225)</f>
        <v>0.32410436868667603</v>
      </c>
      <c r="O225" s="260">
        <f t="shared" si="3"/>
        <v>1.7090862393379211</v>
      </c>
      <c r="P225" s="220">
        <f>HLOOKUP(Calculations!$D$1,Multipliers!$D$157:$BE$171,$B225)</f>
        <v>0.55207169055938721</v>
      </c>
      <c r="Q225" s="220">
        <f>HLOOKUP(Calculations!$D$1,Multipliers!$D$174:$BE$188,$B225)</f>
        <v>0.19628050923347473</v>
      </c>
      <c r="R225" s="220">
        <f>HLOOKUP(Calculations!$D$1,Multipliers!$D$191:$BE$205,$B225)</f>
        <v>0.1719212532043457</v>
      </c>
      <c r="S225" s="260">
        <f t="shared" si="4"/>
        <v>0.92027345299720764</v>
      </c>
      <c r="T225" s="260"/>
      <c r="U225" s="220">
        <f>HLOOKUP(Calculations!$D$1,'Household Exp'!$D$3:$BE$17,$B225)</f>
        <v>8.7008136026926215E-3</v>
      </c>
      <c r="V225" s="260"/>
      <c r="W225" s="260"/>
      <c r="X225" s="260"/>
      <c r="Y225" s="260"/>
      <c r="Z225" s="260"/>
      <c r="AA225" s="260"/>
      <c r="AB225" s="260"/>
      <c r="AC225" s="260"/>
      <c r="AD225" s="260"/>
      <c r="AE225" s="260"/>
      <c r="AF225" s="260"/>
      <c r="AG225" s="260"/>
      <c r="AH225" s="260"/>
      <c r="AI225" s="260"/>
      <c r="AJ225" s="260"/>
      <c r="AK225" s="260"/>
      <c r="AL225" s="260"/>
      <c r="AM225" s="260"/>
      <c r="AN225" s="260"/>
      <c r="AO225" s="260"/>
      <c r="AP225" s="260"/>
      <c r="AQ225" s="260"/>
      <c r="AR225" s="260"/>
      <c r="AS225" s="260"/>
      <c r="AT225" s="260"/>
      <c r="AU225" s="260"/>
      <c r="AV225" s="260"/>
      <c r="AW225" s="260"/>
      <c r="AX225" s="260"/>
      <c r="AY225" s="260"/>
      <c r="AZ225" s="260"/>
      <c r="BA225" s="260"/>
      <c r="BB225" s="260"/>
      <c r="BC225" s="260"/>
      <c r="BD225" s="260"/>
      <c r="BE225" s="260"/>
    </row>
    <row r="226" spans="1:79" s="220" customFormat="1" x14ac:dyDescent="0.25">
      <c r="A226" s="1254"/>
      <c r="B226" s="220">
        <v>15</v>
      </c>
      <c r="C226" s="1247" t="s">
        <v>609</v>
      </c>
      <c r="D226" s="220">
        <f>HLOOKUP(Calculations!$D$1,Multipliers!$D$4:$BE$18,$B226)</f>
        <v>11.166429910583274</v>
      </c>
      <c r="E226" s="220">
        <f>HLOOKUP(Calculations!$D$1,Multipliers!$D$21:$BE$35,$B226)</f>
        <v>0.70450853936260061</v>
      </c>
      <c r="F226" s="220">
        <f>HLOOKUP(Calculations!$D$1,Multipliers!$D$38:$BE$52,$B226)</f>
        <v>3.8683865698126438</v>
      </c>
      <c r="G226" s="260">
        <f t="shared" si="1"/>
        <v>15.739325019758519</v>
      </c>
      <c r="H226" s="220">
        <f>HLOOKUP(Calculations!$D$1,Multipliers!$D$55:$BE$69,$B226)</f>
        <v>0.73272198438644409</v>
      </c>
      <c r="I226" s="220">
        <f>HLOOKUP(Calculations!$D$1,Multipliers!$D$72:$BE$86,$B226)</f>
        <v>3.3285051584243774E-2</v>
      </c>
      <c r="J226" s="220">
        <f>HLOOKUP(Calculations!$D$1,Multipliers!$D$89:$BE$103,$B226)</f>
        <v>0.17007939517498016</v>
      </c>
      <c r="K226" s="260">
        <f t="shared" si="2"/>
        <v>0.93608643114566803</v>
      </c>
      <c r="L226" s="220">
        <f>HLOOKUP(Calculations!$D$1,Multipliers!$D$106:$BE$120,$B226)</f>
        <v>1</v>
      </c>
      <c r="M226" s="220">
        <f>HLOOKUP(Calculations!$D$1,Multipliers!$D$123:$BE$137,$B226)</f>
        <v>0.11917173862457275</v>
      </c>
      <c r="N226" s="220">
        <f>HLOOKUP(Calculations!$D$1,Multipliers!$D$140:$BE$154,$B226)</f>
        <v>0.54629707336425781</v>
      </c>
      <c r="O226" s="260">
        <f t="shared" si="3"/>
        <v>1.6654688119888306</v>
      </c>
      <c r="P226" s="220">
        <f>HLOOKUP(Calculations!$D$1,Multipliers!$D$157:$BE$171,$B226)</f>
        <v>0.87505125999450684</v>
      </c>
      <c r="Q226" s="220">
        <f>HLOOKUP(Calculations!$D$1,Multipliers!$D$174:$BE$188,$B226)</f>
        <v>5.4562788456678391E-2</v>
      </c>
      <c r="R226" s="220">
        <f>HLOOKUP(Calculations!$D$1,Multipliers!$D$191:$BE$205,$B226)</f>
        <v>0.28975456953048706</v>
      </c>
      <c r="S226" s="260">
        <f t="shared" si="4"/>
        <v>1.2193686179816723</v>
      </c>
      <c r="T226" s="260"/>
      <c r="U226" s="220">
        <f>HLOOKUP(Calculations!$D$1,'Household Exp'!$D$3:$BE$17,$B226)</f>
        <v>8.857424525839307E-3</v>
      </c>
      <c r="V226" s="260"/>
      <c r="W226" s="260"/>
      <c r="X226" s="260"/>
      <c r="Y226" s="260"/>
      <c r="Z226" s="260"/>
      <c r="AA226" s="260"/>
      <c r="AB226" s="260"/>
      <c r="AC226" s="260"/>
      <c r="AD226" s="260"/>
      <c r="AE226" s="260"/>
      <c r="AF226" s="260"/>
      <c r="AG226" s="260"/>
      <c r="AH226" s="260"/>
      <c r="AI226" s="260"/>
      <c r="AJ226" s="260"/>
      <c r="AK226" s="260"/>
      <c r="AL226" s="260"/>
      <c r="AM226" s="260"/>
      <c r="AN226" s="260"/>
      <c r="AO226" s="260"/>
      <c r="AP226" s="260"/>
      <c r="AQ226" s="260"/>
      <c r="AR226" s="260"/>
      <c r="AS226" s="260"/>
      <c r="AT226" s="260"/>
      <c r="AU226" s="260"/>
      <c r="AV226" s="260"/>
      <c r="AW226" s="260"/>
      <c r="AX226" s="260"/>
      <c r="AY226" s="260"/>
      <c r="AZ226" s="260"/>
      <c r="BA226" s="260"/>
      <c r="BB226" s="260"/>
      <c r="BC226" s="260"/>
      <c r="BD226" s="260"/>
      <c r="BE226" s="260"/>
    </row>
    <row r="227" spans="1:79" x14ac:dyDescent="0.25">
      <c r="C227" s="255"/>
      <c r="D227" s="255"/>
      <c r="E227" s="255"/>
      <c r="F227" s="255"/>
      <c r="G227" s="255"/>
      <c r="H227" s="255"/>
      <c r="I227" s="255"/>
      <c r="J227" s="255"/>
      <c r="K227" s="255"/>
      <c r="L227" s="255"/>
      <c r="M227" s="255"/>
      <c r="N227" s="255"/>
      <c r="O227" s="255"/>
      <c r="P227" s="255"/>
      <c r="Q227" s="255"/>
      <c r="R227" s="255"/>
      <c r="S227" s="255"/>
      <c r="T227" s="255"/>
      <c r="U227" s="255"/>
      <c r="V227" s="255"/>
      <c r="W227" s="255"/>
      <c r="X227" s="255"/>
      <c r="Y227" s="255"/>
      <c r="Z227" s="255"/>
      <c r="AA227" s="255"/>
      <c r="AB227" s="255"/>
      <c r="AC227" s="255"/>
      <c r="AD227" s="255"/>
      <c r="AE227" s="255"/>
      <c r="AF227" s="255"/>
      <c r="AG227" s="255"/>
      <c r="AH227" s="255"/>
      <c r="AI227" s="255"/>
      <c r="AJ227" s="255"/>
      <c r="AK227" s="255"/>
      <c r="AL227" s="255"/>
      <c r="AM227" s="255"/>
      <c r="AN227" s="255"/>
      <c r="AO227" s="255"/>
      <c r="AP227" s="255"/>
      <c r="AQ227" s="255"/>
      <c r="AR227" s="255"/>
      <c r="AS227" s="255"/>
      <c r="AT227" s="255"/>
      <c r="AU227" s="255"/>
      <c r="AV227" s="255"/>
      <c r="AW227" s="255"/>
      <c r="AX227" s="1223"/>
      <c r="AY227" s="255"/>
      <c r="AZ227" s="255"/>
      <c r="BA227" s="255"/>
      <c r="BB227" s="255"/>
      <c r="BC227" s="255"/>
      <c r="BD227" s="255"/>
      <c r="BE227" s="255"/>
    </row>
    <row r="228" spans="1:79" x14ac:dyDescent="0.25">
      <c r="C228" s="255"/>
      <c r="D228" s="255"/>
      <c r="E228" s="255"/>
      <c r="F228" s="255"/>
      <c r="G228" s="255"/>
      <c r="H228" s="255"/>
      <c r="I228" s="255"/>
      <c r="J228" s="255"/>
      <c r="K228" s="255"/>
      <c r="L228" s="255"/>
      <c r="M228" s="255"/>
      <c r="N228" s="255"/>
      <c r="O228" s="255"/>
      <c r="P228" s="255"/>
      <c r="Q228" s="255"/>
      <c r="R228" s="255"/>
      <c r="S228" s="255"/>
      <c r="T228" s="255"/>
      <c r="U228" s="255"/>
      <c r="V228" s="255"/>
      <c r="W228" s="255"/>
      <c r="X228" s="255"/>
      <c r="Y228" s="255"/>
      <c r="Z228" s="255"/>
      <c r="AA228" s="255"/>
      <c r="AB228" s="255"/>
      <c r="AC228" s="255"/>
      <c r="AD228" s="255"/>
      <c r="AE228" s="255"/>
      <c r="AF228" s="255"/>
      <c r="AG228" s="255"/>
      <c r="AH228" s="255"/>
      <c r="AI228" s="255"/>
      <c r="AJ228" s="255"/>
      <c r="AK228" s="255"/>
      <c r="AL228" s="255"/>
      <c r="AM228" s="255"/>
      <c r="AN228" s="255"/>
      <c r="AO228" s="255"/>
      <c r="AP228" s="255"/>
      <c r="AQ228" s="255"/>
      <c r="AR228" s="255"/>
      <c r="AS228" s="255"/>
      <c r="AT228" s="255"/>
      <c r="AU228" s="255"/>
      <c r="AV228" s="255"/>
      <c r="AW228" s="255"/>
      <c r="AX228" s="1223"/>
      <c r="AY228" s="255"/>
      <c r="AZ228" s="255"/>
      <c r="BA228" s="255"/>
      <c r="BB228" s="255"/>
      <c r="BC228" s="255"/>
      <c r="BD228" s="255"/>
      <c r="BE228" s="255"/>
    </row>
    <row r="229" spans="1:79" s="225" customFormat="1" ht="12.75" customHeight="1" x14ac:dyDescent="0.2">
      <c r="C229" s="255"/>
      <c r="D229" s="263"/>
      <c r="E229" s="263"/>
      <c r="F229" s="263"/>
      <c r="G229" s="263"/>
      <c r="H229" s="263"/>
      <c r="I229" s="263"/>
      <c r="J229" s="263"/>
      <c r="K229" s="263"/>
      <c r="L229" s="263"/>
      <c r="M229" s="263"/>
      <c r="N229" s="263"/>
      <c r="O229" s="263"/>
      <c r="P229" s="263"/>
      <c r="Q229" s="263"/>
      <c r="R229" s="263"/>
      <c r="S229" s="263"/>
      <c r="T229" s="263"/>
      <c r="U229" s="263"/>
      <c r="V229" s="263"/>
      <c r="W229" s="263"/>
      <c r="X229" s="263"/>
      <c r="Y229" s="263"/>
      <c r="Z229" s="263"/>
      <c r="AA229" s="263"/>
      <c r="AB229" s="263"/>
      <c r="AC229" s="263"/>
      <c r="AD229" s="263"/>
      <c r="AE229" s="260"/>
      <c r="AF229" s="260"/>
      <c r="AG229" s="257"/>
      <c r="AH229" s="257"/>
      <c r="AI229" s="257"/>
      <c r="AJ229" s="257"/>
      <c r="AK229" s="257"/>
      <c r="AL229" s="257"/>
      <c r="AM229" s="257"/>
      <c r="AN229" s="257"/>
      <c r="AO229" s="257"/>
      <c r="AP229" s="257"/>
      <c r="AQ229" s="257"/>
      <c r="AR229" s="257"/>
      <c r="AS229" s="257"/>
      <c r="AT229" s="257"/>
      <c r="AU229" s="257"/>
      <c r="AV229" s="257"/>
      <c r="AW229" s="257"/>
      <c r="AX229" s="257"/>
      <c r="AY229" s="257"/>
      <c r="AZ229" s="257"/>
      <c r="BA229" s="257"/>
      <c r="BB229" s="257"/>
      <c r="BC229" s="257"/>
      <c r="BD229" s="257"/>
      <c r="BE229" s="257"/>
    </row>
    <row r="230" spans="1:79" s="227" customFormat="1" x14ac:dyDescent="0.25">
      <c r="C230" s="261"/>
      <c r="D230" s="219"/>
      <c r="E230" s="219"/>
      <c r="F230" s="219"/>
      <c r="G230" s="219"/>
      <c r="H230" s="219"/>
      <c r="I230" s="219"/>
      <c r="J230" s="219"/>
      <c r="K230" s="219"/>
      <c r="L230" s="219"/>
      <c r="M230" s="219"/>
      <c r="N230" s="219"/>
      <c r="O230" s="219"/>
      <c r="P230" s="219"/>
      <c r="Q230" s="219"/>
      <c r="R230" s="219"/>
      <c r="S230" s="219"/>
      <c r="T230" s="219"/>
      <c r="U230" s="219"/>
      <c r="V230" s="219"/>
      <c r="W230" s="219"/>
      <c r="X230" s="219"/>
      <c r="Y230" s="219"/>
      <c r="Z230" s="219"/>
      <c r="AA230" s="219"/>
      <c r="AB230" s="219"/>
      <c r="AC230" s="219"/>
      <c r="AD230" s="219"/>
      <c r="AE230" s="219"/>
      <c r="AF230" s="219"/>
      <c r="AG230" s="219"/>
      <c r="AH230" s="219"/>
      <c r="AI230" s="219"/>
      <c r="AJ230" s="219"/>
      <c r="AK230" s="219"/>
      <c r="AL230" s="219"/>
      <c r="AM230" s="219"/>
      <c r="AN230" s="219"/>
      <c r="AO230" s="219"/>
      <c r="AP230" s="219"/>
      <c r="AQ230" s="219"/>
      <c r="AR230" s="219"/>
      <c r="AS230" s="219"/>
      <c r="AT230" s="219"/>
      <c r="AU230" s="219"/>
      <c r="AV230" s="219"/>
      <c r="AW230" s="219"/>
      <c r="AX230" s="219"/>
      <c r="AY230" s="219"/>
      <c r="AZ230" s="219"/>
      <c r="BA230" s="219"/>
      <c r="BB230" s="219"/>
      <c r="BC230" s="219"/>
      <c r="BD230" s="219"/>
      <c r="BE230" s="219"/>
      <c r="BF230" s="219"/>
    </row>
    <row r="231" spans="1:79" s="226" customFormat="1" x14ac:dyDescent="0.25">
      <c r="C231" s="261"/>
      <c r="D231" s="222"/>
      <c r="E231" s="222"/>
      <c r="F231" s="222"/>
      <c r="G231" s="222"/>
      <c r="H231" s="222"/>
      <c r="I231" s="222"/>
      <c r="J231" s="222"/>
      <c r="K231" s="222"/>
      <c r="L231" s="222"/>
      <c r="M231" s="222"/>
      <c r="N231" s="222"/>
      <c r="O231" s="222"/>
      <c r="P231" s="222"/>
      <c r="Q231" s="222"/>
      <c r="R231" s="222"/>
      <c r="S231" s="222"/>
      <c r="T231" s="222"/>
      <c r="U231" s="222"/>
      <c r="V231" s="222"/>
      <c r="W231" s="222"/>
      <c r="X231" s="222"/>
      <c r="Y231" s="222"/>
      <c r="Z231" s="222"/>
      <c r="AA231" s="222"/>
      <c r="AB231" s="222"/>
      <c r="AC231" s="222"/>
      <c r="AD231" s="222"/>
      <c r="AE231" s="222"/>
      <c r="AF231" s="222"/>
      <c r="AG231" s="222"/>
      <c r="AH231" s="222"/>
      <c r="AI231" s="222"/>
      <c r="AJ231" s="222"/>
      <c r="AK231" s="222"/>
      <c r="AL231" s="222"/>
      <c r="AM231" s="222"/>
      <c r="AN231" s="222"/>
      <c r="AO231" s="222"/>
      <c r="AP231" s="222"/>
      <c r="AQ231" s="222"/>
      <c r="AR231" s="222"/>
      <c r="AS231" s="222"/>
      <c r="AT231" s="222"/>
      <c r="AU231" s="222"/>
      <c r="AV231" s="222"/>
      <c r="AW231" s="222"/>
      <c r="AX231" s="222"/>
      <c r="AY231" s="222"/>
      <c r="AZ231" s="222"/>
      <c r="BA231" s="222"/>
      <c r="BB231" s="222"/>
      <c r="BC231" s="222"/>
      <c r="BD231" s="222"/>
      <c r="BE231" s="222"/>
      <c r="BF231" s="219"/>
      <c r="BG231" s="227"/>
      <c r="BH231" s="227"/>
      <c r="BI231" s="227"/>
      <c r="BJ231" s="227"/>
      <c r="BK231" s="227"/>
      <c r="BL231" s="227"/>
      <c r="BM231" s="227"/>
      <c r="BN231" s="227"/>
      <c r="BO231" s="227"/>
      <c r="BP231" s="227"/>
      <c r="BQ231" s="227"/>
      <c r="BR231" s="227"/>
      <c r="BS231" s="227"/>
      <c r="BT231" s="227"/>
      <c r="BU231" s="227"/>
      <c r="BV231" s="227"/>
      <c r="BW231" s="227"/>
      <c r="BX231" s="227"/>
      <c r="BY231" s="227"/>
      <c r="BZ231" s="227"/>
      <c r="CA231" s="227"/>
    </row>
    <row r="232" spans="1:79" x14ac:dyDescent="0.25">
      <c r="C232" s="255"/>
      <c r="AG232" s="518"/>
      <c r="AH232" s="518"/>
      <c r="AI232" s="518"/>
      <c r="AJ232" s="518"/>
      <c r="AK232" s="518"/>
      <c r="AL232" s="518"/>
      <c r="AM232" s="518"/>
      <c r="AN232" s="518"/>
      <c r="AO232" s="518"/>
      <c r="AP232" s="518"/>
      <c r="AQ232" s="518"/>
      <c r="AR232" s="518"/>
      <c r="AS232" s="518"/>
      <c r="AT232" s="518"/>
      <c r="AU232" s="518"/>
      <c r="AV232" s="518"/>
      <c r="AW232" s="518"/>
      <c r="AX232" s="518"/>
      <c r="AY232" s="518"/>
      <c r="AZ232" s="518"/>
      <c r="BA232" s="518"/>
      <c r="BB232" s="518"/>
      <c r="BC232" s="518"/>
      <c r="BD232" s="518"/>
      <c r="BE232" s="518"/>
    </row>
    <row r="233" spans="1:79" x14ac:dyDescent="0.25">
      <c r="C233" s="264"/>
      <c r="D233" s="519"/>
      <c r="E233" s="519"/>
      <c r="F233" s="519"/>
      <c r="G233" s="519"/>
      <c r="I233" s="519"/>
      <c r="J233" s="519"/>
      <c r="K233" s="519"/>
      <c r="L233" s="519"/>
      <c r="M233" s="519"/>
      <c r="N233" s="519"/>
      <c r="O233" s="519"/>
      <c r="P233" s="519"/>
      <c r="Q233" s="519"/>
      <c r="R233" s="519"/>
      <c r="S233" s="519"/>
      <c r="T233" s="519"/>
      <c r="U233" s="519"/>
      <c r="V233" s="519"/>
      <c r="W233" s="519"/>
      <c r="X233" s="519"/>
      <c r="Y233" s="519"/>
      <c r="Z233" s="519"/>
      <c r="AA233" s="519"/>
      <c r="AB233" s="519"/>
      <c r="AC233" s="519"/>
      <c r="AD233" s="519"/>
      <c r="AE233" s="519"/>
      <c r="AF233" s="519"/>
      <c r="AG233" s="519"/>
      <c r="AH233" s="519"/>
      <c r="AI233" s="519"/>
      <c r="AJ233" s="519"/>
      <c r="AK233" s="519"/>
      <c r="AL233" s="519"/>
      <c r="AM233" s="519"/>
      <c r="AN233" s="519"/>
      <c r="AO233" s="519"/>
      <c r="AP233" s="519"/>
      <c r="AQ233" s="519"/>
      <c r="AR233" s="519"/>
      <c r="AS233" s="519"/>
      <c r="AT233" s="519"/>
      <c r="AU233" s="519"/>
      <c r="AV233" s="519"/>
      <c r="AW233" s="519"/>
      <c r="AX233" s="519"/>
      <c r="AY233" s="519"/>
      <c r="AZ233" s="519"/>
      <c r="BA233" s="519"/>
      <c r="BB233" s="519"/>
      <c r="BC233" s="519"/>
      <c r="BD233" s="519"/>
      <c r="BE233" s="519"/>
      <c r="BF233" s="519"/>
    </row>
    <row r="234" spans="1:79" x14ac:dyDescent="0.25">
      <c r="C234" s="255"/>
      <c r="D234" s="222"/>
      <c r="E234" s="222"/>
      <c r="F234" s="222"/>
      <c r="G234" s="222"/>
      <c r="I234" s="222"/>
      <c r="J234" s="222"/>
      <c r="K234" s="222"/>
      <c r="L234" s="222"/>
      <c r="M234" s="222"/>
      <c r="N234" s="222"/>
      <c r="O234" s="222"/>
      <c r="P234" s="222"/>
      <c r="Q234" s="222"/>
      <c r="R234" s="222"/>
      <c r="S234" s="222"/>
      <c r="T234" s="222"/>
      <c r="U234" s="222"/>
      <c r="V234" s="222"/>
      <c r="W234" s="222"/>
      <c r="X234" s="222"/>
      <c r="Y234" s="222"/>
      <c r="Z234" s="222"/>
      <c r="AA234" s="222"/>
      <c r="AB234" s="222"/>
      <c r="AC234" s="222"/>
      <c r="AD234" s="222"/>
      <c r="AE234" s="222"/>
      <c r="AF234" s="222"/>
      <c r="AG234" s="222"/>
      <c r="AH234" s="222"/>
      <c r="AI234" s="222"/>
      <c r="AJ234" s="222"/>
      <c r="AK234" s="222"/>
      <c r="AL234" s="222"/>
      <c r="AM234" s="222"/>
      <c r="AN234" s="222"/>
      <c r="AO234" s="222"/>
      <c r="AP234" s="222"/>
      <c r="AQ234" s="222"/>
      <c r="AR234" s="222"/>
      <c r="AS234" s="222"/>
      <c r="AT234" s="222"/>
      <c r="AU234" s="222"/>
      <c r="AV234" s="222"/>
      <c r="AW234" s="222"/>
      <c r="AX234" s="222"/>
      <c r="AY234" s="222"/>
      <c r="AZ234" s="222"/>
      <c r="BA234" s="222"/>
      <c r="BB234" s="222"/>
      <c r="BC234" s="222"/>
      <c r="BD234" s="222"/>
      <c r="BE234" s="222"/>
      <c r="BF234" s="222"/>
    </row>
    <row r="235" spans="1:79" x14ac:dyDescent="0.25">
      <c r="C235" s="261"/>
      <c r="AG235" s="518"/>
      <c r="AH235" s="518"/>
      <c r="AI235" s="518"/>
      <c r="AJ235" s="518"/>
      <c r="AK235" s="518"/>
      <c r="AL235" s="518"/>
      <c r="AM235" s="518"/>
      <c r="AN235" s="518"/>
      <c r="AO235" s="518"/>
      <c r="AP235" s="518"/>
      <c r="AQ235" s="518"/>
      <c r="AR235" s="518"/>
      <c r="AS235" s="518"/>
      <c r="AT235" s="518"/>
      <c r="AU235" s="518"/>
      <c r="AV235" s="518"/>
      <c r="AW235" s="518"/>
      <c r="AX235" s="518"/>
      <c r="AY235" s="518"/>
      <c r="AZ235" s="518"/>
      <c r="BA235" s="518"/>
      <c r="BB235" s="518"/>
      <c r="BC235" s="518"/>
      <c r="BD235" s="518"/>
      <c r="BE235" s="518"/>
    </row>
    <row r="236" spans="1:79" x14ac:dyDescent="0.25">
      <c r="C236" s="261"/>
      <c r="AG236" s="518"/>
      <c r="AH236" s="518"/>
      <c r="AI236" s="518"/>
      <c r="AJ236" s="518"/>
      <c r="AK236" s="518"/>
      <c r="AL236" s="518"/>
      <c r="AM236" s="518"/>
      <c r="AN236" s="518"/>
      <c r="AO236" s="518"/>
      <c r="AP236" s="518"/>
      <c r="AQ236" s="518"/>
      <c r="AR236" s="518"/>
      <c r="AS236" s="518"/>
      <c r="AT236" s="518"/>
      <c r="AU236" s="518"/>
      <c r="AV236" s="518"/>
      <c r="AW236" s="518"/>
      <c r="AX236" s="518"/>
      <c r="AY236" s="518"/>
      <c r="AZ236" s="518"/>
      <c r="BA236" s="518"/>
      <c r="BB236" s="518"/>
      <c r="BC236" s="518"/>
      <c r="BD236" s="518"/>
      <c r="BE236" s="518"/>
      <c r="BF236" s="219" t="s">
        <v>826</v>
      </c>
    </row>
    <row r="237" spans="1:79" x14ac:dyDescent="0.25">
      <c r="C237" s="255"/>
      <c r="AG237" s="518"/>
      <c r="AH237" s="518"/>
      <c r="AI237" s="518"/>
      <c r="AJ237" s="518"/>
      <c r="AK237" s="518"/>
      <c r="AL237" s="518"/>
      <c r="AM237" s="518"/>
      <c r="AN237" s="518"/>
      <c r="AO237" s="518"/>
      <c r="AP237" s="518"/>
      <c r="AQ237" s="518"/>
      <c r="AR237" s="518"/>
      <c r="AS237" s="518"/>
      <c r="AT237" s="518"/>
      <c r="AU237" s="518"/>
      <c r="AV237" s="518"/>
      <c r="AW237" s="518"/>
      <c r="AX237" s="518"/>
      <c r="AY237" s="518"/>
      <c r="AZ237" s="518"/>
      <c r="BA237" s="518"/>
      <c r="BB237" s="518"/>
      <c r="BC237" s="518"/>
      <c r="BD237" s="518"/>
      <c r="BE237" s="518"/>
      <c r="BF237" s="219" t="e">
        <f>AVERAGE(D230:BE230)</f>
        <v>#DIV/0!</v>
      </c>
    </row>
    <row r="238" spans="1:79" x14ac:dyDescent="0.25">
      <c r="C238" s="255"/>
      <c r="AG238" s="518"/>
      <c r="AH238" s="518"/>
      <c r="AI238" s="518"/>
      <c r="AJ238" s="518"/>
      <c r="AK238" s="518"/>
      <c r="AL238" s="518"/>
      <c r="AM238" s="518"/>
      <c r="AN238" s="518"/>
      <c r="AO238" s="518"/>
      <c r="AP238" s="518"/>
      <c r="AQ238" s="518"/>
      <c r="AR238" s="518"/>
      <c r="AS238" s="518"/>
      <c r="AT238" s="518"/>
      <c r="AU238" s="518"/>
      <c r="AV238" s="518"/>
      <c r="AW238" s="518"/>
      <c r="AX238" s="518"/>
      <c r="AY238" s="518"/>
      <c r="AZ238" s="518"/>
      <c r="BA238" s="518"/>
      <c r="BB238" s="518"/>
      <c r="BC238" s="518"/>
      <c r="BD238" s="518"/>
      <c r="BE238" s="518"/>
      <c r="BF238" s="219" t="e">
        <f>AVERAGE(D231:BE231)</f>
        <v>#DIV/0!</v>
      </c>
    </row>
    <row r="239" spans="1:79" x14ac:dyDescent="0.25">
      <c r="C239" s="261"/>
      <c r="D239" s="255"/>
      <c r="E239" s="255"/>
      <c r="F239" s="255"/>
      <c r="G239" s="255"/>
      <c r="H239" s="255"/>
      <c r="I239" s="255"/>
      <c r="J239" s="255"/>
      <c r="K239" s="255"/>
      <c r="L239" s="255"/>
      <c r="M239" s="255"/>
      <c r="N239" s="255"/>
      <c r="O239" s="255"/>
      <c r="P239" s="255"/>
      <c r="Q239" s="255"/>
      <c r="R239" s="255"/>
      <c r="S239" s="255"/>
      <c r="T239" s="255"/>
      <c r="U239" s="255"/>
      <c r="V239" s="255"/>
      <c r="W239" s="255"/>
      <c r="X239" s="255"/>
      <c r="Y239" s="255"/>
      <c r="Z239" s="255"/>
      <c r="AA239" s="255"/>
      <c r="AB239" s="255"/>
      <c r="AC239" s="255"/>
      <c r="AD239" s="255"/>
      <c r="AE239" s="255"/>
      <c r="AF239" s="255"/>
      <c r="AG239" s="257"/>
      <c r="AH239" s="257"/>
      <c r="AI239" s="257"/>
      <c r="AJ239" s="257"/>
      <c r="AK239" s="257"/>
      <c r="AL239" s="257"/>
      <c r="AM239" s="257"/>
      <c r="AN239" s="257"/>
      <c r="AO239" s="257"/>
      <c r="AP239" s="257"/>
      <c r="AQ239" s="257"/>
      <c r="AR239" s="257"/>
      <c r="AS239" s="257"/>
      <c r="AT239" s="257"/>
      <c r="AU239" s="257"/>
      <c r="AV239" s="257"/>
      <c r="AW239" s="257"/>
      <c r="AX239" s="257"/>
      <c r="AY239" s="257"/>
      <c r="AZ239" s="257"/>
      <c r="BA239" s="257"/>
      <c r="BB239" s="257"/>
      <c r="BC239" s="257"/>
      <c r="BD239" s="257"/>
      <c r="BE239" s="257"/>
    </row>
    <row r="240" spans="1:79" x14ac:dyDescent="0.25">
      <c r="C240" s="261"/>
      <c r="D240" s="255"/>
      <c r="E240" s="255"/>
      <c r="F240" s="255"/>
      <c r="G240" s="255"/>
      <c r="H240" s="255"/>
      <c r="I240" s="255"/>
      <c r="J240" s="255"/>
      <c r="K240" s="255"/>
      <c r="L240" s="255"/>
      <c r="M240" s="255"/>
      <c r="N240" s="255"/>
      <c r="O240" s="255"/>
      <c r="P240" s="255"/>
      <c r="Q240" s="255"/>
      <c r="R240" s="255"/>
      <c r="S240" s="255"/>
      <c r="T240" s="255"/>
      <c r="U240" s="255"/>
      <c r="V240" s="255"/>
      <c r="W240" s="255"/>
      <c r="X240" s="255"/>
      <c r="Y240" s="255"/>
      <c r="Z240" s="255"/>
      <c r="AA240" s="255"/>
      <c r="AB240" s="255"/>
      <c r="AC240" s="255"/>
      <c r="AD240" s="255"/>
      <c r="AE240" s="255"/>
      <c r="AF240" s="255"/>
      <c r="AG240" s="257"/>
      <c r="AH240" s="257"/>
      <c r="AI240" s="257"/>
      <c r="AJ240" s="257"/>
      <c r="AK240" s="257"/>
      <c r="AL240" s="257"/>
      <c r="AM240" s="257"/>
      <c r="AN240" s="257"/>
      <c r="AO240" s="257"/>
      <c r="AP240" s="257"/>
      <c r="AQ240" s="257"/>
      <c r="AR240" s="257"/>
      <c r="AS240" s="257"/>
      <c r="AT240" s="257"/>
      <c r="AU240" s="257"/>
      <c r="AV240" s="257"/>
      <c r="AW240" s="257"/>
      <c r="AX240" s="257"/>
      <c r="AY240" s="257"/>
      <c r="AZ240" s="257"/>
      <c r="BA240" s="257"/>
      <c r="BB240" s="257"/>
      <c r="BC240" s="257"/>
      <c r="BD240" s="257"/>
      <c r="BE240" s="257"/>
    </row>
    <row r="241" spans="3:57" x14ac:dyDescent="0.25">
      <c r="C241" s="261"/>
      <c r="D241" s="255"/>
      <c r="E241" s="255"/>
      <c r="F241" s="255"/>
      <c r="G241" s="255"/>
      <c r="H241" s="255"/>
      <c r="I241" s="255"/>
      <c r="J241" s="255"/>
      <c r="K241" s="255"/>
      <c r="L241" s="255"/>
      <c r="M241" s="255"/>
      <c r="N241" s="255"/>
      <c r="O241" s="255"/>
      <c r="P241" s="255"/>
      <c r="Q241" s="255"/>
      <c r="R241" s="255"/>
      <c r="S241" s="255"/>
      <c r="T241" s="255"/>
      <c r="U241" s="255"/>
      <c r="V241" s="255"/>
      <c r="W241" s="255"/>
      <c r="X241" s="255"/>
      <c r="Y241" s="255"/>
      <c r="Z241" s="255"/>
      <c r="AA241" s="255"/>
      <c r="AB241" s="255"/>
      <c r="AC241" s="255"/>
      <c r="AD241" s="255"/>
      <c r="AE241" s="255"/>
      <c r="AF241" s="255"/>
      <c r="AG241" s="257"/>
      <c r="AH241" s="257"/>
      <c r="AI241" s="257"/>
      <c r="AJ241" s="257"/>
      <c r="AK241" s="257"/>
      <c r="AL241" s="257"/>
      <c r="AM241" s="257"/>
      <c r="AN241" s="257"/>
      <c r="AO241" s="257"/>
      <c r="AP241" s="257"/>
      <c r="AQ241" s="257"/>
      <c r="AR241" s="257"/>
      <c r="AS241" s="257"/>
      <c r="AT241" s="257"/>
      <c r="AU241" s="257"/>
      <c r="AV241" s="257"/>
      <c r="AW241" s="257"/>
      <c r="AX241" s="257"/>
      <c r="AY241" s="257"/>
      <c r="AZ241" s="257"/>
      <c r="BA241" s="257"/>
      <c r="BB241" s="257"/>
      <c r="BC241" s="257"/>
      <c r="BD241" s="257"/>
      <c r="BE241" s="257"/>
    </row>
    <row r="242" spans="3:57" x14ac:dyDescent="0.25">
      <c r="C242" s="261"/>
      <c r="D242" s="255"/>
      <c r="E242" s="255"/>
      <c r="F242" s="255"/>
      <c r="G242" s="255"/>
      <c r="H242" s="255"/>
      <c r="I242" s="255"/>
      <c r="J242" s="255"/>
      <c r="K242" s="255"/>
      <c r="L242" s="255"/>
      <c r="M242" s="255"/>
      <c r="N242" s="255"/>
      <c r="O242" s="255"/>
      <c r="P242" s="255"/>
      <c r="Q242" s="255"/>
      <c r="R242" s="255"/>
      <c r="S242" s="255"/>
      <c r="T242" s="255"/>
      <c r="U242" s="255"/>
      <c r="V242" s="255"/>
      <c r="W242" s="255"/>
      <c r="X242" s="255"/>
      <c r="Y242" s="255"/>
      <c r="Z242" s="255"/>
      <c r="AA242" s="255"/>
      <c r="AB242" s="255"/>
      <c r="AC242" s="255"/>
      <c r="AD242" s="255"/>
      <c r="AE242" s="255"/>
      <c r="AF242" s="255"/>
      <c r="AG242" s="257"/>
      <c r="AH242" s="257"/>
      <c r="AI242" s="257"/>
      <c r="AJ242" s="257"/>
      <c r="AK242" s="257"/>
      <c r="AL242" s="257"/>
      <c r="AM242" s="257"/>
      <c r="AN242" s="257"/>
      <c r="AO242" s="257"/>
      <c r="AP242" s="257"/>
      <c r="AQ242" s="257"/>
      <c r="AR242" s="257"/>
      <c r="AS242" s="257"/>
      <c r="AT242" s="257"/>
      <c r="AU242" s="257"/>
      <c r="AV242" s="257"/>
      <c r="AW242" s="257"/>
      <c r="AX242" s="257"/>
      <c r="AY242" s="257"/>
      <c r="AZ242" s="257"/>
      <c r="BA242" s="257"/>
      <c r="BB242" s="257"/>
      <c r="BC242" s="257"/>
      <c r="BD242" s="257"/>
      <c r="BE242" s="257"/>
    </row>
    <row r="243" spans="3:57" x14ac:dyDescent="0.25">
      <c r="C243" s="261"/>
      <c r="D243" s="255"/>
      <c r="E243" s="255"/>
      <c r="F243" s="255"/>
      <c r="G243" s="255"/>
      <c r="H243" s="255"/>
      <c r="I243" s="255"/>
      <c r="J243" s="255"/>
      <c r="K243" s="255"/>
      <c r="L243" s="255"/>
      <c r="M243" s="255"/>
      <c r="N243" s="255"/>
      <c r="O243" s="255"/>
      <c r="P243" s="255"/>
      <c r="Q243" s="255"/>
      <c r="R243" s="255"/>
      <c r="S243" s="255"/>
      <c r="T243" s="255"/>
      <c r="U243" s="255"/>
      <c r="V243" s="255"/>
      <c r="W243" s="255"/>
      <c r="X243" s="255"/>
      <c r="Y243" s="255"/>
      <c r="Z243" s="255"/>
      <c r="AA243" s="255"/>
      <c r="AB243" s="255"/>
      <c r="AC243" s="255"/>
      <c r="AD243" s="255"/>
      <c r="AE243" s="255"/>
      <c r="AF243" s="255"/>
      <c r="AG243" s="257"/>
      <c r="AH243" s="257"/>
      <c r="AI243" s="257"/>
      <c r="AJ243" s="257"/>
      <c r="AK243" s="257"/>
      <c r="AL243" s="257"/>
      <c r="AM243" s="257"/>
      <c r="AN243" s="257"/>
      <c r="AO243" s="257"/>
      <c r="AP243" s="257"/>
      <c r="AQ243" s="257"/>
      <c r="AR243" s="257"/>
      <c r="AS243" s="257"/>
      <c r="AT243" s="257"/>
      <c r="AU243" s="257"/>
      <c r="AV243" s="257"/>
      <c r="AW243" s="257"/>
      <c r="AX243" s="257"/>
      <c r="AY243" s="257"/>
      <c r="AZ243" s="257"/>
      <c r="BA243" s="257"/>
      <c r="BB243" s="257"/>
      <c r="BC243" s="257"/>
      <c r="BD243" s="257"/>
      <c r="BE243" s="257"/>
    </row>
    <row r="244" spans="3:57" x14ac:dyDescent="0.25">
      <c r="C244" s="261"/>
      <c r="D244" s="255"/>
      <c r="E244" s="255"/>
      <c r="F244" s="255"/>
      <c r="G244" s="255"/>
      <c r="H244" s="255"/>
      <c r="I244" s="255"/>
      <c r="J244" s="255"/>
      <c r="K244" s="255"/>
      <c r="L244" s="255"/>
      <c r="M244" s="255"/>
      <c r="N244" s="255"/>
      <c r="O244" s="255"/>
      <c r="P244" s="255"/>
      <c r="Q244" s="255"/>
      <c r="R244" s="255"/>
      <c r="S244" s="255"/>
      <c r="T244" s="255"/>
      <c r="U244" s="255"/>
      <c r="V244" s="255"/>
      <c r="W244" s="255"/>
      <c r="X244" s="255"/>
      <c r="Y244" s="255"/>
      <c r="Z244" s="255"/>
      <c r="AA244" s="255"/>
      <c r="AB244" s="255"/>
      <c r="AC244" s="255"/>
      <c r="AD244" s="255"/>
      <c r="AE244" s="255"/>
      <c r="AF244" s="255"/>
      <c r="AG244" s="255"/>
      <c r="AH244" s="255"/>
      <c r="AI244" s="255"/>
      <c r="AJ244" s="255"/>
      <c r="AK244" s="255"/>
      <c r="AL244" s="255"/>
      <c r="AM244" s="255"/>
      <c r="AN244" s="255"/>
      <c r="AO244" s="255"/>
      <c r="AP244" s="255"/>
      <c r="AQ244" s="255"/>
      <c r="AR244" s="255"/>
      <c r="AS244" s="255"/>
      <c r="AT244" s="255"/>
      <c r="AU244" s="255"/>
      <c r="AV244" s="255"/>
      <c r="AW244" s="255"/>
      <c r="AX244" s="1223"/>
      <c r="AY244" s="255"/>
      <c r="AZ244" s="255"/>
      <c r="BA244" s="255"/>
      <c r="BB244" s="255"/>
      <c r="BC244" s="255"/>
      <c r="BD244" s="255"/>
      <c r="BE244" s="255"/>
    </row>
    <row r="245" spans="3:57" x14ac:dyDescent="0.25">
      <c r="C245" s="261"/>
      <c r="D245" s="255"/>
      <c r="E245" s="255"/>
      <c r="F245" s="255"/>
      <c r="G245" s="255"/>
      <c r="H245" s="255"/>
      <c r="I245" s="255"/>
      <c r="J245" s="255"/>
      <c r="K245" s="255"/>
      <c r="L245" s="255"/>
      <c r="M245" s="255"/>
      <c r="N245" s="255"/>
      <c r="O245" s="255"/>
      <c r="P245" s="255"/>
      <c r="Q245" s="255"/>
      <c r="R245" s="255"/>
      <c r="S245" s="255"/>
      <c r="T245" s="255"/>
      <c r="U245" s="255"/>
      <c r="V245" s="255"/>
      <c r="W245" s="255"/>
      <c r="X245" s="255"/>
      <c r="Y245" s="255"/>
      <c r="Z245" s="255"/>
      <c r="AA245" s="255"/>
      <c r="AB245" s="255"/>
      <c r="AC245" s="255"/>
      <c r="AD245" s="255"/>
      <c r="AE245" s="255"/>
      <c r="AF245" s="255"/>
      <c r="AG245" s="255"/>
      <c r="AH245" s="255"/>
      <c r="AI245" s="255"/>
      <c r="AJ245" s="255"/>
      <c r="AK245" s="255"/>
      <c r="AL245" s="255"/>
      <c r="AM245" s="255"/>
      <c r="AN245" s="255"/>
      <c r="AO245" s="255"/>
      <c r="AP245" s="255"/>
      <c r="AQ245" s="255"/>
      <c r="AR245" s="255"/>
      <c r="AS245" s="255"/>
      <c r="AT245" s="255"/>
      <c r="AU245" s="255"/>
      <c r="AV245" s="255"/>
      <c r="AW245" s="255"/>
      <c r="AX245" s="1223"/>
      <c r="AY245" s="255"/>
      <c r="AZ245" s="255"/>
      <c r="BA245" s="255"/>
      <c r="BB245" s="255"/>
      <c r="BC245" s="255"/>
      <c r="BD245" s="255"/>
      <c r="BE245" s="255"/>
    </row>
    <row r="246" spans="3:57" x14ac:dyDescent="0.25">
      <c r="C246" s="261"/>
      <c r="D246" s="255"/>
      <c r="E246" s="255"/>
      <c r="F246" s="255"/>
      <c r="G246" s="255"/>
      <c r="H246" s="255"/>
      <c r="I246" s="255"/>
      <c r="J246" s="255"/>
      <c r="K246" s="255"/>
      <c r="L246" s="255"/>
      <c r="M246" s="255"/>
      <c r="N246" s="255"/>
      <c r="O246" s="255"/>
      <c r="P246" s="255"/>
      <c r="Q246" s="255"/>
      <c r="R246" s="255"/>
      <c r="S246" s="255"/>
      <c r="T246" s="255"/>
      <c r="U246" s="255"/>
      <c r="V246" s="255"/>
      <c r="W246" s="255"/>
      <c r="X246" s="255"/>
      <c r="Y246" s="255"/>
      <c r="Z246" s="255"/>
      <c r="AA246" s="255"/>
      <c r="AB246" s="255"/>
      <c r="AC246" s="255"/>
      <c r="AD246" s="255"/>
      <c r="AE246" s="255"/>
      <c r="AF246" s="255"/>
      <c r="AG246" s="255"/>
      <c r="AH246" s="255"/>
      <c r="AI246" s="255"/>
      <c r="AJ246" s="255"/>
      <c r="AK246" s="255"/>
      <c r="AL246" s="255"/>
      <c r="AM246" s="255"/>
      <c r="AN246" s="255"/>
      <c r="AO246" s="255"/>
      <c r="AP246" s="255"/>
      <c r="AQ246" s="255"/>
      <c r="AR246" s="255"/>
      <c r="AS246" s="255"/>
      <c r="AT246" s="255"/>
      <c r="AU246" s="255"/>
      <c r="AV246" s="255"/>
      <c r="AW246" s="255"/>
      <c r="AX246" s="1223"/>
      <c r="AY246" s="255"/>
      <c r="AZ246" s="255"/>
      <c r="BA246" s="255"/>
      <c r="BB246" s="255"/>
      <c r="BC246" s="255"/>
      <c r="BD246" s="255"/>
      <c r="BE246" s="255"/>
    </row>
    <row r="247" spans="3:57" x14ac:dyDescent="0.25">
      <c r="C247" s="261"/>
      <c r="D247" s="255"/>
      <c r="E247" s="255"/>
      <c r="F247" s="255"/>
      <c r="G247" s="255"/>
      <c r="H247" s="255"/>
      <c r="I247" s="255"/>
      <c r="J247" s="255"/>
      <c r="K247" s="255"/>
      <c r="L247" s="255"/>
      <c r="M247" s="255"/>
      <c r="N247" s="255"/>
      <c r="O247" s="255"/>
      <c r="P247" s="255"/>
      <c r="Q247" s="255"/>
      <c r="R247" s="255"/>
      <c r="S247" s="255"/>
      <c r="T247" s="255"/>
      <c r="U247" s="255"/>
      <c r="V247" s="255"/>
      <c r="W247" s="255"/>
      <c r="X247" s="255"/>
      <c r="Y247" s="255"/>
      <c r="Z247" s="255"/>
      <c r="AA247" s="255"/>
      <c r="AB247" s="255"/>
      <c r="AC247" s="255"/>
      <c r="AD247" s="255"/>
      <c r="AE247" s="255"/>
      <c r="AF247" s="255"/>
      <c r="AG247" s="255"/>
      <c r="AH247" s="255"/>
      <c r="AI247" s="255"/>
      <c r="AJ247" s="255"/>
      <c r="AK247" s="255"/>
      <c r="AL247" s="255"/>
      <c r="AM247" s="255"/>
      <c r="AN247" s="255"/>
      <c r="AO247" s="255"/>
      <c r="AP247" s="255"/>
      <c r="AQ247" s="255"/>
      <c r="AR247" s="255"/>
      <c r="AS247" s="255"/>
      <c r="AT247" s="255"/>
      <c r="AU247" s="255"/>
      <c r="AV247" s="255"/>
      <c r="AW247" s="255"/>
      <c r="AX247" s="1223"/>
      <c r="AY247" s="255"/>
      <c r="AZ247" s="255"/>
      <c r="BA247" s="255"/>
      <c r="BB247" s="255"/>
      <c r="BC247" s="255"/>
      <c r="BD247" s="255"/>
      <c r="BE247" s="255"/>
    </row>
    <row r="248" spans="3:57" x14ac:dyDescent="0.25">
      <c r="C248" s="261"/>
      <c r="D248" s="255"/>
      <c r="E248" s="255"/>
      <c r="F248" s="255"/>
      <c r="G248" s="255"/>
      <c r="H248" s="255"/>
      <c r="I248" s="255"/>
      <c r="J248" s="255"/>
      <c r="K248" s="255"/>
      <c r="L248" s="255"/>
      <c r="M248" s="255"/>
      <c r="N248" s="255"/>
      <c r="O248" s="255"/>
      <c r="P248" s="255"/>
      <c r="Q248" s="255"/>
      <c r="R248" s="255"/>
      <c r="S248" s="255"/>
      <c r="T248" s="255"/>
      <c r="U248" s="255"/>
      <c r="V248" s="255"/>
      <c r="W248" s="255"/>
      <c r="X248" s="255"/>
      <c r="Y248" s="255"/>
      <c r="Z248" s="255"/>
      <c r="AA248" s="255"/>
      <c r="AB248" s="255"/>
      <c r="AC248" s="255"/>
      <c r="AD248" s="255"/>
      <c r="AE248" s="255"/>
      <c r="AF248" s="255"/>
      <c r="AG248" s="255"/>
      <c r="AH248" s="255"/>
      <c r="AI248" s="255"/>
      <c r="AJ248" s="255"/>
      <c r="AK248" s="255"/>
      <c r="AL248" s="255"/>
      <c r="AM248" s="255"/>
      <c r="AN248" s="255"/>
      <c r="AO248" s="255"/>
      <c r="AP248" s="255"/>
      <c r="AQ248" s="255"/>
      <c r="AR248" s="255"/>
      <c r="AS248" s="255"/>
      <c r="AT248" s="255"/>
      <c r="AU248" s="255"/>
      <c r="AV248" s="255"/>
      <c r="AW248" s="255"/>
      <c r="AX248" s="1223"/>
      <c r="AY248" s="255"/>
      <c r="AZ248" s="255"/>
      <c r="BA248" s="255"/>
      <c r="BB248" s="255"/>
      <c r="BC248" s="255"/>
      <c r="BD248" s="255"/>
      <c r="BE248" s="255"/>
    </row>
  </sheetData>
  <sheetProtection password="DFD3" sheet="1" objects="1" scenarios="1"/>
  <mergeCells count="1">
    <mergeCell ref="C207:H207"/>
  </mergeCells>
  <pageMargins left="0.7" right="0.7" top="0.75" bottom="0.75" header="0.3" footer="0.3"/>
  <pageSetup orientation="portrait" horizontalDpi="4294967293"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303"/>
  <sheetViews>
    <sheetView workbookViewId="0">
      <selection activeCell="K1" sqref="K1"/>
    </sheetView>
  </sheetViews>
  <sheetFormatPr defaultRowHeight="15" x14ac:dyDescent="0.25"/>
  <cols>
    <col min="1" max="1" width="207.42578125" style="225" customWidth="1"/>
    <col min="2" max="2" width="47.7109375" style="225" customWidth="1"/>
    <col min="3" max="3" width="13" customWidth="1"/>
    <col min="11" max="11" width="16.5703125" customWidth="1"/>
  </cols>
  <sheetData>
    <row r="1" spans="1:11" x14ac:dyDescent="0.25">
      <c r="A1" s="217"/>
      <c r="B1" s="217"/>
      <c r="C1" t="s">
        <v>484</v>
      </c>
    </row>
    <row r="2" spans="1:11" x14ac:dyDescent="0.25">
      <c r="A2" s="217"/>
      <c r="B2" s="217"/>
    </row>
    <row r="3" spans="1:11" x14ac:dyDescent="0.25">
      <c r="A3" s="217"/>
      <c r="B3" s="217"/>
      <c r="C3" t="s">
        <v>485</v>
      </c>
      <c r="D3" s="153">
        <f>ProjectData!G13</f>
        <v>12.226195879750069</v>
      </c>
    </row>
    <row r="4" spans="1:11" x14ac:dyDescent="0.25">
      <c r="A4" s="217"/>
      <c r="B4" s="217"/>
      <c r="C4" t="s">
        <v>449</v>
      </c>
      <c r="D4" s="26">
        <f>ROUND(D3/10,0)</f>
        <v>1</v>
      </c>
    </row>
    <row r="5" spans="1:11" ht="23.25" x14ac:dyDescent="0.35">
      <c r="A5" s="221" t="s">
        <v>591</v>
      </c>
      <c r="B5" s="221"/>
      <c r="D5" s="153">
        <f>D4*10</f>
        <v>10</v>
      </c>
    </row>
    <row r="6" spans="1:11" x14ac:dyDescent="0.25">
      <c r="A6" s="217"/>
      <c r="B6" s="217"/>
      <c r="D6" s="153"/>
    </row>
    <row r="7" spans="1:11" ht="15.75" x14ac:dyDescent="0.25">
      <c r="A7" s="223" t="s">
        <v>594</v>
      </c>
      <c r="B7" s="223"/>
    </row>
    <row r="8" spans="1:11" ht="15.75" x14ac:dyDescent="0.25">
      <c r="A8" s="224"/>
      <c r="B8" s="224"/>
    </row>
    <row r="9" spans="1:11" ht="15.75" x14ac:dyDescent="0.25">
      <c r="A9" s="223" t="s">
        <v>597</v>
      </c>
      <c r="B9" s="223"/>
      <c r="C9" s="96" t="s">
        <v>483</v>
      </c>
      <c r="D9" s="96" t="s">
        <v>477</v>
      </c>
      <c r="E9" s="96" t="s">
        <v>478</v>
      </c>
      <c r="F9" s="96" t="s">
        <v>479</v>
      </c>
      <c r="G9" s="96" t="s">
        <v>480</v>
      </c>
      <c r="H9" s="96" t="s">
        <v>481</v>
      </c>
      <c r="I9" s="96" t="s">
        <v>482</v>
      </c>
    </row>
    <row r="10" spans="1:11" ht="15.75" x14ac:dyDescent="0.25">
      <c r="A10" s="223"/>
      <c r="B10" s="223"/>
      <c r="C10" s="98" t="s">
        <v>413</v>
      </c>
      <c r="D10">
        <v>0.23</v>
      </c>
      <c r="E10">
        <v>1</v>
      </c>
      <c r="F10">
        <v>1</v>
      </c>
      <c r="G10">
        <v>1.5</v>
      </c>
      <c r="H10">
        <v>1.5</v>
      </c>
      <c r="I10">
        <v>2</v>
      </c>
    </row>
    <row r="11" spans="1:11" ht="15.75" x14ac:dyDescent="0.25">
      <c r="A11" s="223" t="s">
        <v>600</v>
      </c>
      <c r="B11" s="223"/>
      <c r="C11" s="98" t="s">
        <v>89</v>
      </c>
      <c r="D11">
        <v>0.125</v>
      </c>
      <c r="E11">
        <v>0.5</v>
      </c>
      <c r="F11">
        <v>0.9</v>
      </c>
      <c r="G11">
        <v>1.3</v>
      </c>
      <c r="H11">
        <v>1.3</v>
      </c>
      <c r="I11">
        <v>1.5</v>
      </c>
    </row>
    <row r="12" spans="1:11" x14ac:dyDescent="0.25">
      <c r="A12" s="217"/>
      <c r="B12" s="217"/>
      <c r="C12" s="98" t="s">
        <v>414</v>
      </c>
      <c r="D12">
        <v>0.2</v>
      </c>
      <c r="E12">
        <v>0.33</v>
      </c>
      <c r="F12">
        <v>0.67</v>
      </c>
      <c r="G12">
        <v>1</v>
      </c>
      <c r="H12">
        <v>1</v>
      </c>
      <c r="I12">
        <v>1</v>
      </c>
    </row>
    <row r="13" spans="1:11" x14ac:dyDescent="0.25">
      <c r="A13" s="217"/>
      <c r="B13" s="217"/>
    </row>
    <row r="14" spans="1:11" x14ac:dyDescent="0.25">
      <c r="A14" s="217"/>
      <c r="B14" s="217"/>
    </row>
    <row r="15" spans="1:11" x14ac:dyDescent="0.25">
      <c r="A15" s="217"/>
      <c r="B15" s="217"/>
    </row>
    <row r="16" spans="1:11" ht="15.75" thickBot="1" x14ac:dyDescent="0.3">
      <c r="A16" s="217"/>
      <c r="B16" s="217"/>
      <c r="K16" t="s">
        <v>486</v>
      </c>
    </row>
    <row r="17" spans="1:11" x14ac:dyDescent="0.25">
      <c r="A17" s="217"/>
      <c r="B17" s="217"/>
      <c r="C17" t="s">
        <v>413</v>
      </c>
      <c r="D17">
        <f>IF($D$3&lt;5,D10,0)</f>
        <v>0</v>
      </c>
      <c r="E17">
        <f>IF(AND($D$3&lt;10,$D$3&gt;5),E10,0)</f>
        <v>0</v>
      </c>
      <c r="F17">
        <f>IF(AND($D$3&lt;20,$D$3&gt;10),F10,0)</f>
        <v>1</v>
      </c>
      <c r="G17">
        <f>IF(AND($D$3&lt;30,$D$3&gt;20),G10,0)</f>
        <v>0</v>
      </c>
      <c r="H17">
        <f>IF(AND($D$3&lt;40,$D$3&gt;30),H10,0)</f>
        <v>0</v>
      </c>
      <c r="I17">
        <f>IF($D$3&gt;40,I10,0)</f>
        <v>0</v>
      </c>
      <c r="K17" s="183">
        <f>SUM(D17:I17)</f>
        <v>1</v>
      </c>
    </row>
    <row r="18" spans="1:11" x14ac:dyDescent="0.25">
      <c r="A18" s="217"/>
      <c r="B18" s="217"/>
      <c r="C18" t="s">
        <v>89</v>
      </c>
      <c r="D18">
        <f>IF($D$3&lt;5,D11,0)</f>
        <v>0</v>
      </c>
      <c r="E18">
        <f>IF(AND($D$3&lt;10,$D$3&gt;5),E11,0)</f>
        <v>0</v>
      </c>
      <c r="F18">
        <f>IF(AND($D$3&lt;20,$D$3&gt;10),F11,0)</f>
        <v>0.9</v>
      </c>
      <c r="G18">
        <f>IF(AND($D$3&lt;30,$D$3&gt;20),G11,0)</f>
        <v>0</v>
      </c>
      <c r="H18">
        <f>IF(AND($D$3&lt;40,$D$3&gt;30),H11,0)</f>
        <v>0</v>
      </c>
      <c r="I18">
        <f>IF($D$3&gt;40,I11,0)</f>
        <v>0</v>
      </c>
      <c r="K18" s="184">
        <f>SUM(D18:I18)</f>
        <v>0.9</v>
      </c>
    </row>
    <row r="19" spans="1:11" ht="15.75" thickBot="1" x14ac:dyDescent="0.3">
      <c r="A19" s="217"/>
      <c r="B19" s="217"/>
      <c r="C19" t="s">
        <v>414</v>
      </c>
      <c r="D19">
        <f>IF($D$3&lt;5,D12,0)</f>
        <v>0</v>
      </c>
      <c r="E19">
        <f>IF(AND($D$3&lt;10,$D$3&gt;5),E12,0)</f>
        <v>0</v>
      </c>
      <c r="F19">
        <f>IF(AND($D$3&lt;20,$D$3&gt;10),F12,0)</f>
        <v>0.67</v>
      </c>
      <c r="G19">
        <f>IF(AND($D$3&lt;30,$D$3&gt;20),G12,0)</f>
        <v>0</v>
      </c>
      <c r="H19">
        <f>IF(AND($D$3&lt;40,$D$3&gt;30),H12,0)</f>
        <v>0</v>
      </c>
      <c r="I19">
        <f>IF($D$3&gt;40,I12,0)</f>
        <v>0</v>
      </c>
      <c r="K19" s="185">
        <f>SUM(D19:I19)</f>
        <v>0.67</v>
      </c>
    </row>
    <row r="20" spans="1:11" ht="15.75" x14ac:dyDescent="0.25">
      <c r="A20" s="223" t="s">
        <v>608</v>
      </c>
      <c r="B20" s="223"/>
    </row>
    <row r="21" spans="1:11" x14ac:dyDescent="0.25">
      <c r="A21" s="217"/>
      <c r="B21" s="217"/>
    </row>
    <row r="22" spans="1:11" x14ac:dyDescent="0.25">
      <c r="A22" s="217"/>
      <c r="B22" s="217"/>
    </row>
    <row r="23" spans="1:11" x14ac:dyDescent="0.25">
      <c r="A23" s="217"/>
      <c r="B23" s="217"/>
    </row>
    <row r="24" spans="1:11" x14ac:dyDescent="0.25">
      <c r="A24" s="217"/>
      <c r="B24" s="217"/>
    </row>
    <row r="25" spans="1:11" x14ac:dyDescent="0.25">
      <c r="A25" s="217"/>
      <c r="B25" s="217"/>
    </row>
    <row r="26" spans="1:11" x14ac:dyDescent="0.25">
      <c r="A26" s="217"/>
      <c r="B26" s="217"/>
    </row>
    <row r="27" spans="1:11" x14ac:dyDescent="0.25">
      <c r="A27" s="217"/>
      <c r="B27" s="217"/>
    </row>
    <row r="28" spans="1:11" x14ac:dyDescent="0.25">
      <c r="A28" s="217"/>
      <c r="B28" s="217"/>
    </row>
    <row r="29" spans="1:11" x14ac:dyDescent="0.25">
      <c r="A29" s="217"/>
      <c r="B29" s="217"/>
    </row>
    <row r="30" spans="1:11" x14ac:dyDescent="0.25">
      <c r="A30" s="217"/>
      <c r="B30" s="217"/>
    </row>
    <row r="31" spans="1:11" x14ac:dyDescent="0.25">
      <c r="A31" s="217"/>
      <c r="B31" s="217"/>
    </row>
    <row r="32" spans="1:11" x14ac:dyDescent="0.25">
      <c r="A32" s="217"/>
      <c r="B32" s="217"/>
    </row>
    <row r="33" spans="1:2" x14ac:dyDescent="0.25">
      <c r="A33" s="217"/>
      <c r="B33" s="217"/>
    </row>
    <row r="34" spans="1:2" x14ac:dyDescent="0.25">
      <c r="A34" s="217"/>
      <c r="B34" s="217"/>
    </row>
    <row r="35" spans="1:2" x14ac:dyDescent="0.25">
      <c r="A35" s="217"/>
      <c r="B35" s="217"/>
    </row>
    <row r="36" spans="1:2" x14ac:dyDescent="0.25">
      <c r="A36" s="217"/>
      <c r="B36" s="217"/>
    </row>
    <row r="37" spans="1:2" x14ac:dyDescent="0.25">
      <c r="A37" s="217"/>
      <c r="B37" s="217"/>
    </row>
    <row r="38" spans="1:2" x14ac:dyDescent="0.25">
      <c r="A38" s="217"/>
      <c r="B38" s="217"/>
    </row>
    <row r="39" spans="1:2" x14ac:dyDescent="0.25">
      <c r="A39" s="217"/>
      <c r="B39" s="217"/>
    </row>
    <row r="40" spans="1:2" x14ac:dyDescent="0.25">
      <c r="A40" s="217"/>
      <c r="B40" s="217"/>
    </row>
    <row r="41" spans="1:2" x14ac:dyDescent="0.25">
      <c r="A41" s="217"/>
      <c r="B41" s="217"/>
    </row>
    <row r="42" spans="1:2" x14ac:dyDescent="0.25">
      <c r="A42" s="217"/>
      <c r="B42" s="217"/>
    </row>
    <row r="43" spans="1:2" x14ac:dyDescent="0.25">
      <c r="A43" s="217"/>
      <c r="B43" s="217"/>
    </row>
    <row r="44" spans="1:2" x14ac:dyDescent="0.25">
      <c r="A44" s="217"/>
      <c r="B44" s="217"/>
    </row>
    <row r="45" spans="1:2" x14ac:dyDescent="0.25">
      <c r="A45" s="217"/>
      <c r="B45" s="217"/>
    </row>
    <row r="46" spans="1:2" x14ac:dyDescent="0.25">
      <c r="A46" s="217"/>
      <c r="B46" s="217"/>
    </row>
    <row r="47" spans="1:2" x14ac:dyDescent="0.25">
      <c r="A47" s="217"/>
      <c r="B47" s="217"/>
    </row>
    <row r="48" spans="1:2" x14ac:dyDescent="0.25">
      <c r="A48" s="217"/>
      <c r="B48" s="217"/>
    </row>
    <row r="49" spans="1:2" x14ac:dyDescent="0.25">
      <c r="A49" s="217"/>
      <c r="B49" s="217"/>
    </row>
    <row r="50" spans="1:2" x14ac:dyDescent="0.25">
      <c r="A50" s="217"/>
      <c r="B50" s="217"/>
    </row>
    <row r="51" spans="1:2" x14ac:dyDescent="0.25">
      <c r="A51" s="217"/>
      <c r="B51" s="217"/>
    </row>
    <row r="139" spans="1:2" x14ac:dyDescent="0.25">
      <c r="A139" s="218"/>
      <c r="B139" s="218"/>
    </row>
    <row r="140" spans="1:2" x14ac:dyDescent="0.25">
      <c r="A140" s="473"/>
      <c r="B140" s="473"/>
    </row>
    <row r="141" spans="1:2" x14ac:dyDescent="0.25">
      <c r="A141" s="473"/>
      <c r="B141" s="473"/>
    </row>
    <row r="142" spans="1:2" x14ac:dyDescent="0.25">
      <c r="A142" s="473"/>
      <c r="B142" s="473"/>
    </row>
    <row r="143" spans="1:2" x14ac:dyDescent="0.25">
      <c r="A143" s="473"/>
      <c r="B143" s="473"/>
    </row>
    <row r="144" spans="1:2" x14ac:dyDescent="0.25">
      <c r="A144" s="473"/>
      <c r="B144" s="473"/>
    </row>
    <row r="145" spans="1:2" x14ac:dyDescent="0.25">
      <c r="A145" s="473"/>
      <c r="B145" s="473"/>
    </row>
    <row r="146" spans="1:2" x14ac:dyDescent="0.25">
      <c r="A146" s="473"/>
      <c r="B146" s="473"/>
    </row>
    <row r="147" spans="1:2" x14ac:dyDescent="0.25">
      <c r="A147" s="473"/>
      <c r="B147" s="473"/>
    </row>
    <row r="148" spans="1:2" x14ac:dyDescent="0.25">
      <c r="A148" s="473"/>
      <c r="B148" s="473"/>
    </row>
    <row r="149" spans="1:2" x14ac:dyDescent="0.25">
      <c r="A149" s="473"/>
      <c r="B149" s="473"/>
    </row>
    <row r="150" spans="1:2" x14ac:dyDescent="0.25">
      <c r="A150" s="473"/>
      <c r="B150" s="473"/>
    </row>
    <row r="151" spans="1:2" x14ac:dyDescent="0.25">
      <c r="A151" s="473"/>
      <c r="B151" s="473"/>
    </row>
    <row r="152" spans="1:2" x14ac:dyDescent="0.25">
      <c r="A152" s="473"/>
      <c r="B152" s="473"/>
    </row>
    <row r="153" spans="1:2" x14ac:dyDescent="0.25">
      <c r="A153" s="473"/>
      <c r="B153" s="473"/>
    </row>
    <row r="154" spans="1:2" x14ac:dyDescent="0.25">
      <c r="A154" s="473"/>
      <c r="B154" s="473"/>
    </row>
    <row r="155" spans="1:2" x14ac:dyDescent="0.25">
      <c r="A155" s="473"/>
      <c r="B155" s="473"/>
    </row>
    <row r="156" spans="1:2" x14ac:dyDescent="0.25">
      <c r="A156" s="473"/>
      <c r="B156" s="473"/>
    </row>
    <row r="157" spans="1:2" x14ac:dyDescent="0.25">
      <c r="A157" s="219"/>
      <c r="B157" s="219"/>
    </row>
    <row r="158" spans="1:2" x14ac:dyDescent="0.25">
      <c r="A158" s="219"/>
      <c r="B158" s="219"/>
    </row>
    <row r="159" spans="1:2" x14ac:dyDescent="0.25">
      <c r="A159" s="219"/>
      <c r="B159" s="219"/>
    </row>
    <row r="160" spans="1:2" x14ac:dyDescent="0.25">
      <c r="A160" s="219"/>
      <c r="B160" s="219"/>
    </row>
    <row r="161" spans="1:2" x14ac:dyDescent="0.25">
      <c r="A161" s="219"/>
      <c r="B161" s="219"/>
    </row>
    <row r="165" spans="1:2" x14ac:dyDescent="0.25">
      <c r="A165" s="219"/>
      <c r="B165" s="219"/>
    </row>
    <row r="166" spans="1:2" x14ac:dyDescent="0.25">
      <c r="A166" s="219"/>
      <c r="B166" s="219"/>
    </row>
    <row r="167" spans="1:2" x14ac:dyDescent="0.25">
      <c r="A167" s="219"/>
      <c r="B167" s="219"/>
    </row>
    <row r="168" spans="1:2" x14ac:dyDescent="0.25">
      <c r="A168" s="219"/>
      <c r="B168" s="219"/>
    </row>
    <row r="169" spans="1:2" x14ac:dyDescent="0.25">
      <c r="A169" s="219"/>
      <c r="B169" s="219"/>
    </row>
    <row r="170" spans="1:2" x14ac:dyDescent="0.25">
      <c r="A170" s="219"/>
      <c r="B170" s="219"/>
    </row>
    <row r="171" spans="1:2" x14ac:dyDescent="0.25">
      <c r="A171" s="219"/>
      <c r="B171" s="219"/>
    </row>
    <row r="172" spans="1:2" x14ac:dyDescent="0.25">
      <c r="A172" s="219"/>
      <c r="B172" s="219"/>
    </row>
    <row r="173" spans="1:2" x14ac:dyDescent="0.25">
      <c r="A173" s="219"/>
      <c r="B173" s="219"/>
    </row>
    <row r="174" spans="1:2" x14ac:dyDescent="0.25">
      <c r="A174" s="219"/>
      <c r="B174" s="219"/>
    </row>
    <row r="175" spans="1:2" x14ac:dyDescent="0.25">
      <c r="A175" s="219"/>
      <c r="B175" s="219"/>
    </row>
    <row r="176" spans="1:2" x14ac:dyDescent="0.25">
      <c r="A176" s="219"/>
      <c r="B176" s="219"/>
    </row>
    <row r="177" spans="1:2" x14ac:dyDescent="0.25">
      <c r="A177" s="219"/>
      <c r="B177" s="219"/>
    </row>
    <row r="178" spans="1:2" x14ac:dyDescent="0.25">
      <c r="A178" s="219"/>
      <c r="B178" s="219"/>
    </row>
    <row r="179" spans="1:2" x14ac:dyDescent="0.25">
      <c r="A179" s="219"/>
      <c r="B179" s="219"/>
    </row>
    <row r="180" spans="1:2" x14ac:dyDescent="0.25">
      <c r="A180" s="219"/>
      <c r="B180" s="219"/>
    </row>
    <row r="181" spans="1:2" x14ac:dyDescent="0.25">
      <c r="A181" s="219"/>
      <c r="B181" s="219"/>
    </row>
    <row r="182" spans="1:2" x14ac:dyDescent="0.25">
      <c r="A182" s="219"/>
      <c r="B182" s="219"/>
    </row>
    <row r="183" spans="1:2" x14ac:dyDescent="0.25">
      <c r="A183" s="219"/>
      <c r="B183" s="219"/>
    </row>
    <row r="184" spans="1:2" x14ac:dyDescent="0.25">
      <c r="A184" s="219"/>
      <c r="B184" s="219"/>
    </row>
    <row r="185" spans="1:2" x14ac:dyDescent="0.25">
      <c r="A185" s="219"/>
      <c r="B185" s="219"/>
    </row>
    <row r="186" spans="1:2" x14ac:dyDescent="0.25">
      <c r="A186" s="219"/>
      <c r="B186" s="219"/>
    </row>
    <row r="187" spans="1:2" x14ac:dyDescent="0.25">
      <c r="A187" s="219"/>
      <c r="B187" s="219"/>
    </row>
    <row r="188" spans="1:2" x14ac:dyDescent="0.25">
      <c r="A188" s="219"/>
      <c r="B188" s="219"/>
    </row>
    <row r="189" spans="1:2" x14ac:dyDescent="0.25">
      <c r="A189" s="219"/>
      <c r="B189" s="219"/>
    </row>
    <row r="190" spans="1:2" x14ac:dyDescent="0.25">
      <c r="A190" s="219"/>
      <c r="B190" s="219"/>
    </row>
    <row r="191" spans="1:2" x14ac:dyDescent="0.25">
      <c r="A191" s="219"/>
      <c r="B191" s="219"/>
    </row>
    <row r="192" spans="1:2" x14ac:dyDescent="0.25">
      <c r="A192" s="219"/>
      <c r="B192" s="219"/>
    </row>
    <row r="193" spans="1:2" x14ac:dyDescent="0.25">
      <c r="A193" s="219"/>
      <c r="B193" s="219"/>
    </row>
    <row r="194" spans="1:2" x14ac:dyDescent="0.25">
      <c r="A194" s="219"/>
      <c r="B194" s="219"/>
    </row>
    <row r="195" spans="1:2" x14ac:dyDescent="0.25">
      <c r="A195" s="219"/>
      <c r="B195" s="219"/>
    </row>
    <row r="196" spans="1:2" x14ac:dyDescent="0.25">
      <c r="A196" s="219"/>
      <c r="B196" s="219"/>
    </row>
    <row r="197" spans="1:2" x14ac:dyDescent="0.25">
      <c r="A197" s="219"/>
      <c r="B197" s="219"/>
    </row>
    <row r="198" spans="1:2" x14ac:dyDescent="0.25">
      <c r="A198" s="219"/>
      <c r="B198" s="219"/>
    </row>
    <row r="199" spans="1:2" x14ac:dyDescent="0.25">
      <c r="A199" s="219"/>
      <c r="B199" s="219"/>
    </row>
    <row r="200" spans="1:2" x14ac:dyDescent="0.25">
      <c r="A200" s="219"/>
      <c r="B200" s="219"/>
    </row>
    <row r="201" spans="1:2" x14ac:dyDescent="0.25">
      <c r="A201" s="219"/>
      <c r="B201" s="219"/>
    </row>
    <row r="202" spans="1:2" x14ac:dyDescent="0.25">
      <c r="A202" s="219"/>
      <c r="B202" s="219"/>
    </row>
    <row r="203" spans="1:2" x14ac:dyDescent="0.25">
      <c r="A203" s="219"/>
      <c r="B203" s="219"/>
    </row>
    <row r="204" spans="1:2" x14ac:dyDescent="0.25">
      <c r="A204" s="219"/>
      <c r="B204" s="219"/>
    </row>
    <row r="205" spans="1:2" x14ac:dyDescent="0.25">
      <c r="A205" s="219"/>
      <c r="B205" s="219"/>
    </row>
    <row r="206" spans="1:2" x14ac:dyDescent="0.25">
      <c r="A206" s="219"/>
      <c r="B206" s="219"/>
    </row>
    <row r="207" spans="1:2" x14ac:dyDescent="0.25">
      <c r="A207" s="219"/>
      <c r="B207" s="219"/>
    </row>
    <row r="208" spans="1:2" x14ac:dyDescent="0.25">
      <c r="A208" s="219"/>
      <c r="B208" s="219"/>
    </row>
    <row r="209" spans="1:2" x14ac:dyDescent="0.25">
      <c r="A209" s="219"/>
      <c r="B209" s="219"/>
    </row>
    <row r="210" spans="1:2" x14ac:dyDescent="0.25">
      <c r="A210" s="219"/>
      <c r="B210" s="219"/>
    </row>
    <row r="211" spans="1:2" x14ac:dyDescent="0.25">
      <c r="A211" s="219"/>
      <c r="B211" s="219"/>
    </row>
    <row r="212" spans="1:2" x14ac:dyDescent="0.25">
      <c r="A212" s="219"/>
      <c r="B212" s="219"/>
    </row>
    <row r="213" spans="1:2" x14ac:dyDescent="0.25">
      <c r="A213" s="219"/>
      <c r="B213" s="219"/>
    </row>
    <row r="214" spans="1:2" x14ac:dyDescent="0.25">
      <c r="A214" s="219"/>
      <c r="B214" s="219"/>
    </row>
    <row r="215" spans="1:2" x14ac:dyDescent="0.25">
      <c r="A215" s="219"/>
      <c r="B215" s="219"/>
    </row>
    <row r="216" spans="1:2" x14ac:dyDescent="0.25">
      <c r="A216" s="219"/>
      <c r="B216" s="219"/>
    </row>
    <row r="217" spans="1:2" x14ac:dyDescent="0.25">
      <c r="A217" s="219"/>
      <c r="B217" s="219"/>
    </row>
    <row r="218" spans="1:2" x14ac:dyDescent="0.25">
      <c r="A218" s="219"/>
      <c r="B218" s="219"/>
    </row>
    <row r="219" spans="1:2" x14ac:dyDescent="0.25">
      <c r="A219" s="219"/>
      <c r="B219" s="219"/>
    </row>
    <row r="220" spans="1:2" x14ac:dyDescent="0.25">
      <c r="A220" s="219"/>
      <c r="B220" s="219"/>
    </row>
    <row r="221" spans="1:2" x14ac:dyDescent="0.25">
      <c r="A221" s="219"/>
      <c r="B221" s="219"/>
    </row>
    <row r="222" spans="1:2" x14ac:dyDescent="0.25">
      <c r="A222" s="219"/>
      <c r="B222" s="219"/>
    </row>
    <row r="223" spans="1:2" x14ac:dyDescent="0.25">
      <c r="A223" s="219"/>
      <c r="B223" s="219"/>
    </row>
    <row r="224" spans="1:2" x14ac:dyDescent="0.25">
      <c r="A224" s="219"/>
      <c r="B224" s="219"/>
    </row>
    <row r="225" spans="1:2" x14ac:dyDescent="0.25">
      <c r="A225" s="219"/>
      <c r="B225" s="219"/>
    </row>
    <row r="226" spans="1:2" x14ac:dyDescent="0.25">
      <c r="A226" s="219"/>
      <c r="B226" s="219"/>
    </row>
    <row r="227" spans="1:2" x14ac:dyDescent="0.25">
      <c r="A227" s="219"/>
      <c r="B227" s="219"/>
    </row>
    <row r="228" spans="1:2" x14ac:dyDescent="0.25">
      <c r="A228" s="219"/>
      <c r="B228" s="219"/>
    </row>
    <row r="229" spans="1:2" x14ac:dyDescent="0.25">
      <c r="A229" s="219"/>
      <c r="B229" s="219"/>
    </row>
    <row r="230" spans="1:2" x14ac:dyDescent="0.25">
      <c r="A230" s="219"/>
      <c r="B230" s="219"/>
    </row>
    <row r="231" spans="1:2" x14ac:dyDescent="0.25">
      <c r="A231" s="219"/>
      <c r="B231" s="219"/>
    </row>
    <row r="232" spans="1:2" x14ac:dyDescent="0.25">
      <c r="A232" s="219"/>
      <c r="B232" s="219"/>
    </row>
    <row r="233" spans="1:2" x14ac:dyDescent="0.25">
      <c r="A233" s="219"/>
      <c r="B233" s="219"/>
    </row>
    <row r="234" spans="1:2" x14ac:dyDescent="0.25">
      <c r="A234" s="219"/>
      <c r="B234" s="219"/>
    </row>
    <row r="235" spans="1:2" x14ac:dyDescent="0.25">
      <c r="A235" s="219"/>
      <c r="B235" s="219"/>
    </row>
    <row r="236" spans="1:2" x14ac:dyDescent="0.25">
      <c r="A236" s="219"/>
      <c r="B236" s="219"/>
    </row>
    <row r="237" spans="1:2" x14ac:dyDescent="0.25">
      <c r="A237" s="219"/>
      <c r="B237" s="219"/>
    </row>
    <row r="238" spans="1:2" x14ac:dyDescent="0.25">
      <c r="A238" s="219"/>
      <c r="B238" s="219"/>
    </row>
    <row r="239" spans="1:2" x14ac:dyDescent="0.25">
      <c r="A239" s="219"/>
      <c r="B239" s="219"/>
    </row>
    <row r="240" spans="1:2" x14ac:dyDescent="0.25">
      <c r="A240" s="219"/>
      <c r="B240" s="219"/>
    </row>
    <row r="241" spans="1:2" x14ac:dyDescent="0.25">
      <c r="A241" s="219"/>
      <c r="B241" s="219"/>
    </row>
    <row r="242" spans="1:2" x14ac:dyDescent="0.25">
      <c r="A242" s="219"/>
      <c r="B242" s="219"/>
    </row>
    <row r="243" spans="1:2" x14ac:dyDescent="0.25">
      <c r="A243" s="219"/>
      <c r="B243" s="219"/>
    </row>
    <row r="244" spans="1:2" x14ac:dyDescent="0.25">
      <c r="A244" s="219"/>
      <c r="B244" s="219"/>
    </row>
    <row r="245" spans="1:2" x14ac:dyDescent="0.25">
      <c r="A245" s="219"/>
      <c r="B245" s="219"/>
    </row>
    <row r="246" spans="1:2" x14ac:dyDescent="0.25">
      <c r="A246" s="219"/>
      <c r="B246" s="219"/>
    </row>
    <row r="247" spans="1:2" x14ac:dyDescent="0.25">
      <c r="A247" s="219"/>
      <c r="B247" s="219"/>
    </row>
    <row r="248" spans="1:2" x14ac:dyDescent="0.25">
      <c r="A248" s="219"/>
      <c r="B248" s="219"/>
    </row>
    <row r="249" spans="1:2" x14ac:dyDescent="0.25">
      <c r="A249" s="219"/>
      <c r="B249" s="219"/>
    </row>
    <row r="250" spans="1:2" x14ac:dyDescent="0.25">
      <c r="A250" s="219"/>
      <c r="B250" s="219"/>
    </row>
    <row r="251" spans="1:2" x14ac:dyDescent="0.25">
      <c r="A251" s="219"/>
      <c r="B251" s="219"/>
    </row>
    <row r="252" spans="1:2" x14ac:dyDescent="0.25">
      <c r="A252" s="219"/>
      <c r="B252" s="219"/>
    </row>
    <row r="253" spans="1:2" x14ac:dyDescent="0.25">
      <c r="A253" s="219"/>
      <c r="B253" s="219"/>
    </row>
    <row r="254" spans="1:2" x14ac:dyDescent="0.25">
      <c r="A254" s="219"/>
      <c r="B254" s="219"/>
    </row>
    <row r="255" spans="1:2" x14ac:dyDescent="0.25">
      <c r="A255" s="219"/>
      <c r="B255" s="219"/>
    </row>
    <row r="256" spans="1:2" x14ac:dyDescent="0.25">
      <c r="A256" s="219"/>
      <c r="B256" s="219"/>
    </row>
    <row r="257" spans="1:2" x14ac:dyDescent="0.25">
      <c r="A257" s="219"/>
      <c r="B257" s="219"/>
    </row>
    <row r="258" spans="1:2" x14ac:dyDescent="0.25">
      <c r="A258" s="219"/>
      <c r="B258" s="219"/>
    </row>
    <row r="259" spans="1:2" x14ac:dyDescent="0.25">
      <c r="A259" s="219"/>
      <c r="B259" s="219"/>
    </row>
    <row r="260" spans="1:2" x14ac:dyDescent="0.25">
      <c r="A260" s="219"/>
      <c r="B260" s="219"/>
    </row>
    <row r="261" spans="1:2" x14ac:dyDescent="0.25">
      <c r="A261" s="219"/>
      <c r="B261" s="219"/>
    </row>
    <row r="262" spans="1:2" x14ac:dyDescent="0.25">
      <c r="A262" s="219"/>
      <c r="B262" s="219"/>
    </row>
    <row r="263" spans="1:2" x14ac:dyDescent="0.25">
      <c r="A263" s="219"/>
      <c r="B263" s="219"/>
    </row>
    <row r="264" spans="1:2" x14ac:dyDescent="0.25">
      <c r="A264" s="219"/>
      <c r="B264" s="219"/>
    </row>
    <row r="265" spans="1:2" x14ac:dyDescent="0.25">
      <c r="A265" s="219"/>
      <c r="B265" s="219"/>
    </row>
    <row r="266" spans="1:2" x14ac:dyDescent="0.25">
      <c r="A266" s="219"/>
      <c r="B266" s="219"/>
    </row>
    <row r="267" spans="1:2" x14ac:dyDescent="0.25">
      <c r="A267" s="219"/>
      <c r="B267" s="219"/>
    </row>
    <row r="268" spans="1:2" x14ac:dyDescent="0.25">
      <c r="A268" s="219"/>
      <c r="B268" s="219"/>
    </row>
    <row r="269" spans="1:2" x14ac:dyDescent="0.25">
      <c r="A269" s="219"/>
      <c r="B269" s="219"/>
    </row>
    <row r="270" spans="1:2" x14ac:dyDescent="0.25">
      <c r="A270" s="219"/>
      <c r="B270" s="219"/>
    </row>
    <row r="271" spans="1:2" x14ac:dyDescent="0.25">
      <c r="A271" s="219"/>
      <c r="B271" s="219"/>
    </row>
    <row r="272" spans="1:2" x14ac:dyDescent="0.25">
      <c r="A272" s="219"/>
      <c r="B272" s="219"/>
    </row>
    <row r="273" spans="1:2" x14ac:dyDescent="0.25">
      <c r="A273" s="219"/>
      <c r="B273" s="219"/>
    </row>
    <row r="274" spans="1:2" x14ac:dyDescent="0.25">
      <c r="A274" s="219"/>
      <c r="B274" s="219"/>
    </row>
    <row r="275" spans="1:2" x14ac:dyDescent="0.25">
      <c r="A275" s="219"/>
      <c r="B275" s="219"/>
    </row>
    <row r="276" spans="1:2" x14ac:dyDescent="0.25">
      <c r="A276" s="219"/>
      <c r="B276" s="219"/>
    </row>
    <row r="277" spans="1:2" x14ac:dyDescent="0.25">
      <c r="A277" s="219"/>
      <c r="B277" s="219"/>
    </row>
    <row r="278" spans="1:2" x14ac:dyDescent="0.25">
      <c r="A278" s="219"/>
      <c r="B278" s="219"/>
    </row>
    <row r="279" spans="1:2" x14ac:dyDescent="0.25">
      <c r="A279" s="219"/>
      <c r="B279" s="219"/>
    </row>
    <row r="280" spans="1:2" x14ac:dyDescent="0.25">
      <c r="A280" s="219"/>
      <c r="B280" s="219"/>
    </row>
    <row r="281" spans="1:2" x14ac:dyDescent="0.25">
      <c r="A281" s="219"/>
      <c r="B281" s="219"/>
    </row>
    <row r="282" spans="1:2" x14ac:dyDescent="0.25">
      <c r="A282" s="219"/>
      <c r="B282" s="219"/>
    </row>
    <row r="283" spans="1:2" x14ac:dyDescent="0.25">
      <c r="A283" s="219"/>
      <c r="B283" s="219"/>
    </row>
    <row r="284" spans="1:2" x14ac:dyDescent="0.25">
      <c r="A284" s="219"/>
      <c r="B284" s="219"/>
    </row>
    <row r="285" spans="1:2" x14ac:dyDescent="0.25">
      <c r="A285" s="219"/>
      <c r="B285" s="219"/>
    </row>
    <row r="286" spans="1:2" x14ac:dyDescent="0.25">
      <c r="A286" s="219"/>
      <c r="B286" s="219"/>
    </row>
    <row r="287" spans="1:2" x14ac:dyDescent="0.25">
      <c r="A287" s="219"/>
      <c r="B287" s="219"/>
    </row>
    <row r="288" spans="1:2" x14ac:dyDescent="0.25">
      <c r="A288" s="219"/>
      <c r="B288" s="219"/>
    </row>
    <row r="289" spans="1:2" x14ac:dyDescent="0.25">
      <c r="A289" s="219"/>
      <c r="B289" s="219"/>
    </row>
    <row r="290" spans="1:2" x14ac:dyDescent="0.25">
      <c r="A290" s="219"/>
      <c r="B290" s="219"/>
    </row>
    <row r="291" spans="1:2" x14ac:dyDescent="0.25">
      <c r="A291" s="219"/>
      <c r="B291" s="219"/>
    </row>
    <row r="292" spans="1:2" x14ac:dyDescent="0.25">
      <c r="A292" s="219"/>
      <c r="B292" s="219"/>
    </row>
    <row r="293" spans="1:2" x14ac:dyDescent="0.25">
      <c r="A293" s="219"/>
      <c r="B293" s="219"/>
    </row>
    <row r="294" spans="1:2" x14ac:dyDescent="0.25">
      <c r="A294" s="219"/>
      <c r="B294" s="219"/>
    </row>
    <row r="295" spans="1:2" x14ac:dyDescent="0.25">
      <c r="A295" s="219"/>
      <c r="B295" s="219"/>
    </row>
    <row r="296" spans="1:2" x14ac:dyDescent="0.25">
      <c r="A296" s="219"/>
      <c r="B296" s="219"/>
    </row>
    <row r="297" spans="1:2" x14ac:dyDescent="0.25">
      <c r="A297" s="219"/>
      <c r="B297" s="219"/>
    </row>
    <row r="298" spans="1:2" x14ac:dyDescent="0.25">
      <c r="A298" s="219"/>
      <c r="B298" s="219"/>
    </row>
    <row r="299" spans="1:2" x14ac:dyDescent="0.25">
      <c r="A299" s="219"/>
      <c r="B299" s="219"/>
    </row>
    <row r="300" spans="1:2" x14ac:dyDescent="0.25">
      <c r="A300" s="219"/>
      <c r="B300" s="219"/>
    </row>
    <row r="301" spans="1:2" x14ac:dyDescent="0.25">
      <c r="A301" s="219"/>
      <c r="B301" s="219"/>
    </row>
    <row r="302" spans="1:2" x14ac:dyDescent="0.25">
      <c r="A302" s="219"/>
      <c r="B302" s="219"/>
    </row>
    <row r="303" spans="1:2" x14ac:dyDescent="0.25">
      <c r="A303" s="219"/>
      <c r="B303" s="219"/>
    </row>
  </sheetData>
  <sheetProtection password="DFD3" sheet="1" objects="1" scenario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E180"/>
  <sheetViews>
    <sheetView workbookViewId="0">
      <selection activeCell="D1" sqref="D1"/>
    </sheetView>
  </sheetViews>
  <sheetFormatPr defaultColWidth="139.28515625" defaultRowHeight="15" x14ac:dyDescent="0.25"/>
  <cols>
    <col min="1" max="1" width="185.42578125" style="225" customWidth="1"/>
    <col min="2" max="2" width="30.85546875" style="225" customWidth="1"/>
    <col min="3" max="3" width="27.42578125" customWidth="1"/>
    <col min="4" max="4" width="8.28515625" customWidth="1"/>
    <col min="5" max="5" width="6.7109375" customWidth="1"/>
    <col min="6" max="6" width="7.28515625" customWidth="1"/>
    <col min="7" max="7" width="8.85546875" customWidth="1"/>
    <col min="8" max="8" width="8.5703125" customWidth="1"/>
    <col min="9" max="9" width="8.28515625" customWidth="1"/>
    <col min="10" max="10" width="10.85546875" customWidth="1"/>
    <col min="11" max="11" width="8.5703125" customWidth="1"/>
    <col min="12" max="12" width="17.42578125" customWidth="1"/>
    <col min="13" max="13" width="6.5703125" customWidth="1"/>
    <col min="14" max="14" width="7.42578125" customWidth="1"/>
    <col min="15" max="15" width="6.42578125" customWidth="1"/>
    <col min="16" max="16" width="5.42578125" customWidth="1"/>
    <col min="17" max="17" width="6.140625" customWidth="1"/>
    <col min="18" max="18" width="6.85546875" customWidth="1"/>
    <col min="19" max="19" width="4.7109375" customWidth="1"/>
    <col min="20" max="20" width="7.28515625" customWidth="1"/>
    <col min="21" max="22" width="8.85546875" customWidth="1"/>
    <col min="23" max="23" width="6" customWidth="1"/>
    <col min="24" max="24" width="8.5703125" customWidth="1"/>
    <col min="25" max="25" width="13.85546875" customWidth="1"/>
    <col min="26" max="26" width="8.42578125" customWidth="1"/>
    <col min="27" max="27" width="9.5703125" customWidth="1"/>
    <col min="28" max="28" width="10.28515625" customWidth="1"/>
    <col min="29" max="29" width="8" customWidth="1"/>
    <col min="30" max="30" width="8.140625" customWidth="1"/>
    <col min="31" max="31" width="9.42578125" customWidth="1"/>
    <col min="32" max="32" width="9.28515625" customWidth="1"/>
    <col min="33" max="33" width="8.85546875" customWidth="1"/>
    <col min="34" max="34" width="7" customWidth="1"/>
    <col min="35" max="35" width="14.140625" customWidth="1"/>
    <col min="36" max="36" width="10.5703125" customWidth="1"/>
    <col min="37" max="37" width="11.140625" customWidth="1"/>
    <col min="38" max="38" width="9" customWidth="1"/>
    <col min="39" max="39" width="12.7109375" customWidth="1"/>
    <col min="40" max="40" width="11.85546875" customWidth="1"/>
    <col min="41" max="41" width="4.85546875" customWidth="1"/>
    <col min="42" max="42" width="9.42578125" customWidth="1"/>
    <col min="43" max="43" width="7" customWidth="1"/>
    <col min="44" max="44" width="11.85546875" customWidth="1"/>
    <col min="45" max="45" width="11.7109375" customWidth="1"/>
    <col min="46" max="46" width="13.28515625" customWidth="1"/>
    <col min="47" max="47" width="12.28515625" customWidth="1"/>
    <col min="48" max="48" width="10" customWidth="1"/>
    <col min="49" max="49" width="6" customWidth="1"/>
    <col min="50" max="50" width="12.28515625" style="1222" customWidth="1"/>
    <col min="51" max="51" width="4.85546875" customWidth="1"/>
    <col min="52" max="52" width="8" customWidth="1"/>
    <col min="53" max="53" width="7.140625" customWidth="1"/>
    <col min="54" max="54" width="10.85546875" customWidth="1"/>
    <col min="55" max="55" width="12.140625" customWidth="1"/>
    <col min="56" max="56" width="9.7109375" customWidth="1"/>
    <col min="57" max="57" width="8.85546875" customWidth="1"/>
  </cols>
  <sheetData>
    <row r="1" spans="1:57" x14ac:dyDescent="0.25">
      <c r="A1" s="217"/>
      <c r="B1" s="217"/>
      <c r="C1" s="265" t="s">
        <v>678</v>
      </c>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66"/>
      <c r="AJ1" s="266"/>
      <c r="AK1" s="266"/>
      <c r="AL1" s="266"/>
      <c r="AM1" s="266"/>
      <c r="AN1" s="266"/>
      <c r="AO1" s="266"/>
      <c r="AP1" s="266"/>
      <c r="AQ1" s="266"/>
      <c r="AR1" s="266"/>
      <c r="AS1" s="266"/>
      <c r="AT1" s="266"/>
      <c r="AU1" s="266"/>
      <c r="AV1" s="266"/>
      <c r="AW1" s="266"/>
      <c r="AX1" s="266"/>
      <c r="AY1" s="266"/>
      <c r="AZ1" s="266"/>
      <c r="BA1" s="266"/>
      <c r="BB1" s="266"/>
      <c r="BC1" s="266"/>
      <c r="BD1" s="266"/>
      <c r="BE1" s="266"/>
    </row>
    <row r="2" spans="1:57" x14ac:dyDescent="0.25">
      <c r="A2" s="217"/>
      <c r="B2" s="217"/>
      <c r="C2" s="265" t="s">
        <v>536</v>
      </c>
      <c r="D2" s="265">
        <v>2014</v>
      </c>
      <c r="E2" s="266"/>
      <c r="F2" s="266"/>
      <c r="G2" s="266"/>
      <c r="H2" s="266"/>
      <c r="I2" s="266"/>
      <c r="J2" s="266"/>
      <c r="K2" s="266"/>
      <c r="L2" s="266"/>
      <c r="M2" s="266"/>
      <c r="N2" s="266"/>
      <c r="O2" s="266"/>
      <c r="P2" s="266"/>
      <c r="Q2" s="266"/>
      <c r="R2" s="266"/>
      <c r="S2" s="266"/>
      <c r="T2" s="266"/>
      <c r="U2" s="266"/>
      <c r="V2" s="266"/>
      <c r="W2" s="266"/>
      <c r="X2" s="266"/>
      <c r="Y2" s="266"/>
      <c r="Z2" s="266"/>
      <c r="AA2" s="266"/>
      <c r="AB2" s="266"/>
      <c r="AC2" s="266"/>
      <c r="AD2" s="266"/>
      <c r="AE2" s="266"/>
      <c r="AF2" s="266"/>
      <c r="AG2" s="266"/>
      <c r="AH2" s="266"/>
      <c r="AI2" s="266"/>
      <c r="AJ2" s="266"/>
      <c r="AK2" s="266"/>
      <c r="AL2" s="266"/>
      <c r="AM2" s="266"/>
      <c r="AN2" s="266"/>
      <c r="AO2" s="266"/>
      <c r="AP2" s="266"/>
      <c r="AQ2" s="266"/>
      <c r="AR2" s="266"/>
      <c r="AS2" s="266"/>
      <c r="AT2" s="266"/>
      <c r="AU2" s="266"/>
      <c r="AV2" s="266"/>
      <c r="AW2" s="266"/>
      <c r="AX2" s="266"/>
      <c r="AY2" s="266"/>
      <c r="AZ2" s="266"/>
      <c r="BA2" s="266"/>
      <c r="BB2" s="266"/>
      <c r="BC2" s="266"/>
      <c r="BD2" s="266"/>
      <c r="BE2" s="266"/>
    </row>
    <row r="3" spans="1:57" x14ac:dyDescent="0.25">
      <c r="A3" s="217"/>
      <c r="B3" s="217"/>
      <c r="C3" s="266"/>
      <c r="D3" s="266" t="s">
        <v>539</v>
      </c>
      <c r="E3" s="266" t="s">
        <v>540</v>
      </c>
      <c r="F3" s="266" t="s">
        <v>541</v>
      </c>
      <c r="G3" s="266" t="s">
        <v>542</v>
      </c>
      <c r="H3" s="266" t="s">
        <v>543</v>
      </c>
      <c r="I3" s="266" t="s">
        <v>143</v>
      </c>
      <c r="J3" s="266" t="s">
        <v>544</v>
      </c>
      <c r="K3" s="266" t="s">
        <v>545</v>
      </c>
      <c r="L3" s="266" t="s">
        <v>546</v>
      </c>
      <c r="M3" s="266" t="s">
        <v>547</v>
      </c>
      <c r="N3" s="266" t="s">
        <v>548</v>
      </c>
      <c r="O3" s="266" t="s">
        <v>549</v>
      </c>
      <c r="P3" s="266" t="s">
        <v>550</v>
      </c>
      <c r="Q3" s="266" t="s">
        <v>551</v>
      </c>
      <c r="R3" s="266" t="s">
        <v>552</v>
      </c>
      <c r="S3" s="266" t="s">
        <v>553</v>
      </c>
      <c r="T3" s="266" t="s">
        <v>554</v>
      </c>
      <c r="U3" s="266" t="s">
        <v>555</v>
      </c>
      <c r="V3" s="266" t="s">
        <v>556</v>
      </c>
      <c r="W3" s="266" t="s">
        <v>557</v>
      </c>
      <c r="X3" s="266" t="s">
        <v>558</v>
      </c>
      <c r="Y3" s="266" t="s">
        <v>559</v>
      </c>
      <c r="Z3" s="266" t="s">
        <v>560</v>
      </c>
      <c r="AA3" s="266" t="s">
        <v>561</v>
      </c>
      <c r="AB3" s="266" t="s">
        <v>562</v>
      </c>
      <c r="AC3" s="266" t="s">
        <v>563</v>
      </c>
      <c r="AD3" s="266" t="s">
        <v>564</v>
      </c>
      <c r="AE3" s="267" t="s">
        <v>565</v>
      </c>
      <c r="AF3" s="267" t="s">
        <v>566</v>
      </c>
      <c r="AG3" s="266" t="s">
        <v>567</v>
      </c>
      <c r="AH3" s="266" t="s">
        <v>568</v>
      </c>
      <c r="AI3" s="266" t="s">
        <v>569</v>
      </c>
      <c r="AJ3" s="266" t="s">
        <v>570</v>
      </c>
      <c r="AK3" s="266" t="s">
        <v>571</v>
      </c>
      <c r="AL3" s="266" t="s">
        <v>572</v>
      </c>
      <c r="AM3" s="266" t="s">
        <v>573</v>
      </c>
      <c r="AN3" s="266" t="s">
        <v>574</v>
      </c>
      <c r="AO3" s="266" t="s">
        <v>575</v>
      </c>
      <c r="AP3" s="266" t="s">
        <v>576</v>
      </c>
      <c r="AQ3" s="266" t="s">
        <v>577</v>
      </c>
      <c r="AR3" s="266" t="s">
        <v>578</v>
      </c>
      <c r="AS3" s="266" t="s">
        <v>579</v>
      </c>
      <c r="AT3" s="266" t="s">
        <v>580</v>
      </c>
      <c r="AU3" s="266" t="s">
        <v>581</v>
      </c>
      <c r="AV3" s="266" t="s">
        <v>582</v>
      </c>
      <c r="AW3" s="266" t="s">
        <v>583</v>
      </c>
      <c r="AX3" s="266" t="s">
        <v>1404</v>
      </c>
      <c r="AY3" s="266" t="s">
        <v>584</v>
      </c>
      <c r="AZ3" s="266" t="s">
        <v>585</v>
      </c>
      <c r="BA3" s="266" t="s">
        <v>586</v>
      </c>
      <c r="BB3" s="266" t="s">
        <v>587</v>
      </c>
      <c r="BC3" s="266" t="s">
        <v>588</v>
      </c>
      <c r="BD3" s="266" t="s">
        <v>589</v>
      </c>
      <c r="BE3" s="266" t="s">
        <v>590</v>
      </c>
    </row>
    <row r="4" spans="1:57" x14ac:dyDescent="0.25">
      <c r="A4" s="217"/>
      <c r="B4" s="217"/>
      <c r="C4" s="268" t="s">
        <v>592</v>
      </c>
      <c r="D4" s="1245">
        <v>4.3843303811985359E-3</v>
      </c>
      <c r="E4" s="1245">
        <v>1.4119513424010147E-3</v>
      </c>
      <c r="F4" s="1245">
        <v>4.5642380753062282E-3</v>
      </c>
      <c r="G4" s="1245">
        <v>8.1786328792903557E-3</v>
      </c>
      <c r="H4" s="1245">
        <v>3.9792492388490055E-3</v>
      </c>
      <c r="I4" s="1245">
        <v>7.0195462872580253E-3</v>
      </c>
      <c r="J4" s="1245">
        <v>7.6086075854367723E-4</v>
      </c>
      <c r="K4" s="1245">
        <v>5.1514563718655336E-3</v>
      </c>
      <c r="L4" s="1245">
        <v>4.2922894157143207E-4</v>
      </c>
      <c r="M4" s="1245">
        <v>3.4583683647851009E-3</v>
      </c>
      <c r="N4" s="1245">
        <v>4.5081025455065496E-3</v>
      </c>
      <c r="O4" s="1245">
        <v>4.9429891793557282E-3</v>
      </c>
      <c r="P4" s="1245">
        <v>9.4917506916313097E-3</v>
      </c>
      <c r="Q4" s="1245">
        <v>2.8667610141038728E-3</v>
      </c>
      <c r="R4" s="1245">
        <v>2.5450437181696911E-3</v>
      </c>
      <c r="S4" s="1245">
        <v>9.3934737604823137E-3</v>
      </c>
      <c r="T4" s="1245">
        <v>8.7900656478127337E-3</v>
      </c>
      <c r="U4" s="1245">
        <v>3.1759610937596942E-3</v>
      </c>
      <c r="V4" s="1245">
        <v>1.6396370820067549E-3</v>
      </c>
      <c r="W4" s="1245">
        <v>4.0676609250438669E-3</v>
      </c>
      <c r="X4" s="1245">
        <v>2.0831860584223857E-3</v>
      </c>
      <c r="Y4" s="1245">
        <v>6.3727734320123469E-4</v>
      </c>
      <c r="Z4" s="1245">
        <v>2.3812381206889124E-3</v>
      </c>
      <c r="AA4" s="1245">
        <v>5.6398054812691872E-3</v>
      </c>
      <c r="AB4" s="1245">
        <v>6.3861398447143574E-3</v>
      </c>
      <c r="AC4" s="1245">
        <v>4.1043641887382794E-3</v>
      </c>
      <c r="AD4" s="1245">
        <v>6.2438382649901989E-3</v>
      </c>
      <c r="AE4" s="269">
        <v>0</v>
      </c>
      <c r="AF4" s="269">
        <v>0</v>
      </c>
      <c r="AG4" s="1245">
        <v>8.8871317877506888E-3</v>
      </c>
      <c r="AH4" s="1245">
        <v>2.5375642195257738E-3</v>
      </c>
      <c r="AI4" s="1245">
        <v>1.3888574975611571E-3</v>
      </c>
      <c r="AJ4" s="1245">
        <v>5.5163955170102247E-4</v>
      </c>
      <c r="AK4" s="1245">
        <v>6.9791702369014427E-3</v>
      </c>
      <c r="AL4" s="1245">
        <v>2.8803446526979911E-3</v>
      </c>
      <c r="AM4" s="1245">
        <v>4.6077941083095941E-3</v>
      </c>
      <c r="AN4" s="1245">
        <v>5.6095972719861992E-3</v>
      </c>
      <c r="AO4" s="1245">
        <v>2.0636412707860049E-3</v>
      </c>
      <c r="AP4" s="1245">
        <v>4.9050588826224902E-3</v>
      </c>
      <c r="AQ4" s="1245">
        <v>6.3409776607044714E-3</v>
      </c>
      <c r="AR4" s="1245">
        <v>2.9035521794555925E-3</v>
      </c>
      <c r="AS4" s="1245">
        <v>5.1679885725791034E-4</v>
      </c>
      <c r="AT4" s="1245">
        <v>2.462276782699504E-3</v>
      </c>
      <c r="AU4" s="1245">
        <v>9.4962445436134052E-3</v>
      </c>
      <c r="AV4" s="1245">
        <v>2.0966127647710255E-3</v>
      </c>
      <c r="AW4" s="1245">
        <v>3.014855508898549E-3</v>
      </c>
      <c r="AX4" s="1245">
        <v>5.5260114358864042E-3</v>
      </c>
      <c r="AY4" s="1245">
        <v>3.326996211047858E-3</v>
      </c>
      <c r="AZ4" s="1245">
        <v>8.7538136649898297E-3</v>
      </c>
      <c r="BA4" s="1245">
        <v>3.7363843893953568E-3</v>
      </c>
      <c r="BB4" s="1245">
        <v>3.8505743532937222E-3</v>
      </c>
      <c r="BC4" s="1245">
        <v>2.7076340157701534E-3</v>
      </c>
      <c r="BD4" s="1245">
        <v>7.5054452682812509E-3</v>
      </c>
      <c r="BE4" s="1245">
        <v>3.9891255794072527E-3</v>
      </c>
    </row>
    <row r="5" spans="1:57" ht="21.75" customHeight="1" x14ac:dyDescent="0.35">
      <c r="A5" s="221" t="s">
        <v>591</v>
      </c>
      <c r="B5" s="221"/>
      <c r="C5" s="268" t="s">
        <v>593</v>
      </c>
      <c r="D5" s="1245">
        <v>3.6773337946463026E-6</v>
      </c>
      <c r="E5" s="1245">
        <v>2.3634816624978557E-5</v>
      </c>
      <c r="F5" s="1245">
        <v>4.4283297127019233E-6</v>
      </c>
      <c r="G5" s="1245">
        <v>6.797702789397975E-6</v>
      </c>
      <c r="H5" s="1245">
        <v>7.6359916951794383E-6</v>
      </c>
      <c r="I5" s="1245">
        <v>1.2855165380975011E-5</v>
      </c>
      <c r="J5" s="1245">
        <v>1.4421870222460384E-6</v>
      </c>
      <c r="K5" s="1245">
        <v>6.185274109112409E-7</v>
      </c>
      <c r="L5" s="1245">
        <v>4.0821663890116674E-7</v>
      </c>
      <c r="M5" s="1245">
        <v>3.6201289907853514E-6</v>
      </c>
      <c r="N5" s="1245">
        <v>1.558401713256141E-6</v>
      </c>
      <c r="O5" s="1245">
        <v>2.0201369292087284E-6</v>
      </c>
      <c r="P5" s="1245">
        <v>3.6726986121286635E-6</v>
      </c>
      <c r="Q5" s="1245">
        <v>2.3025902350079342E-6</v>
      </c>
      <c r="R5" s="1245">
        <v>2.008952670351302E-6</v>
      </c>
      <c r="S5" s="1245">
        <v>1.2867504950935838E-6</v>
      </c>
      <c r="T5" s="1245">
        <v>1.1185176603211212E-5</v>
      </c>
      <c r="U5" s="1245">
        <v>3.426991232403623E-6</v>
      </c>
      <c r="V5" s="1245">
        <v>2.1146912621011047E-5</v>
      </c>
      <c r="W5" s="1245">
        <v>1.2332214245915419E-6</v>
      </c>
      <c r="X5" s="1245">
        <v>1.9918351578770608E-6</v>
      </c>
      <c r="Y5" s="1245">
        <v>1.2748979158907943E-6</v>
      </c>
      <c r="Z5" s="1245">
        <v>2.4440630223929237E-6</v>
      </c>
      <c r="AA5" s="1245">
        <v>1.4453697351436066E-6</v>
      </c>
      <c r="AB5" s="1245">
        <v>6.8153249216265298E-6</v>
      </c>
      <c r="AC5" s="1245">
        <v>1.6836757825805849E-6</v>
      </c>
      <c r="AD5" s="1245">
        <v>1.1670530787507312E-5</v>
      </c>
      <c r="AE5" s="269">
        <v>0</v>
      </c>
      <c r="AF5" s="269">
        <v>0</v>
      </c>
      <c r="AG5" s="1245">
        <v>2.0100264979982797E-6</v>
      </c>
      <c r="AH5" s="1245">
        <v>1.1249469601524793E-5</v>
      </c>
      <c r="AI5" s="1245">
        <v>1.717982414294884E-6</v>
      </c>
      <c r="AJ5" s="1245">
        <v>1.2543190654021425E-6</v>
      </c>
      <c r="AK5" s="1245">
        <v>2.3480613968216137E-5</v>
      </c>
      <c r="AL5" s="1245">
        <v>1.6327890029108609E-6</v>
      </c>
      <c r="AM5" s="1245">
        <v>1.4217484079774229E-6</v>
      </c>
      <c r="AN5" s="1245">
        <v>1.7772514413667098E-5</v>
      </c>
      <c r="AO5" s="1245">
        <v>4.4978991890939157E-6</v>
      </c>
      <c r="AP5" s="1245">
        <v>2.06275835213656E-5</v>
      </c>
      <c r="AQ5" s="1245">
        <v>2.1103497251827175E-6</v>
      </c>
      <c r="AR5" s="1245">
        <v>7.6035986913116547E-6</v>
      </c>
      <c r="AS5" s="1245">
        <v>9.4759943939609369E-7</v>
      </c>
      <c r="AT5" s="1245">
        <v>1.2506144101517982E-6</v>
      </c>
      <c r="AU5" s="1245">
        <v>3.3045540792100384E-6</v>
      </c>
      <c r="AV5" s="1245">
        <v>1.6208048456688673E-6</v>
      </c>
      <c r="AW5" s="1245">
        <v>2.145813723175278E-5</v>
      </c>
      <c r="AX5" s="1245">
        <v>1.1925970050436198E-5</v>
      </c>
      <c r="AY5" s="1245">
        <v>1.0051868482481531E-5</v>
      </c>
      <c r="AZ5" s="1245">
        <v>2.1244916594583427E-6</v>
      </c>
      <c r="BA5" s="1245">
        <v>3.0913345668405351E-6</v>
      </c>
      <c r="BB5" s="1245">
        <v>1.6061511540393748E-6</v>
      </c>
      <c r="BC5" s="1245">
        <v>1.3350154124952537E-5</v>
      </c>
      <c r="BD5" s="1245">
        <v>1.1620933271415177E-6</v>
      </c>
      <c r="BE5" s="1245">
        <v>2.7073449336075241E-5</v>
      </c>
    </row>
    <row r="6" spans="1:57" x14ac:dyDescent="0.25">
      <c r="A6" s="217"/>
      <c r="B6" s="217"/>
      <c r="C6" s="268" t="s">
        <v>595</v>
      </c>
      <c r="D6" s="1245">
        <v>0</v>
      </c>
      <c r="E6" s="1245">
        <v>0</v>
      </c>
      <c r="F6" s="1245">
        <v>0</v>
      </c>
      <c r="G6" s="1245">
        <v>0</v>
      </c>
      <c r="H6" s="1245">
        <v>0</v>
      </c>
      <c r="I6" s="1245">
        <v>0</v>
      </c>
      <c r="J6" s="1245">
        <v>0</v>
      </c>
      <c r="K6" s="1245">
        <v>0</v>
      </c>
      <c r="L6" s="1245">
        <v>0</v>
      </c>
      <c r="M6" s="1245">
        <v>0</v>
      </c>
      <c r="N6" s="1245">
        <v>0</v>
      </c>
      <c r="O6" s="1245">
        <v>0</v>
      </c>
      <c r="P6" s="1245">
        <v>0</v>
      </c>
      <c r="Q6" s="1245">
        <v>0</v>
      </c>
      <c r="R6" s="1245">
        <v>0</v>
      </c>
      <c r="S6" s="1245">
        <v>0</v>
      </c>
      <c r="T6" s="1245">
        <v>0</v>
      </c>
      <c r="U6" s="1245">
        <v>0</v>
      </c>
      <c r="V6" s="1245">
        <v>0</v>
      </c>
      <c r="W6" s="1245">
        <v>0</v>
      </c>
      <c r="X6" s="1245">
        <v>0</v>
      </c>
      <c r="Y6" s="1245">
        <v>0</v>
      </c>
      <c r="Z6" s="1245">
        <v>0</v>
      </c>
      <c r="AA6" s="1245">
        <v>0</v>
      </c>
      <c r="AB6" s="1245">
        <v>0</v>
      </c>
      <c r="AC6" s="1245">
        <v>0</v>
      </c>
      <c r="AD6" s="1245">
        <v>0</v>
      </c>
      <c r="AE6" s="269">
        <v>0</v>
      </c>
      <c r="AF6" s="269">
        <v>0</v>
      </c>
      <c r="AG6" s="1245">
        <v>0</v>
      </c>
      <c r="AH6" s="1245">
        <v>0</v>
      </c>
      <c r="AI6" s="1245">
        <v>0</v>
      </c>
      <c r="AJ6" s="1245">
        <v>0</v>
      </c>
      <c r="AK6" s="1245">
        <v>0</v>
      </c>
      <c r="AL6" s="1245">
        <v>0</v>
      </c>
      <c r="AM6" s="1245">
        <v>0</v>
      </c>
      <c r="AN6" s="1245">
        <v>0</v>
      </c>
      <c r="AO6" s="1245">
        <v>0</v>
      </c>
      <c r="AP6" s="1245">
        <v>0</v>
      </c>
      <c r="AQ6" s="1245">
        <v>0</v>
      </c>
      <c r="AR6" s="1245">
        <v>0</v>
      </c>
      <c r="AS6" s="1245">
        <v>0</v>
      </c>
      <c r="AT6" s="1245">
        <v>0</v>
      </c>
      <c r="AU6" s="1245">
        <v>0</v>
      </c>
      <c r="AV6" s="1245">
        <v>0</v>
      </c>
      <c r="AW6" s="1245">
        <v>0</v>
      </c>
      <c r="AX6" s="1245">
        <v>0</v>
      </c>
      <c r="AY6" s="1245">
        <v>0</v>
      </c>
      <c r="AZ6" s="1245">
        <v>0</v>
      </c>
      <c r="BA6" s="1245">
        <v>0</v>
      </c>
      <c r="BB6" s="1245">
        <v>0</v>
      </c>
      <c r="BC6" s="1245">
        <v>0</v>
      </c>
      <c r="BD6" s="1245">
        <v>0</v>
      </c>
      <c r="BE6" s="1245">
        <v>0</v>
      </c>
    </row>
    <row r="7" spans="1:57" ht="15.75" x14ac:dyDescent="0.25">
      <c r="A7" s="223" t="s">
        <v>594</v>
      </c>
      <c r="B7" s="223"/>
      <c r="C7" s="268" t="s">
        <v>596</v>
      </c>
      <c r="D7" s="1245">
        <v>4.5387699375112708E-2</v>
      </c>
      <c r="E7" s="1245">
        <v>4.7516154386840946E-2</v>
      </c>
      <c r="F7" s="1245">
        <v>2.6016019839074693E-2</v>
      </c>
      <c r="G7" s="1245">
        <v>3.8716140993729095E-2</v>
      </c>
      <c r="H7" s="1245">
        <v>8.4246952112902174E-2</v>
      </c>
      <c r="I7" s="1245">
        <v>4.6785312959392457E-2</v>
      </c>
      <c r="J7" s="1245">
        <v>2.6914433848206319E-2</v>
      </c>
      <c r="K7" s="1245">
        <v>2.7050818178525653E-2</v>
      </c>
      <c r="L7" s="1245">
        <v>1.4062697706346782E-3</v>
      </c>
      <c r="M7" s="1245">
        <v>3.5882941443291544E-2</v>
      </c>
      <c r="N7" s="1245">
        <v>4.107786659675227E-2</v>
      </c>
      <c r="O7" s="1245">
        <v>4.7717123505710834E-2</v>
      </c>
      <c r="P7" s="1245">
        <v>3.4840698576490761E-2</v>
      </c>
      <c r="Q7" s="1245">
        <v>5.3619903155567465E-2</v>
      </c>
      <c r="R7" s="1245">
        <v>5.4506346594586579E-2</v>
      </c>
      <c r="S7" s="1245">
        <v>3.4478828789508933E-2</v>
      </c>
      <c r="T7" s="1245">
        <v>4.3449039277708344E-2</v>
      </c>
      <c r="U7" s="1245">
        <v>4.175371942135115E-2</v>
      </c>
      <c r="V7" s="1245">
        <v>5.4442608118617869E-2</v>
      </c>
      <c r="W7" s="1245">
        <v>3.3381058637137924E-2</v>
      </c>
      <c r="X7" s="1245">
        <v>2.1717900252005869E-2</v>
      </c>
      <c r="Y7" s="1245">
        <v>3.5008287481424878E-2</v>
      </c>
      <c r="Z7" s="1245">
        <v>5.9737902338166442E-2</v>
      </c>
      <c r="AA7" s="1245">
        <v>5.8561843833059291E-2</v>
      </c>
      <c r="AB7" s="1245">
        <v>3.9646167802461087E-2</v>
      </c>
      <c r="AC7" s="1245">
        <v>3.2299161689997004E-2</v>
      </c>
      <c r="AD7" s="1245">
        <v>4.1316680699936277E-2</v>
      </c>
      <c r="AE7" s="269">
        <v>0</v>
      </c>
      <c r="AF7" s="269">
        <v>0</v>
      </c>
      <c r="AG7" s="1245">
        <v>2.7513412540971484E-2</v>
      </c>
      <c r="AH7" s="1245">
        <v>1.636506977312617E-2</v>
      </c>
      <c r="AI7" s="1245">
        <v>1.7462985321525442E-2</v>
      </c>
      <c r="AJ7" s="1245">
        <v>3.9476878075801983E-2</v>
      </c>
      <c r="AK7" s="1245">
        <v>3.4499424464728104E-2</v>
      </c>
      <c r="AL7" s="1245">
        <v>3.0294557471942197E-2</v>
      </c>
      <c r="AM7" s="1245">
        <v>5.0989745206259617E-2</v>
      </c>
      <c r="AN7" s="1245">
        <v>3.0932976464933402E-2</v>
      </c>
      <c r="AO7" s="1245">
        <v>6.1055057251266323E-2</v>
      </c>
      <c r="AP7" s="1245">
        <v>4.4021851495473677E-2</v>
      </c>
      <c r="AQ7" s="1245">
        <v>3.7839177510743081E-2</v>
      </c>
      <c r="AR7" s="1245">
        <v>5.2782222735749083E-2</v>
      </c>
      <c r="AS7" s="1245">
        <v>1.4264693232087473E-2</v>
      </c>
      <c r="AT7" s="1245">
        <v>3.476185020998087E-2</v>
      </c>
      <c r="AU7" s="1245">
        <v>1.765264397039688E-2</v>
      </c>
      <c r="AV7" s="1245">
        <v>4.0810666863776164E-2</v>
      </c>
      <c r="AW7" s="1245">
        <v>8.8375855808212667E-2</v>
      </c>
      <c r="AX7" s="1245">
        <v>0.14375821218021728</v>
      </c>
      <c r="AY7" s="1245">
        <v>5.7723752495623559E-2</v>
      </c>
      <c r="AZ7" s="1245">
        <v>2.2156788222306382E-2</v>
      </c>
      <c r="BA7" s="1245">
        <v>3.0945632266465534E-2</v>
      </c>
      <c r="BB7" s="1245">
        <v>6.5328345450713518E-2</v>
      </c>
      <c r="BC7" s="1245">
        <v>1.9035011726301475E-2</v>
      </c>
      <c r="BD7" s="1245">
        <v>4.8796928866811834E-2</v>
      </c>
      <c r="BE7" s="1245">
        <v>3.7161545013766603E-2</v>
      </c>
    </row>
    <row r="8" spans="1:57" ht="15.75" x14ac:dyDescent="0.25">
      <c r="A8" s="224"/>
      <c r="B8" s="224"/>
      <c r="C8" s="268" t="s">
        <v>598</v>
      </c>
      <c r="D8" s="1245">
        <v>1.1245767725101089E-6</v>
      </c>
      <c r="E8" s="1245">
        <v>4.3908459481093148E-7</v>
      </c>
      <c r="F8" s="1245">
        <v>9.5654334360466661E-7</v>
      </c>
      <c r="G8" s="1245">
        <v>6.0106692054337144E-7</v>
      </c>
      <c r="H8" s="1245">
        <v>1.8595744133201937E-6</v>
      </c>
      <c r="I8" s="1245">
        <v>1.2238997911134965E-6</v>
      </c>
      <c r="J8" s="1245">
        <v>6.6051046672399318E-7</v>
      </c>
      <c r="K8" s="1245">
        <v>1.6059720563640184E-7</v>
      </c>
      <c r="L8" s="1245">
        <v>4.7623793716272886E-10</v>
      </c>
      <c r="M8" s="1245">
        <v>9.6580916489607057E-7</v>
      </c>
      <c r="N8" s="1245">
        <v>7.5568602746217035E-7</v>
      </c>
      <c r="O8" s="1245">
        <v>2.8106899498931216E-7</v>
      </c>
      <c r="P8" s="1245">
        <v>5.338386940833573E-7</v>
      </c>
      <c r="Q8" s="1245">
        <v>1.0248114403984423E-6</v>
      </c>
      <c r="R8" s="1245">
        <v>1.0661306510652467E-6</v>
      </c>
      <c r="S8" s="1245">
        <v>6.0783643642408691E-7</v>
      </c>
      <c r="T8" s="1245">
        <v>6.5781077466408642E-7</v>
      </c>
      <c r="U8" s="1245">
        <v>4.9187209606682381E-7</v>
      </c>
      <c r="V8" s="1245">
        <v>1.1936328290580089E-6</v>
      </c>
      <c r="W8" s="1245">
        <v>3.5877968328003121E-7</v>
      </c>
      <c r="X8" s="1245">
        <v>2.3642657287142139E-7</v>
      </c>
      <c r="Y8" s="1245">
        <v>8.7107474526413588E-7</v>
      </c>
      <c r="Z8" s="1245">
        <v>1.320824718223053E-6</v>
      </c>
      <c r="AA8" s="1245">
        <v>1.4389886701171384E-6</v>
      </c>
      <c r="AB8" s="1245">
        <v>4.4389849127930798E-7</v>
      </c>
      <c r="AC8" s="1245">
        <v>4.8815796966744083E-7</v>
      </c>
      <c r="AD8" s="1245">
        <v>2.9681459284705609E-7</v>
      </c>
      <c r="AE8" s="269">
        <v>0</v>
      </c>
      <c r="AF8" s="269">
        <v>0</v>
      </c>
      <c r="AG8" s="1245">
        <v>7.8681174581697404E-7</v>
      </c>
      <c r="AH8" s="1245">
        <v>2.8921569468438832E-7</v>
      </c>
      <c r="AI8" s="1245">
        <v>6.2368081634465636E-7</v>
      </c>
      <c r="AJ8" s="1245">
        <v>5.2764791654052762E-7</v>
      </c>
      <c r="AK8" s="1245">
        <v>2.4858468717158503E-7</v>
      </c>
      <c r="AL8" s="1245">
        <v>7.205077774564836E-7</v>
      </c>
      <c r="AM8" s="1245">
        <v>1.1742439933612347E-6</v>
      </c>
      <c r="AN8" s="1245">
        <v>2.1986944900010398E-7</v>
      </c>
      <c r="AO8" s="1245">
        <v>1.2126919895068288E-6</v>
      </c>
      <c r="AP8" s="1245">
        <v>1.3499608269439515E-6</v>
      </c>
      <c r="AQ8" s="1245">
        <v>1.245413611573794E-6</v>
      </c>
      <c r="AR8" s="1245">
        <v>1.3866436745242893E-6</v>
      </c>
      <c r="AS8" s="1245">
        <v>1.424880067564686E-7</v>
      </c>
      <c r="AT8" s="1245">
        <v>1.0136273402747228E-6</v>
      </c>
      <c r="AU8" s="1245">
        <v>3.3690069088377106E-7</v>
      </c>
      <c r="AV8" s="1245">
        <v>8.387632050348398E-7</v>
      </c>
      <c r="AW8" s="1245">
        <v>2.4244779903836693E-6</v>
      </c>
      <c r="AX8" s="1245">
        <v>3.4100792609034342E-6</v>
      </c>
      <c r="AY8" s="1245">
        <v>1.8117249178098802E-6</v>
      </c>
      <c r="AZ8" s="1245">
        <v>2.1507208657988585E-7</v>
      </c>
      <c r="BA8" s="1245">
        <v>9.5525298117678996E-7</v>
      </c>
      <c r="BB8" s="1245">
        <v>1.4135164149488903E-6</v>
      </c>
      <c r="BC8" s="1245">
        <v>2.1434324297738794E-7</v>
      </c>
      <c r="BD8" s="1245">
        <v>1.3015800948452283E-6</v>
      </c>
      <c r="BE8" s="1245">
        <v>1.0115736886280189E-7</v>
      </c>
    </row>
    <row r="9" spans="1:57" ht="15.75" x14ac:dyDescent="0.25">
      <c r="A9" s="223" t="s">
        <v>597</v>
      </c>
      <c r="B9" s="223"/>
      <c r="C9" s="268" t="s">
        <v>599</v>
      </c>
      <c r="D9" s="1245">
        <v>1.3079282465618454E-5</v>
      </c>
      <c r="E9" s="1245">
        <v>2.9005145223010577E-8</v>
      </c>
      <c r="F9" s="1245">
        <v>5.1036833988482231E-6</v>
      </c>
      <c r="G9" s="1245">
        <v>1.3919981657112904E-5</v>
      </c>
      <c r="H9" s="1245">
        <v>1.2102475191582279E-5</v>
      </c>
      <c r="I9" s="1245">
        <v>8.7065280410150246E-6</v>
      </c>
      <c r="J9" s="1245">
        <v>1.570700561935739E-6</v>
      </c>
      <c r="K9" s="1245">
        <v>9.7589029345937529E-7</v>
      </c>
      <c r="L9" s="1245">
        <v>1.6062957557616704E-8</v>
      </c>
      <c r="M9" s="1245">
        <v>3.301582381498859E-6</v>
      </c>
      <c r="N9" s="1245">
        <v>1.0356491925259218E-5</v>
      </c>
      <c r="O9" s="1245">
        <v>2.5203049125667166E-6</v>
      </c>
      <c r="P9" s="1245">
        <v>1.8867113762817547E-5</v>
      </c>
      <c r="Q9" s="1245">
        <v>1.4840238928798885E-5</v>
      </c>
      <c r="R9" s="1245">
        <v>1.8199481943464676E-5</v>
      </c>
      <c r="S9" s="1245">
        <v>2.2031646787867913E-5</v>
      </c>
      <c r="T9" s="1245">
        <v>1.8776869279895314E-5</v>
      </c>
      <c r="U9" s="1245">
        <v>7.5849427841489272E-6</v>
      </c>
      <c r="V9" s="1245">
        <v>8.1613088054957588E-6</v>
      </c>
      <c r="W9" s="1245">
        <v>1.7001264500647307E-6</v>
      </c>
      <c r="X9" s="1245">
        <v>8.1992097480947967E-7</v>
      </c>
      <c r="Y9" s="1245">
        <v>1.4237997768629299E-6</v>
      </c>
      <c r="Z9" s="1245">
        <v>9.1531742831241571E-6</v>
      </c>
      <c r="AA9" s="1245">
        <v>1.6638208653805767E-5</v>
      </c>
      <c r="AB9" s="1245">
        <v>1.1775629233731597E-5</v>
      </c>
      <c r="AC9" s="1245">
        <v>5.4270902014062552E-6</v>
      </c>
      <c r="AD9" s="1245">
        <v>3.251735407602234E-6</v>
      </c>
      <c r="AE9" s="269">
        <v>0</v>
      </c>
      <c r="AF9" s="269">
        <v>0</v>
      </c>
      <c r="AG9" s="1245">
        <v>2.3838292852256752E-5</v>
      </c>
      <c r="AH9" s="1245">
        <v>3.121221969163107E-7</v>
      </c>
      <c r="AI9" s="1245">
        <v>1.0117866907657682E-6</v>
      </c>
      <c r="AJ9" s="1245">
        <v>1.5461091719664462E-6</v>
      </c>
      <c r="AK9" s="1245">
        <v>3.6169756782592687E-6</v>
      </c>
      <c r="AL9" s="1245">
        <v>5.5919493791430489E-6</v>
      </c>
      <c r="AM9" s="1245">
        <v>9.5478781726621745E-6</v>
      </c>
      <c r="AN9" s="1245">
        <v>2.8355100125996123E-5</v>
      </c>
      <c r="AO9" s="1245">
        <v>1.2528763630068732E-5</v>
      </c>
      <c r="AP9" s="1245">
        <v>6.6227269096065648E-6</v>
      </c>
      <c r="AQ9" s="1245">
        <v>1.6341508129297256E-5</v>
      </c>
      <c r="AR9" s="1245">
        <v>8.6590709213007362E-6</v>
      </c>
      <c r="AS9" s="1245">
        <v>3.4108394800579149E-7</v>
      </c>
      <c r="AT9" s="1245">
        <v>4.9365222790733023E-6</v>
      </c>
      <c r="AU9" s="1245">
        <v>2.3631746014167553E-5</v>
      </c>
      <c r="AV9" s="1245">
        <v>4.9394011242504769E-6</v>
      </c>
      <c r="AW9" s="1245">
        <v>1.1308644280200628E-5</v>
      </c>
      <c r="AX9" s="1245">
        <v>4.3739529265498442E-5</v>
      </c>
      <c r="AY9" s="1245">
        <v>2.3724954327781337E-6</v>
      </c>
      <c r="AZ9" s="1245">
        <v>6.2962372285864794E-7</v>
      </c>
      <c r="BA9" s="1245">
        <v>3.7592506607050125E-6</v>
      </c>
      <c r="BB9" s="1245">
        <v>8.426869106752937E-6</v>
      </c>
      <c r="BC9" s="1245">
        <v>4.1333555518881655E-7</v>
      </c>
      <c r="BD9" s="1245">
        <v>2.0461873692125201E-5</v>
      </c>
      <c r="BE9" s="1245">
        <v>2.3315833561549723E-6</v>
      </c>
    </row>
    <row r="10" spans="1:57" ht="15.75" x14ac:dyDescent="0.25">
      <c r="A10" s="223"/>
      <c r="B10" s="223"/>
      <c r="C10" s="268" t="s">
        <v>601</v>
      </c>
      <c r="D10" s="1245">
        <v>2.918616821556281E-7</v>
      </c>
      <c r="E10" s="1245">
        <v>5.4999581007234955E-9</v>
      </c>
      <c r="F10" s="1245">
        <v>2.1866212830137327E-5</v>
      </c>
      <c r="G10" s="1245">
        <v>6.0004746491652945E-7</v>
      </c>
      <c r="H10" s="1245">
        <v>3.2527970911159849E-5</v>
      </c>
      <c r="I10" s="1245">
        <v>9.854241955507456E-6</v>
      </c>
      <c r="J10" s="1245">
        <v>2.4173129341511173E-6</v>
      </c>
      <c r="K10" s="1245">
        <v>4.7358160861630883E-8</v>
      </c>
      <c r="L10" s="1245">
        <v>2.7929821387688128E-9</v>
      </c>
      <c r="M10" s="1245">
        <v>1.2380236243187212E-5</v>
      </c>
      <c r="N10" s="1245">
        <v>1.4816713039653665E-6</v>
      </c>
      <c r="O10" s="1245">
        <v>1.8950898337229758E-7</v>
      </c>
      <c r="P10" s="1245">
        <v>2.4020384171103594E-5</v>
      </c>
      <c r="Q10" s="1245">
        <v>1.9246911008255605E-6</v>
      </c>
      <c r="R10" s="1245">
        <v>5.2358438391454332E-7</v>
      </c>
      <c r="S10" s="1245">
        <v>4.1952615044281719E-7</v>
      </c>
      <c r="T10" s="1245">
        <v>1.6241670574874993E-6</v>
      </c>
      <c r="U10" s="1245">
        <v>3.0693426688727953E-7</v>
      </c>
      <c r="V10" s="1245">
        <v>6.2507539269393364E-8</v>
      </c>
      <c r="W10" s="1245">
        <v>2.9494630100772013E-6</v>
      </c>
      <c r="X10" s="1245">
        <v>9.7387565636338444E-7</v>
      </c>
      <c r="Y10" s="1245">
        <v>2.2661553365234062E-5</v>
      </c>
      <c r="Z10" s="1245">
        <v>1.5365958972238658E-6</v>
      </c>
      <c r="AA10" s="1245">
        <v>8.8349009489413301E-6</v>
      </c>
      <c r="AB10" s="1245">
        <v>2.7139050084394224E-7</v>
      </c>
      <c r="AC10" s="1245">
        <v>4.1456111690385111E-6</v>
      </c>
      <c r="AD10" s="1245">
        <v>1.167844335979938E-7</v>
      </c>
      <c r="AE10" s="269">
        <v>0</v>
      </c>
      <c r="AF10" s="269">
        <v>0</v>
      </c>
      <c r="AG10" s="1245">
        <v>3.7276659993842147E-7</v>
      </c>
      <c r="AH10" s="1245">
        <v>1.6931909100018739E-5</v>
      </c>
      <c r="AI10" s="1245">
        <v>5.5497502341991522E-6</v>
      </c>
      <c r="AJ10" s="1245">
        <v>3.3117172940362956E-6</v>
      </c>
      <c r="AK10" s="1245">
        <v>2.2616434570045353E-5</v>
      </c>
      <c r="AL10" s="1245">
        <v>8.1929721900931612E-6</v>
      </c>
      <c r="AM10" s="1245">
        <v>1.0166582105534907E-5</v>
      </c>
      <c r="AN10" s="1245">
        <v>2.4423683635006721E-7</v>
      </c>
      <c r="AO10" s="1245">
        <v>2.1815303755642776E-6</v>
      </c>
      <c r="AP10" s="1245">
        <v>2.8372043509108007E-7</v>
      </c>
      <c r="AQ10" s="1245">
        <v>2.9876250353187179E-5</v>
      </c>
      <c r="AR10" s="1245">
        <v>3.1454178923192786E-6</v>
      </c>
      <c r="AS10" s="1245">
        <v>1.2538026119603249E-6</v>
      </c>
      <c r="AT10" s="1245">
        <v>4.7211318748959323E-7</v>
      </c>
      <c r="AU10" s="1245">
        <v>7.0207246172394876E-7</v>
      </c>
      <c r="AV10" s="1245">
        <v>3.4594934201047774E-7</v>
      </c>
      <c r="AW10" s="1245">
        <v>2.2066473446276732E-5</v>
      </c>
      <c r="AX10" s="1245">
        <v>2.9126573963567045E-5</v>
      </c>
      <c r="AY10" s="1245">
        <v>6.8554211960950217E-6</v>
      </c>
      <c r="AZ10" s="1245">
        <v>1.5639659988224276E-5</v>
      </c>
      <c r="BA10" s="1245">
        <v>4.791699097821144E-6</v>
      </c>
      <c r="BB10" s="1245">
        <v>4.6796029266254304E-6</v>
      </c>
      <c r="BC10" s="1245">
        <v>8.1597166277325846E-8</v>
      </c>
      <c r="BD10" s="1245">
        <v>1.3442614436633894E-6</v>
      </c>
      <c r="BE10" s="1245">
        <v>3.1135596668867438E-9</v>
      </c>
    </row>
    <row r="11" spans="1:57" ht="15.75" x14ac:dyDescent="0.25">
      <c r="A11" s="223" t="s">
        <v>600</v>
      </c>
      <c r="B11" s="223"/>
      <c r="C11" s="268" t="s">
        <v>602</v>
      </c>
      <c r="D11" s="1245">
        <v>4.9108267687843446E-2</v>
      </c>
      <c r="E11" s="1245">
        <v>4.8353863978332766E-2</v>
      </c>
      <c r="F11" s="1245">
        <v>4.2169651625191373E-2</v>
      </c>
      <c r="G11" s="1245">
        <v>4.7941396563282015E-2</v>
      </c>
      <c r="H11" s="1245">
        <v>2.8760796666206245E-2</v>
      </c>
      <c r="I11" s="1245">
        <v>4.0081138596210313E-2</v>
      </c>
      <c r="J11" s="1245">
        <v>3.4391421386476377E-2</v>
      </c>
      <c r="K11" s="1245">
        <v>3.4159052289741552E-2</v>
      </c>
      <c r="L11" s="1245">
        <v>2.6165706359966647E-2</v>
      </c>
      <c r="M11" s="1245">
        <v>4.0325706402305386E-2</v>
      </c>
      <c r="N11" s="1245">
        <v>4.1155566212902631E-2</v>
      </c>
      <c r="O11" s="1245">
        <v>3.535262520771363E-2</v>
      </c>
      <c r="P11" s="1245">
        <v>4.4941833501004072E-2</v>
      </c>
      <c r="Q11" s="1245">
        <v>4.0447984607668387E-2</v>
      </c>
      <c r="R11" s="1245">
        <v>4.4015262113313969E-2</v>
      </c>
      <c r="S11" s="1245">
        <v>4.6360949160304692E-2</v>
      </c>
      <c r="T11" s="1245">
        <v>3.6018116717605006E-2</v>
      </c>
      <c r="U11" s="1245">
        <v>4.3888816678292662E-2</v>
      </c>
      <c r="V11" s="1245">
        <v>4.1922662533520352E-2</v>
      </c>
      <c r="W11" s="1245">
        <v>4.1428660339457225E-2</v>
      </c>
      <c r="X11" s="1245">
        <v>3.7386290912187516E-2</v>
      </c>
      <c r="Y11" s="1245">
        <v>3.3181067208681289E-2</v>
      </c>
      <c r="Z11" s="1245">
        <v>4.0594824415167825E-2</v>
      </c>
      <c r="AA11" s="1245">
        <v>4.6204914510652173E-2</v>
      </c>
      <c r="AB11" s="1245">
        <v>5.0423392493861852E-2</v>
      </c>
      <c r="AC11" s="1245">
        <v>4.4886490083744478E-2</v>
      </c>
      <c r="AD11" s="1245">
        <v>5.2372500378547598E-2</v>
      </c>
      <c r="AE11" s="269">
        <v>0</v>
      </c>
      <c r="AF11" s="269">
        <v>0</v>
      </c>
      <c r="AG11" s="1245">
        <v>4.3829991865927134E-2</v>
      </c>
      <c r="AH11" s="1245">
        <v>6.0215409611678865E-2</v>
      </c>
      <c r="AI11" s="1245">
        <v>3.3889214645636004E-2</v>
      </c>
      <c r="AJ11" s="1245">
        <v>3.7346463173510133E-2</v>
      </c>
      <c r="AK11" s="1245">
        <v>4.1156531291510527E-2</v>
      </c>
      <c r="AL11" s="1245">
        <v>3.8442847176532895E-2</v>
      </c>
      <c r="AM11" s="1245">
        <v>3.7083271999482165E-2</v>
      </c>
      <c r="AN11" s="1245">
        <v>5.2187523189730148E-2</v>
      </c>
      <c r="AO11" s="1245">
        <v>4.1757865613286829E-2</v>
      </c>
      <c r="AP11" s="1245">
        <v>5.0355851749343115E-2</v>
      </c>
      <c r="AQ11" s="1245">
        <v>4.470574809680479E-2</v>
      </c>
      <c r="AR11" s="1245">
        <v>3.8952778574465767E-2</v>
      </c>
      <c r="AS11" s="1245">
        <v>3.1284764325861469E-2</v>
      </c>
      <c r="AT11" s="1245">
        <v>3.8623229212291631E-2</v>
      </c>
      <c r="AU11" s="1245">
        <v>4.531526910770476E-2</v>
      </c>
      <c r="AV11" s="1245">
        <v>4.0659080173091375E-2</v>
      </c>
      <c r="AW11" s="1245">
        <v>4.5019766054964432E-2</v>
      </c>
      <c r="AX11" s="1245">
        <v>4.0600375073497799E-2</v>
      </c>
      <c r="AY11" s="1245">
        <v>3.8519293906471561E-2</v>
      </c>
      <c r="AZ11" s="1245">
        <v>4.6742747731975939E-2</v>
      </c>
      <c r="BA11" s="1245">
        <v>4.1978151362546706E-2</v>
      </c>
      <c r="BB11" s="1245">
        <v>3.8793078753122177E-2</v>
      </c>
      <c r="BC11" s="1245">
        <v>4.4943974397233501E-2</v>
      </c>
      <c r="BD11" s="1245">
        <v>4.1224864261054761E-2</v>
      </c>
      <c r="BE11" s="1245">
        <v>5.4995100851340302E-2</v>
      </c>
    </row>
    <row r="12" spans="1:57" x14ac:dyDescent="0.25">
      <c r="A12" s="217"/>
      <c r="B12" s="217"/>
      <c r="C12" s="268" t="s">
        <v>603</v>
      </c>
      <c r="D12" s="1245">
        <v>4.0789217891998374E-2</v>
      </c>
      <c r="E12" s="1245">
        <v>2.9516921857557124E-2</v>
      </c>
      <c r="F12" s="1245">
        <v>4.7548337179930081E-2</v>
      </c>
      <c r="G12" s="1245">
        <v>4.7462217100922924E-2</v>
      </c>
      <c r="H12" s="1245">
        <v>4.4468954563178724E-2</v>
      </c>
      <c r="I12" s="1245">
        <v>4.7565374489379163E-2</v>
      </c>
      <c r="J12" s="1245">
        <v>4.9473476019660914E-2</v>
      </c>
      <c r="K12" s="1245">
        <v>3.7008054240315683E-2</v>
      </c>
      <c r="L12" s="1245">
        <v>2.2732444236118081E-2</v>
      </c>
      <c r="M12" s="1245">
        <v>4.8186230270342925E-2</v>
      </c>
      <c r="N12" s="1245">
        <v>4.7454307156817636E-2</v>
      </c>
      <c r="O12" s="1245">
        <v>3.9174556879363671E-2</v>
      </c>
      <c r="P12" s="1245">
        <v>4.5875268943279916E-2</v>
      </c>
      <c r="Q12" s="1245">
        <v>4.6768705259648546E-2</v>
      </c>
      <c r="R12" s="1245">
        <v>3.9653905006067199E-2</v>
      </c>
      <c r="S12" s="1245">
        <v>4.2036309563794567E-2</v>
      </c>
      <c r="T12" s="1245">
        <v>4.1173003030443488E-2</v>
      </c>
      <c r="U12" s="1245">
        <v>4.5101490096088222E-2</v>
      </c>
      <c r="V12" s="1245">
        <v>3.4326190355494626E-2</v>
      </c>
      <c r="W12" s="1245">
        <v>4.2701684951149302E-2</v>
      </c>
      <c r="X12" s="1245">
        <v>4.3975476964365219E-2</v>
      </c>
      <c r="Y12" s="1245">
        <v>4.9231050768007233E-2</v>
      </c>
      <c r="Z12" s="1245">
        <v>4.4249769359217685E-2</v>
      </c>
      <c r="AA12" s="1245">
        <v>4.7842464101760261E-2</v>
      </c>
      <c r="AB12" s="1245">
        <v>3.5137483709684385E-2</v>
      </c>
      <c r="AC12" s="1245">
        <v>4.6260683157529861E-2</v>
      </c>
      <c r="AD12" s="1245">
        <v>4.3122954208677226E-2</v>
      </c>
      <c r="AE12" s="269">
        <v>0</v>
      </c>
      <c r="AF12" s="269">
        <v>0</v>
      </c>
      <c r="AG12" s="1245">
        <v>4.3866166787696163E-2</v>
      </c>
      <c r="AH12" s="1245">
        <v>0.10377916008490036</v>
      </c>
      <c r="AI12" s="1245">
        <v>5.3381749074307941E-2</v>
      </c>
      <c r="AJ12" s="1245">
        <v>4.9218551552721125E-2</v>
      </c>
      <c r="AK12" s="1245">
        <v>3.771081743245544E-2</v>
      </c>
      <c r="AL12" s="1245">
        <v>4.7389916248578016E-2</v>
      </c>
      <c r="AM12" s="1245">
        <v>4.6953337799466671E-2</v>
      </c>
      <c r="AN12" s="1245">
        <v>5.9249341081823476E-2</v>
      </c>
      <c r="AO12" s="1245">
        <v>4.438023986702043E-2</v>
      </c>
      <c r="AP12" s="1245">
        <v>4.5538082399258668E-2</v>
      </c>
      <c r="AQ12" s="1245">
        <v>4.5588809825077278E-2</v>
      </c>
      <c r="AR12" s="1245">
        <v>4.6748399075063431E-2</v>
      </c>
      <c r="AS12" s="1245">
        <v>4.8826213243770115E-2</v>
      </c>
      <c r="AT12" s="1245">
        <v>4.330633857068561E-2</v>
      </c>
      <c r="AU12" s="1245">
        <v>5.3106261016088091E-2</v>
      </c>
      <c r="AV12" s="1245">
        <v>4.711474199144032E-2</v>
      </c>
      <c r="AW12" s="1245">
        <v>4.3874526255301249E-2</v>
      </c>
      <c r="AX12" s="1245">
        <v>3.9213669917617967E-2</v>
      </c>
      <c r="AY12" s="1245">
        <v>4.1780395929407271E-2</v>
      </c>
      <c r="AZ12" s="1245">
        <v>3.6299055983328526E-2</v>
      </c>
      <c r="BA12" s="1245">
        <v>4.2188817394474956E-2</v>
      </c>
      <c r="BB12" s="1245">
        <v>4.5008037729078951E-2</v>
      </c>
      <c r="BC12" s="1245">
        <v>4.1512777598108862E-2</v>
      </c>
      <c r="BD12" s="1245">
        <v>4.5314188132871039E-2</v>
      </c>
      <c r="BE12" s="1245">
        <v>4.2292843003780459E-2</v>
      </c>
    </row>
    <row r="13" spans="1:57" x14ac:dyDescent="0.25">
      <c r="A13" s="217"/>
      <c r="B13" s="217"/>
      <c r="C13" s="268" t="s">
        <v>604</v>
      </c>
      <c r="D13" s="1245">
        <v>0.11512955138468219</v>
      </c>
      <c r="E13" s="1245">
        <v>0.10908478457025693</v>
      </c>
      <c r="F13" s="1245">
        <v>0.10924158443069416</v>
      </c>
      <c r="G13" s="1245">
        <v>0.1092664301798124</v>
      </c>
      <c r="H13" s="1245">
        <v>9.5816556801184019E-2</v>
      </c>
      <c r="I13" s="1245">
        <v>9.4140979325512714E-2</v>
      </c>
      <c r="J13" s="1245">
        <v>0.1006055347360858</v>
      </c>
      <c r="K13" s="1245">
        <v>0.10766098560936324</v>
      </c>
      <c r="L13" s="1245">
        <v>7.8246001869098844E-2</v>
      </c>
      <c r="M13" s="1245">
        <v>0.10478424076462656</v>
      </c>
      <c r="N13" s="1245">
        <v>0.10328837533902777</v>
      </c>
      <c r="O13" s="1245">
        <v>0.11295579737616786</v>
      </c>
      <c r="P13" s="1245">
        <v>0.11859991343998641</v>
      </c>
      <c r="Q13" s="1245">
        <v>9.5383257444296501E-2</v>
      </c>
      <c r="R13" s="1245">
        <v>0.11187054092014342</v>
      </c>
      <c r="S13" s="1245">
        <v>0.11269379069074566</v>
      </c>
      <c r="T13" s="1245">
        <v>0.11352842108020005</v>
      </c>
      <c r="U13" s="1245">
        <v>0.11045116964885283</v>
      </c>
      <c r="V13" s="1245">
        <v>0.11219743062016159</v>
      </c>
      <c r="W13" s="1245">
        <v>0.1129882695872482</v>
      </c>
      <c r="X13" s="1245">
        <v>9.8017242087178796E-2</v>
      </c>
      <c r="Y13" s="1245">
        <v>8.8098324725936344E-2</v>
      </c>
      <c r="Z13" s="1245">
        <v>0.10709016485759248</v>
      </c>
      <c r="AA13" s="1245">
        <v>9.8006820893995164E-2</v>
      </c>
      <c r="AB13" s="1245">
        <v>0.11916908786194964</v>
      </c>
      <c r="AC13" s="1245">
        <v>0.1038885433439352</v>
      </c>
      <c r="AD13" s="1245">
        <v>0.11263787101829217</v>
      </c>
      <c r="AE13" s="269">
        <v>0</v>
      </c>
      <c r="AF13" s="269">
        <v>0</v>
      </c>
      <c r="AG13" s="1245">
        <v>0.11299123061726606</v>
      </c>
      <c r="AH13" s="1245">
        <v>0.79457387116115108</v>
      </c>
      <c r="AI13" s="1245">
        <v>0.11032404572613616</v>
      </c>
      <c r="AJ13" s="1245">
        <v>0.10044930151097912</v>
      </c>
      <c r="AK13" s="1245">
        <v>0.11783098243661103</v>
      </c>
      <c r="AL13" s="1245">
        <v>9.3943117613783517E-2</v>
      </c>
      <c r="AM13" s="1245">
        <v>0.10032191161999769</v>
      </c>
      <c r="AN13" s="1245">
        <v>0.11537701873687185</v>
      </c>
      <c r="AO13" s="1245">
        <v>0.10352447758349723</v>
      </c>
      <c r="AP13" s="1245">
        <v>0.10837768764557004</v>
      </c>
      <c r="AQ13" s="1245">
        <v>0.10112243124052911</v>
      </c>
      <c r="AR13" s="1245">
        <v>9.7630342155112959E-2</v>
      </c>
      <c r="AS13" s="1245">
        <v>9.5377283647999161E-2</v>
      </c>
      <c r="AT13" s="1245">
        <v>0.11660122052461119</v>
      </c>
      <c r="AU13" s="1245">
        <v>0.11909226754882636</v>
      </c>
      <c r="AV13" s="1245">
        <v>0.11108085634468691</v>
      </c>
      <c r="AW13" s="1245">
        <v>0.1006792258006836</v>
      </c>
      <c r="AX13" s="1245">
        <v>8.6679086373705472E-2</v>
      </c>
      <c r="AY13" s="1245">
        <v>0.10184767934515704</v>
      </c>
      <c r="AZ13" s="1245">
        <v>0.10874841270823056</v>
      </c>
      <c r="BA13" s="1245">
        <v>0.10396004082964774</v>
      </c>
      <c r="BB13" s="1245">
        <v>0.10084032611033246</v>
      </c>
      <c r="BC13" s="1245">
        <v>0.12363643478575886</v>
      </c>
      <c r="BD13" s="1245">
        <v>0.10400480965367537</v>
      </c>
      <c r="BE13" s="1245">
        <v>0.11536867431151465</v>
      </c>
    </row>
    <row r="14" spans="1:57" x14ac:dyDescent="0.25">
      <c r="A14" s="217"/>
      <c r="B14" s="217"/>
      <c r="C14" s="268" t="s">
        <v>605</v>
      </c>
      <c r="D14" s="1245">
        <v>0.124946598504607</v>
      </c>
      <c r="E14" s="1245">
        <v>0.11419767090925331</v>
      </c>
      <c r="F14" s="1245">
        <v>0.14053773598339764</v>
      </c>
      <c r="G14" s="1245">
        <v>0.11360691089506729</v>
      </c>
      <c r="H14" s="1245">
        <v>0.11956311632902673</v>
      </c>
      <c r="I14" s="1245">
        <v>0.13060907538795952</v>
      </c>
      <c r="J14" s="1245">
        <v>0.14141326468333529</v>
      </c>
      <c r="K14" s="1245">
        <v>0.16126981627718651</v>
      </c>
      <c r="L14" s="1245">
        <v>0.16259977923519314</v>
      </c>
      <c r="M14" s="1245">
        <v>0.13339664006329841</v>
      </c>
      <c r="N14" s="1245">
        <v>0.12874459525544826</v>
      </c>
      <c r="O14" s="1245">
        <v>0.12502498852237837</v>
      </c>
      <c r="P14" s="1245">
        <v>0.13406431213014702</v>
      </c>
      <c r="Q14" s="1245">
        <v>0.13705164274189624</v>
      </c>
      <c r="R14" s="1245">
        <v>0.11781616299321936</v>
      </c>
      <c r="S14" s="1245">
        <v>0.14268801065281014</v>
      </c>
      <c r="T14" s="1245">
        <v>0.12223405760382047</v>
      </c>
      <c r="U14" s="1245">
        <v>0.11855389289589481</v>
      </c>
      <c r="V14" s="1245">
        <v>0.11186768336229745</v>
      </c>
      <c r="W14" s="1245">
        <v>0.13356888620839644</v>
      </c>
      <c r="X14" s="1245">
        <v>0.13213331030837444</v>
      </c>
      <c r="Y14" s="1245">
        <v>0.14145931475792473</v>
      </c>
      <c r="Z14" s="1245">
        <v>0.11974371185535072</v>
      </c>
      <c r="AA14" s="1245">
        <v>0.13089168869621326</v>
      </c>
      <c r="AB14" s="1245">
        <v>0.11512138844073534</v>
      </c>
      <c r="AC14" s="1245">
        <v>0.12587528016453714</v>
      </c>
      <c r="AD14" s="1245">
        <v>0.1272501892817906</v>
      </c>
      <c r="AE14" s="269">
        <v>0</v>
      </c>
      <c r="AF14" s="269">
        <v>0</v>
      </c>
      <c r="AG14" s="1245">
        <v>0.13455092078923123</v>
      </c>
      <c r="AH14" s="1245">
        <v>1.1089529173528151E-2</v>
      </c>
      <c r="AI14" s="1245">
        <v>0.14292056515746801</v>
      </c>
      <c r="AJ14" s="1245">
        <v>0.13536984858064274</v>
      </c>
      <c r="AK14" s="1245">
        <v>0.12377137094789951</v>
      </c>
      <c r="AL14" s="1245">
        <v>0.14327286017042334</v>
      </c>
      <c r="AM14" s="1245">
        <v>0.12996082696419362</v>
      </c>
      <c r="AN14" s="1245">
        <v>0.13111201140605541</v>
      </c>
      <c r="AO14" s="1245">
        <v>0.13116210891481925</v>
      </c>
      <c r="AP14" s="1245">
        <v>0.12053605903943002</v>
      </c>
      <c r="AQ14" s="1245">
        <v>0.1252608656762691</v>
      </c>
      <c r="AR14" s="1245">
        <v>0.12919270218538531</v>
      </c>
      <c r="AS14" s="1245">
        <v>0.15129609396292787</v>
      </c>
      <c r="AT14" s="1245">
        <v>0.12015254823379228</v>
      </c>
      <c r="AU14" s="1245">
        <v>0.14191291727078362</v>
      </c>
      <c r="AV14" s="1245">
        <v>0.12067245786853696</v>
      </c>
      <c r="AW14" s="1245">
        <v>0.12556282911043001</v>
      </c>
      <c r="AX14" s="1245">
        <v>0.12007488329742046</v>
      </c>
      <c r="AY14" s="1245">
        <v>0.13521668420353769</v>
      </c>
      <c r="AZ14" s="1245">
        <v>0.13140029060733663</v>
      </c>
      <c r="BA14" s="1245">
        <v>0.12854801456166079</v>
      </c>
      <c r="BB14" s="1245">
        <v>0.11928894827637879</v>
      </c>
      <c r="BC14" s="1245">
        <v>0.11139221171352147</v>
      </c>
      <c r="BD14" s="1245">
        <v>0.12993960818743042</v>
      </c>
      <c r="BE14" s="1245">
        <v>0.13304344274062907</v>
      </c>
    </row>
    <row r="15" spans="1:57" x14ac:dyDescent="0.25">
      <c r="A15" s="217"/>
      <c r="B15" s="217"/>
      <c r="C15" s="268" t="s">
        <v>606</v>
      </c>
      <c r="D15" s="1245">
        <v>0.60182383261204198</v>
      </c>
      <c r="E15" s="1245">
        <v>0.63347370616626142</v>
      </c>
      <c r="F15" s="1245">
        <v>0.61333256098630873</v>
      </c>
      <c r="G15" s="1245">
        <v>0.61905001358946254</v>
      </c>
      <c r="H15" s="1245">
        <v>0.60631993203158663</v>
      </c>
      <c r="I15" s="1245">
        <v>0.61638705815002037</v>
      </c>
      <c r="J15" s="1245">
        <v>0.62836124291772277</v>
      </c>
      <c r="K15" s="1245">
        <v>0.60907440438224447</v>
      </c>
      <c r="L15" s="1245">
        <v>0.68968654989070377</v>
      </c>
      <c r="M15" s="1245">
        <v>0.61747790794195312</v>
      </c>
      <c r="N15" s="1245">
        <v>0.61802868285055512</v>
      </c>
      <c r="O15" s="1245">
        <v>0.62040236638158419</v>
      </c>
      <c r="P15" s="1245">
        <v>0.59458089055368835</v>
      </c>
      <c r="Q15" s="1245">
        <v>0.60673665712175229</v>
      </c>
      <c r="R15" s="1245">
        <v>0.61234094703122033</v>
      </c>
      <c r="S15" s="1245">
        <v>0.59659635011675205</v>
      </c>
      <c r="T15" s="1245">
        <v>0.61777944149334074</v>
      </c>
      <c r="U15" s="1245">
        <v>0.62026736162749019</v>
      </c>
      <c r="V15" s="1245">
        <v>0.6259100025551747</v>
      </c>
      <c r="W15" s="1245">
        <v>0.61476019949643401</v>
      </c>
      <c r="X15" s="1245">
        <v>0.64655924418049848</v>
      </c>
      <c r="Y15" s="1245">
        <v>0.63350442811126295</v>
      </c>
      <c r="Z15" s="1245">
        <v>0.60840094945773759</v>
      </c>
      <c r="AA15" s="1245">
        <v>0.59616628801331961</v>
      </c>
      <c r="AB15" s="1245">
        <v>0.61774721295530943</v>
      </c>
      <c r="AC15" s="1245">
        <v>0.62570689682980596</v>
      </c>
      <c r="AD15" s="1245">
        <v>0.59995103109347514</v>
      </c>
      <c r="AE15" s="269">
        <v>0</v>
      </c>
      <c r="AF15" s="269">
        <v>0</v>
      </c>
      <c r="AG15" s="1245">
        <v>0.61238176825025159</v>
      </c>
      <c r="AH15" s="1245">
        <v>1.1410613259496447E-2</v>
      </c>
      <c r="AI15" s="1245">
        <v>0.62244342521879348</v>
      </c>
      <c r="AJ15" s="1245">
        <v>0.61953780962825167</v>
      </c>
      <c r="AK15" s="1245">
        <v>0.6191561378701701</v>
      </c>
      <c r="AL15" s="1245">
        <v>0.62569727826191279</v>
      </c>
      <c r="AM15" s="1245">
        <v>0.61320436702233994</v>
      </c>
      <c r="AN15" s="1245">
        <v>0.58998937585568534</v>
      </c>
      <c r="AO15" s="1245">
        <v>0.59959110048534814</v>
      </c>
      <c r="AP15" s="1245">
        <v>0.60990280982928569</v>
      </c>
      <c r="AQ15" s="1245">
        <v>0.6216366077861023</v>
      </c>
      <c r="AR15" s="1245">
        <v>0.61376866388496787</v>
      </c>
      <c r="AS15" s="1245">
        <v>0.64130694357328388</v>
      </c>
      <c r="AT15" s="1245">
        <v>0.62628241935782314</v>
      </c>
      <c r="AU15" s="1245">
        <v>0.59779934138507973</v>
      </c>
      <c r="AV15" s="1245">
        <v>0.62041573433234676</v>
      </c>
      <c r="AW15" s="1245">
        <v>0.57718045076211577</v>
      </c>
      <c r="AX15" s="1245">
        <v>0.54908812432295107</v>
      </c>
      <c r="AY15" s="1245">
        <v>0.6049829643032284</v>
      </c>
      <c r="AZ15" s="1245">
        <v>0.62756152001318533</v>
      </c>
      <c r="BA15" s="1245">
        <v>0.63045156026050386</v>
      </c>
      <c r="BB15" s="1245">
        <v>0.60902158437810194</v>
      </c>
      <c r="BC15" s="1245">
        <v>0.63715780191157823</v>
      </c>
      <c r="BD15" s="1245">
        <v>0.60655432102896423</v>
      </c>
      <c r="BE15" s="1245">
        <v>0.59607374860948092</v>
      </c>
    </row>
    <row r="16" spans="1:57" x14ac:dyDescent="0.25">
      <c r="A16" s="217"/>
      <c r="B16" s="217"/>
      <c r="C16" s="268" t="s">
        <v>607</v>
      </c>
      <c r="D16" s="1245">
        <v>9.3434149200734059E-3</v>
      </c>
      <c r="E16" s="1245">
        <v>7.5123235120481344E-3</v>
      </c>
      <c r="F16" s="1245">
        <v>8.757965134280999E-3</v>
      </c>
      <c r="G16" s="1245">
        <v>6.9072238956950577E-3</v>
      </c>
      <c r="H16" s="1245">
        <v>9.9138955994110527E-3</v>
      </c>
      <c r="I16" s="1245">
        <v>1.0088275197969119E-2</v>
      </c>
      <c r="J16" s="1245">
        <v>1.0324513313785044E-2</v>
      </c>
      <c r="K16" s="1245">
        <v>1.0920179669275358E-2</v>
      </c>
      <c r="L16" s="1245">
        <v>9.5693065145463583E-3</v>
      </c>
      <c r="M16" s="1245">
        <v>9.2597188991578316E-3</v>
      </c>
      <c r="N16" s="1245">
        <v>8.8176094267502381E-3</v>
      </c>
      <c r="O16" s="1245">
        <v>6.0651887001167337E-3</v>
      </c>
      <c r="P16" s="1245">
        <v>8.7008136026926215E-3</v>
      </c>
      <c r="Q16" s="1245">
        <v>1.021379651170138E-2</v>
      </c>
      <c r="R16" s="1245">
        <v>9.1041801368415103E-3</v>
      </c>
      <c r="S16" s="1245">
        <v>7.0775337029738792E-3</v>
      </c>
      <c r="T16" s="1245">
        <v>8.6082871125357924E-3</v>
      </c>
      <c r="U16" s="1245">
        <v>7.6192011186287361E-3</v>
      </c>
      <c r="V16" s="1245">
        <v>8.4844772752473863E-3</v>
      </c>
      <c r="W16" s="1245">
        <v>8.6062860967074661E-3</v>
      </c>
      <c r="X16" s="1245">
        <v>1.0239035173979958E-2</v>
      </c>
      <c r="Y16" s="1245">
        <v>1.1665730056039565E-2</v>
      </c>
      <c r="Z16" s="1245">
        <v>1.0086504005475193E-2</v>
      </c>
      <c r="AA16" s="1245">
        <v>9.1514650924054662E-3</v>
      </c>
      <c r="AB16" s="1245">
        <v>6.8206210054055465E-3</v>
      </c>
      <c r="AC16" s="1245">
        <v>8.9881976969593321E-3</v>
      </c>
      <c r="AD16" s="1245">
        <v>7.8684770560328125E-3</v>
      </c>
      <c r="AE16" s="269">
        <v>0</v>
      </c>
      <c r="AF16" s="269">
        <v>0</v>
      </c>
      <c r="AG16" s="1245">
        <v>7.8324928957640254E-3</v>
      </c>
      <c r="AH16" s="1245">
        <v>0</v>
      </c>
      <c r="AI16" s="1245">
        <v>1.0069163113491044E-2</v>
      </c>
      <c r="AJ16" s="1245">
        <v>1.0832012811741719E-2</v>
      </c>
      <c r="AK16" s="1245">
        <v>9.2813099576327523E-3</v>
      </c>
      <c r="AL16" s="1245">
        <v>1.0498061077592666E-2</v>
      </c>
      <c r="AM16" s="1245">
        <v>9.353089704606193E-3</v>
      </c>
      <c r="AN16" s="1245">
        <v>6.4443522772798037E-3</v>
      </c>
      <c r="AO16" s="1245">
        <v>9.0142779931513262E-3</v>
      </c>
      <c r="AP16" s="1245">
        <v>7.6869933729786172E-3</v>
      </c>
      <c r="AQ16" s="1245">
        <v>9.2885792016024673E-3</v>
      </c>
      <c r="AR16" s="1245">
        <v>1.033121994312022E-2</v>
      </c>
      <c r="AS16" s="1245">
        <v>9.4938524748284635E-3</v>
      </c>
      <c r="AT16" s="1245">
        <v>8.9938427569026917E-3</v>
      </c>
      <c r="AU16" s="1245">
        <v>6.5692216851106003E-3</v>
      </c>
      <c r="AV16" s="1245">
        <v>9.0288091940249095E-3</v>
      </c>
      <c r="AW16" s="1245">
        <v>8.8012447996990185E-3</v>
      </c>
      <c r="AX16" s="1245">
        <v>8.9053995859226191E-3</v>
      </c>
      <c r="AY16" s="1245">
        <v>9.2330478415333078E-3</v>
      </c>
      <c r="AZ16" s="1245">
        <v>9.8661409451946281E-3</v>
      </c>
      <c r="BA16" s="1245">
        <v>9.8053436650236084E-3</v>
      </c>
      <c r="BB16" s="1245">
        <v>1.0079003242846772E-2</v>
      </c>
      <c r="BC16" s="1245">
        <v>9.3463959667232262E-3</v>
      </c>
      <c r="BD16" s="1245">
        <v>8.4636570087165287E-3</v>
      </c>
      <c r="BE16" s="1245">
        <v>6.5448973259970827E-3</v>
      </c>
    </row>
    <row r="17" spans="1:57" x14ac:dyDescent="0.25">
      <c r="A17" s="217"/>
      <c r="B17" s="217"/>
      <c r="C17" s="268" t="s">
        <v>609</v>
      </c>
      <c r="D17" s="1245">
        <v>9.0689141877274698E-3</v>
      </c>
      <c r="E17" s="1245">
        <v>8.9085148707252534E-3</v>
      </c>
      <c r="F17" s="1245">
        <v>7.7995519765308293E-3</v>
      </c>
      <c r="G17" s="1245">
        <v>8.8491151039064801E-3</v>
      </c>
      <c r="H17" s="1245">
        <v>6.8764206454442088E-3</v>
      </c>
      <c r="I17" s="1245">
        <v>7.2905997711297677E-3</v>
      </c>
      <c r="J17" s="1245">
        <v>7.749161625198734E-3</v>
      </c>
      <c r="K17" s="1245">
        <v>7.7034306084110288E-3</v>
      </c>
      <c r="L17" s="1245">
        <v>9.1642856333505381E-3</v>
      </c>
      <c r="M17" s="1245">
        <v>7.2079780934586465E-3</v>
      </c>
      <c r="N17" s="1245">
        <v>6.9107423652695248E-3</v>
      </c>
      <c r="O17" s="1245">
        <v>8.3593532277888832E-3</v>
      </c>
      <c r="P17" s="1245">
        <v>8.857424525839307E-3</v>
      </c>
      <c r="Q17" s="1245">
        <v>6.8911998116601807E-3</v>
      </c>
      <c r="R17" s="1245">
        <v>8.1258133367890593E-3</v>
      </c>
      <c r="S17" s="1245">
        <v>8.650407802758003E-3</v>
      </c>
      <c r="T17" s="1245">
        <v>8.387324012818026E-3</v>
      </c>
      <c r="U17" s="1245">
        <v>9.1765766792621609E-3</v>
      </c>
      <c r="V17" s="1245">
        <v>9.1787437356844019E-3</v>
      </c>
      <c r="W17" s="1245">
        <v>8.491052167857633E-3</v>
      </c>
      <c r="X17" s="1245">
        <v>7.8842920046254799E-3</v>
      </c>
      <c r="Y17" s="1245">
        <v>7.1882882217186366E-3</v>
      </c>
      <c r="Z17" s="1245">
        <v>7.7004809326821459E-3</v>
      </c>
      <c r="AA17" s="1245">
        <v>7.5063519093176633E-3</v>
      </c>
      <c r="AB17" s="1245">
        <v>9.529199642730803E-3</v>
      </c>
      <c r="AC17" s="1245">
        <v>7.9786383096300661E-3</v>
      </c>
      <c r="AD17" s="1245">
        <v>9.2211221330364985E-3</v>
      </c>
      <c r="AE17" s="269">
        <v>0</v>
      </c>
      <c r="AF17" s="269">
        <v>0</v>
      </c>
      <c r="AG17" s="1245">
        <v>8.1198765674457638E-3</v>
      </c>
      <c r="AH17" s="1245">
        <v>0</v>
      </c>
      <c r="AI17" s="1245">
        <v>8.1110910449251374E-3</v>
      </c>
      <c r="AJ17" s="1245">
        <v>7.2108553212025146E-3</v>
      </c>
      <c r="AK17" s="1245">
        <v>9.5642927531873635E-3</v>
      </c>
      <c r="AL17" s="1245">
        <v>7.5648791081870462E-3</v>
      </c>
      <c r="AM17" s="1245">
        <v>7.5033451226650238E-3</v>
      </c>
      <c r="AN17" s="1245">
        <v>9.0512119948092905E-3</v>
      </c>
      <c r="AO17" s="1245">
        <v>7.4308101356402555E-3</v>
      </c>
      <c r="AP17" s="1245">
        <v>8.6467215943447136E-3</v>
      </c>
      <c r="AQ17" s="1245">
        <v>8.1672294803482089E-3</v>
      </c>
      <c r="AR17" s="1245">
        <v>7.6693245355002569E-3</v>
      </c>
      <c r="AS17" s="1245">
        <v>7.6306717079775615E-3</v>
      </c>
      <c r="AT17" s="1245">
        <v>8.8086014739961731E-3</v>
      </c>
      <c r="AU17" s="1245">
        <v>9.027858199150595E-3</v>
      </c>
      <c r="AV17" s="1245">
        <v>8.1132955488085017E-3</v>
      </c>
      <c r="AW17" s="1245">
        <v>7.4339881667459667E-3</v>
      </c>
      <c r="AX17" s="1245">
        <v>6.0660356602406486E-3</v>
      </c>
      <c r="AY17" s="1245">
        <v>7.3480942539642276E-3</v>
      </c>
      <c r="AZ17" s="1245">
        <v>8.4526212759951057E-3</v>
      </c>
      <c r="BA17" s="1245">
        <v>8.3734577329749506E-3</v>
      </c>
      <c r="BB17" s="1245">
        <v>7.7739755665293042E-3</v>
      </c>
      <c r="BC17" s="1245">
        <v>1.0253698454914816E-2</v>
      </c>
      <c r="BD17" s="1245">
        <v>8.1719077836368628E-3</v>
      </c>
      <c r="BE17" s="1245">
        <v>1.0501113260462873E-2</v>
      </c>
    </row>
    <row r="18" spans="1:57" ht="15.75" x14ac:dyDescent="0.25">
      <c r="A18" s="223" t="s">
        <v>608</v>
      </c>
      <c r="B18" s="223"/>
      <c r="C18" s="268" t="s">
        <v>624</v>
      </c>
      <c r="D18" s="271">
        <v>1</v>
      </c>
      <c r="E18" s="271">
        <v>1</v>
      </c>
      <c r="F18" s="271">
        <v>1</v>
      </c>
      <c r="G18" s="271">
        <v>1</v>
      </c>
      <c r="H18" s="271">
        <v>1</v>
      </c>
      <c r="I18" s="271">
        <v>1.0000000000000002</v>
      </c>
      <c r="J18" s="271">
        <v>1</v>
      </c>
      <c r="K18" s="271">
        <v>1</v>
      </c>
      <c r="L18" s="271">
        <v>1</v>
      </c>
      <c r="M18" s="271">
        <v>0.99999999999999989</v>
      </c>
      <c r="N18" s="271">
        <v>1.0000000000000002</v>
      </c>
      <c r="O18" s="271">
        <v>1</v>
      </c>
      <c r="P18" s="271">
        <v>1</v>
      </c>
      <c r="Q18" s="271">
        <v>0.99999999999999989</v>
      </c>
      <c r="R18" s="271">
        <v>1</v>
      </c>
      <c r="S18" s="271">
        <v>1</v>
      </c>
      <c r="T18" s="271">
        <v>1</v>
      </c>
      <c r="U18" s="271">
        <v>1.0000000000000002</v>
      </c>
      <c r="V18" s="271">
        <v>0.99999999999999989</v>
      </c>
      <c r="W18" s="271">
        <v>1</v>
      </c>
      <c r="X18" s="271">
        <v>1.0000000000000002</v>
      </c>
      <c r="Y18" s="271">
        <v>0.99999999999999989</v>
      </c>
      <c r="Z18" s="271">
        <v>1</v>
      </c>
      <c r="AA18" s="271">
        <v>1.0000000000000002</v>
      </c>
      <c r="AB18" s="271">
        <v>1</v>
      </c>
      <c r="AC18" s="271">
        <v>1</v>
      </c>
      <c r="AD18" s="271">
        <v>1</v>
      </c>
      <c r="AE18" s="271">
        <v>0</v>
      </c>
      <c r="AF18" s="271">
        <v>0</v>
      </c>
      <c r="AG18" s="271">
        <v>0.99999999999999989</v>
      </c>
      <c r="AH18" s="271">
        <v>1</v>
      </c>
      <c r="AI18" s="271">
        <v>1.0000000000000002</v>
      </c>
      <c r="AJ18" s="271">
        <v>0.99999999999999989</v>
      </c>
      <c r="AK18" s="271">
        <v>0.99999999999999989</v>
      </c>
      <c r="AL18" s="271">
        <v>1</v>
      </c>
      <c r="AM18" s="271">
        <v>0.99999999999999989</v>
      </c>
      <c r="AN18" s="271">
        <v>0.99999999999999989</v>
      </c>
      <c r="AO18" s="271">
        <v>1</v>
      </c>
      <c r="AP18" s="271">
        <v>1</v>
      </c>
      <c r="AQ18" s="271">
        <v>1.0000000000000002</v>
      </c>
      <c r="AR18" s="271">
        <v>1</v>
      </c>
      <c r="AS18" s="271">
        <v>1</v>
      </c>
      <c r="AT18" s="271">
        <v>1</v>
      </c>
      <c r="AU18" s="271">
        <v>1</v>
      </c>
      <c r="AV18" s="271">
        <v>1</v>
      </c>
      <c r="AW18" s="271">
        <v>1</v>
      </c>
      <c r="AX18" s="271"/>
      <c r="AY18" s="271">
        <v>1</v>
      </c>
      <c r="AZ18" s="271">
        <v>1</v>
      </c>
      <c r="BA18" s="271">
        <v>1</v>
      </c>
      <c r="BB18" s="271">
        <v>0.99999999999999989</v>
      </c>
      <c r="BC18" s="271">
        <v>0.99999999999999989</v>
      </c>
      <c r="BD18" s="271">
        <v>1</v>
      </c>
      <c r="BE18" s="271">
        <v>1</v>
      </c>
    </row>
    <row r="19" spans="1:57" x14ac:dyDescent="0.25">
      <c r="A19" s="217"/>
      <c r="B19" s="217"/>
      <c r="C19" s="266"/>
      <c r="D19" s="266"/>
      <c r="E19" s="266"/>
      <c r="F19" s="266"/>
      <c r="G19" s="266"/>
      <c r="H19" s="266"/>
      <c r="I19" s="266"/>
      <c r="J19" s="266"/>
      <c r="K19" s="266"/>
      <c r="L19" s="266"/>
      <c r="M19" s="266"/>
      <c r="N19" s="266"/>
      <c r="O19" s="266"/>
      <c r="P19" s="266"/>
      <c r="Q19" s="266"/>
      <c r="R19" s="266"/>
      <c r="S19" s="266"/>
      <c r="T19" s="266"/>
      <c r="U19" s="266"/>
      <c r="V19" s="266"/>
      <c r="W19" s="266"/>
      <c r="X19" s="266"/>
      <c r="Y19" s="266"/>
      <c r="Z19" s="266"/>
      <c r="AA19" s="266"/>
      <c r="AB19" s="266"/>
      <c r="AC19" s="266"/>
      <c r="AD19" s="266"/>
      <c r="AE19" s="266"/>
      <c r="AF19" s="266"/>
      <c r="AG19" s="266"/>
      <c r="AH19" s="266"/>
      <c r="AI19" s="266"/>
      <c r="AJ19" s="266"/>
      <c r="AK19" s="266"/>
      <c r="AL19" s="266"/>
      <c r="AM19" s="266"/>
      <c r="AN19" s="266"/>
      <c r="AO19" s="266"/>
      <c r="AP19" s="266"/>
      <c r="AQ19" s="266"/>
      <c r="AR19" s="266"/>
      <c r="AS19" s="266"/>
      <c r="AT19" s="266"/>
      <c r="AU19" s="266"/>
      <c r="AV19" s="266"/>
      <c r="AW19" s="266"/>
      <c r="AX19" s="266"/>
      <c r="AY19" s="266"/>
      <c r="AZ19" s="266"/>
      <c r="BA19" s="266"/>
      <c r="BB19" s="266"/>
      <c r="BC19" s="266"/>
      <c r="BD19" s="266"/>
      <c r="BE19" s="266"/>
    </row>
    <row r="20" spans="1:57" x14ac:dyDescent="0.25">
      <c r="A20" s="217"/>
      <c r="B20" s="217"/>
      <c r="C20" s="270" t="s">
        <v>1423</v>
      </c>
      <c r="D20" s="266"/>
      <c r="E20" s="266"/>
      <c r="F20" s="266"/>
      <c r="G20" s="266"/>
      <c r="H20" s="266"/>
      <c r="I20" s="271"/>
      <c r="J20" s="266"/>
      <c r="K20" s="266"/>
      <c r="L20" s="266"/>
      <c r="M20" s="266"/>
      <c r="N20" s="266"/>
      <c r="O20" s="266"/>
      <c r="P20" s="266"/>
      <c r="Q20" s="266"/>
      <c r="R20" s="266"/>
      <c r="S20" s="266"/>
      <c r="T20" s="266"/>
      <c r="U20" s="266"/>
      <c r="V20" s="266"/>
      <c r="W20" s="266"/>
      <c r="X20" s="266"/>
      <c r="Y20" s="266"/>
      <c r="Z20" s="266"/>
      <c r="AA20" s="266"/>
      <c r="AB20" s="266"/>
      <c r="AC20" s="266"/>
      <c r="AD20" s="266"/>
      <c r="AE20" s="266"/>
      <c r="AF20" s="266"/>
      <c r="AG20" s="266"/>
      <c r="AH20" s="266"/>
      <c r="AI20" s="266"/>
      <c r="AJ20" s="266"/>
      <c r="AK20" s="266"/>
      <c r="AL20" s="266"/>
      <c r="AM20" s="266"/>
      <c r="AN20" s="266"/>
      <c r="AO20" s="266"/>
      <c r="AP20" s="266"/>
      <c r="AQ20" s="266"/>
      <c r="AR20" s="266"/>
      <c r="AS20" s="266"/>
      <c r="AT20" s="266"/>
      <c r="AU20" s="266"/>
      <c r="AV20" s="266"/>
      <c r="AW20" s="266"/>
      <c r="AX20" s="266"/>
      <c r="AY20" s="266"/>
      <c r="AZ20" s="266"/>
      <c r="BA20" s="266"/>
      <c r="BB20" s="266"/>
      <c r="BC20" s="266"/>
      <c r="BD20" s="266"/>
      <c r="BE20" s="266"/>
    </row>
    <row r="21" spans="1:57" x14ac:dyDescent="0.25">
      <c r="A21" s="217"/>
      <c r="B21" s="217"/>
      <c r="C21" s="270"/>
      <c r="D21" s="266"/>
      <c r="E21" s="266"/>
      <c r="F21" s="266"/>
      <c r="G21" s="266"/>
      <c r="H21" s="266"/>
      <c r="I21" s="266"/>
      <c r="J21" s="266"/>
      <c r="K21" s="266"/>
      <c r="L21" s="266"/>
      <c r="M21" s="266"/>
      <c r="N21" s="266"/>
      <c r="O21" s="266"/>
      <c r="P21" s="266"/>
      <c r="Q21" s="266"/>
      <c r="R21" s="266"/>
      <c r="S21" s="266"/>
      <c r="T21" s="266"/>
      <c r="U21" s="266"/>
      <c r="V21" s="266"/>
      <c r="W21" s="266"/>
      <c r="X21" s="266"/>
      <c r="Y21" s="266"/>
      <c r="Z21" s="266"/>
      <c r="AA21" s="266"/>
      <c r="AB21" s="266"/>
      <c r="AC21" s="266"/>
      <c r="AD21" s="266"/>
      <c r="AE21" s="266"/>
      <c r="AF21" s="266"/>
      <c r="AG21" s="266"/>
      <c r="AH21" s="266"/>
      <c r="AI21" s="266"/>
      <c r="AJ21" s="266"/>
      <c r="AK21" s="266"/>
      <c r="AL21" s="266"/>
      <c r="AM21" s="266"/>
      <c r="AN21" s="266"/>
      <c r="AO21" s="266"/>
      <c r="AP21" s="266"/>
      <c r="AQ21" s="266"/>
      <c r="AR21" s="266"/>
      <c r="AS21" s="266"/>
      <c r="AT21" s="266"/>
      <c r="AU21" s="266"/>
      <c r="AV21" s="266"/>
      <c r="AW21" s="266"/>
      <c r="AX21" s="266"/>
      <c r="AY21" s="266"/>
      <c r="AZ21" s="266"/>
      <c r="BA21" s="266"/>
      <c r="BB21" s="266"/>
      <c r="BC21" s="266"/>
      <c r="BD21" s="266"/>
      <c r="BE21" s="266"/>
    </row>
    <row r="22" spans="1:57" x14ac:dyDescent="0.25">
      <c r="A22" s="217"/>
      <c r="B22" s="217"/>
      <c r="C22" s="272"/>
      <c r="D22" s="266"/>
      <c r="E22" s="266"/>
      <c r="F22" s="266"/>
      <c r="G22" s="266"/>
      <c r="H22" s="266"/>
      <c r="I22" s="266"/>
      <c r="J22" s="266"/>
      <c r="K22" s="266"/>
      <c r="L22" s="266"/>
      <c r="M22" s="266"/>
      <c r="N22" s="266"/>
      <c r="O22" s="266"/>
      <c r="P22" s="266"/>
      <c r="Q22" s="266"/>
      <c r="R22" s="266"/>
      <c r="S22" s="266"/>
      <c r="T22" s="266"/>
      <c r="U22" s="266"/>
      <c r="V22" s="266"/>
      <c r="W22" s="266"/>
      <c r="X22" s="266"/>
      <c r="Y22" s="266"/>
      <c r="Z22" s="266"/>
      <c r="AA22" s="266"/>
      <c r="AB22" s="266"/>
      <c r="AC22" s="266"/>
      <c r="AD22" s="266"/>
      <c r="AE22" s="266"/>
      <c r="AF22" s="266"/>
      <c r="AG22" s="266"/>
      <c r="AH22" s="266"/>
      <c r="AI22" s="266"/>
      <c r="AJ22" s="266"/>
      <c r="AK22" s="266"/>
      <c r="AL22" s="266"/>
      <c r="AM22" s="266"/>
      <c r="AN22" s="266"/>
      <c r="AO22" s="266"/>
      <c r="AP22" s="266"/>
      <c r="AQ22" s="266"/>
      <c r="AR22" s="266"/>
      <c r="AS22" s="266"/>
      <c r="AT22" s="266"/>
      <c r="AU22" s="266"/>
      <c r="AV22" s="266"/>
      <c r="AW22" s="266"/>
      <c r="AX22" s="266"/>
      <c r="AY22" s="266"/>
      <c r="AZ22" s="266"/>
      <c r="BA22" s="266"/>
      <c r="BB22" s="266"/>
      <c r="BC22" s="266"/>
      <c r="BD22" s="266"/>
      <c r="BE22" s="266"/>
    </row>
    <row r="23" spans="1:57" x14ac:dyDescent="0.25">
      <c r="A23" s="217"/>
      <c r="B23" s="217"/>
      <c r="C23" s="266"/>
      <c r="D23" s="266"/>
      <c r="E23" s="266"/>
      <c r="F23" s="266"/>
      <c r="G23" s="266"/>
      <c r="H23" s="266"/>
      <c r="I23" s="266"/>
      <c r="J23" s="266"/>
      <c r="K23" s="266"/>
      <c r="L23" s="266"/>
      <c r="M23" s="266"/>
      <c r="N23" s="266"/>
      <c r="O23" s="266"/>
      <c r="P23" s="266"/>
      <c r="Q23" s="266"/>
      <c r="R23" s="266"/>
      <c r="S23" s="266"/>
      <c r="T23" s="266"/>
      <c r="U23" s="266"/>
      <c r="V23" s="266"/>
      <c r="W23" s="266"/>
      <c r="X23" s="266"/>
      <c r="Y23" s="266"/>
      <c r="Z23" s="266"/>
      <c r="AA23" s="266"/>
      <c r="AB23" s="266"/>
      <c r="AC23" s="266"/>
      <c r="AD23" s="266"/>
      <c r="AE23" s="266"/>
      <c r="AF23" s="266"/>
      <c r="AG23" s="266"/>
      <c r="AH23" s="266"/>
      <c r="AI23" s="266"/>
      <c r="AJ23" s="266"/>
      <c r="AK23" s="266"/>
      <c r="AL23" s="266"/>
      <c r="AM23" s="266"/>
      <c r="AN23" s="266"/>
      <c r="AO23" s="266"/>
      <c r="AP23" s="266"/>
      <c r="AQ23" s="266"/>
      <c r="AR23" s="266"/>
      <c r="AS23" s="266"/>
      <c r="AT23" s="266"/>
      <c r="AU23" s="266"/>
      <c r="AV23" s="266"/>
      <c r="AW23" s="266"/>
      <c r="AX23" s="266"/>
      <c r="AY23" s="266"/>
      <c r="AZ23" s="266"/>
      <c r="BA23" s="266"/>
      <c r="BB23" s="266"/>
      <c r="BC23" s="266"/>
      <c r="BD23" s="266"/>
      <c r="BE23" s="266"/>
    </row>
    <row r="24" spans="1:57" x14ac:dyDescent="0.25">
      <c r="A24" s="217"/>
      <c r="B24" s="217"/>
      <c r="C24" s="266"/>
      <c r="D24" s="266"/>
      <c r="E24" s="266"/>
      <c r="F24" s="266"/>
      <c r="G24" s="266"/>
      <c r="H24" s="266"/>
      <c r="I24" s="266"/>
      <c r="J24" s="266"/>
      <c r="K24" s="266"/>
      <c r="L24" s="266"/>
      <c r="M24" s="266"/>
      <c r="N24" s="266"/>
      <c r="O24" s="266"/>
      <c r="P24" s="266"/>
      <c r="Q24" s="266"/>
      <c r="R24" s="266"/>
      <c r="S24" s="266"/>
      <c r="T24" s="266"/>
      <c r="U24" s="266"/>
      <c r="V24" s="266"/>
      <c r="W24" s="266"/>
      <c r="X24" s="266"/>
      <c r="Y24" s="266"/>
      <c r="Z24" s="266"/>
      <c r="AA24" s="266"/>
      <c r="AB24" s="266"/>
      <c r="AC24" s="266"/>
      <c r="AD24" s="266"/>
      <c r="AE24" s="266"/>
      <c r="AF24" s="266"/>
      <c r="AG24" s="266"/>
      <c r="AH24" s="266"/>
      <c r="AI24" s="266"/>
      <c r="AJ24" s="266"/>
      <c r="AK24" s="266"/>
      <c r="AL24" s="266"/>
      <c r="AM24" s="266"/>
      <c r="AN24" s="266"/>
      <c r="AO24" s="266"/>
      <c r="AP24" s="266"/>
      <c r="AQ24" s="266"/>
      <c r="AR24" s="266"/>
      <c r="AS24" s="266"/>
      <c r="AT24" s="266"/>
      <c r="AU24" s="266"/>
      <c r="AV24" s="266"/>
      <c r="AW24" s="266"/>
      <c r="AX24" s="266"/>
      <c r="AY24" s="266"/>
      <c r="AZ24" s="266"/>
      <c r="BA24" s="266"/>
      <c r="BB24" s="266"/>
      <c r="BC24" s="266"/>
      <c r="BD24" s="266"/>
      <c r="BE24" s="266"/>
    </row>
    <row r="25" spans="1:57" x14ac:dyDescent="0.25">
      <c r="A25" s="217"/>
      <c r="B25" s="217"/>
      <c r="C25" s="266"/>
      <c r="D25" s="266"/>
      <c r="E25" s="266"/>
      <c r="F25" s="266"/>
      <c r="G25" s="266"/>
      <c r="H25" s="266"/>
      <c r="I25" s="266"/>
      <c r="J25" s="266"/>
      <c r="K25" s="266"/>
      <c r="L25" s="266"/>
      <c r="M25" s="266"/>
      <c r="N25" s="266"/>
      <c r="O25" s="266"/>
      <c r="P25" s="266"/>
      <c r="Q25" s="266"/>
      <c r="R25" s="266"/>
      <c r="S25" s="266"/>
      <c r="T25" s="266"/>
      <c r="U25" s="266"/>
      <c r="V25" s="266"/>
      <c r="W25" s="266"/>
      <c r="X25" s="266"/>
      <c r="Y25" s="266"/>
      <c r="Z25" s="266"/>
      <c r="AA25" s="266"/>
      <c r="AB25" s="266"/>
      <c r="AC25" s="266"/>
      <c r="AD25" s="266"/>
      <c r="AE25" s="266"/>
      <c r="AF25" s="266"/>
      <c r="AG25" s="266"/>
      <c r="AH25" s="266"/>
      <c r="AI25" s="266"/>
      <c r="AJ25" s="266"/>
      <c r="AK25" s="266"/>
      <c r="AL25" s="266"/>
      <c r="AM25" s="266"/>
      <c r="AN25" s="266"/>
      <c r="AO25" s="266"/>
      <c r="AP25" s="266"/>
      <c r="AQ25" s="266"/>
      <c r="AR25" s="266"/>
      <c r="AS25" s="266"/>
      <c r="AT25" s="266"/>
      <c r="AU25" s="266"/>
      <c r="AV25" s="266"/>
      <c r="AW25" s="266"/>
      <c r="AX25" s="266"/>
      <c r="AY25" s="266"/>
      <c r="AZ25" s="266"/>
      <c r="BA25" s="266"/>
      <c r="BB25" s="266"/>
      <c r="BC25" s="266"/>
      <c r="BD25" s="266"/>
      <c r="BE25" s="266"/>
    </row>
    <row r="26" spans="1:57" x14ac:dyDescent="0.25">
      <c r="A26" s="217"/>
      <c r="B26" s="217"/>
      <c r="C26" s="266"/>
      <c r="D26" s="266"/>
      <c r="E26" s="266"/>
      <c r="F26" s="266"/>
      <c r="G26" s="266"/>
      <c r="H26" s="266"/>
      <c r="I26" s="266"/>
      <c r="J26" s="266"/>
      <c r="K26" s="266"/>
      <c r="L26" s="266"/>
      <c r="M26" s="266"/>
      <c r="N26" s="266"/>
      <c r="O26" s="266"/>
      <c r="P26" s="266"/>
      <c r="Q26" s="266"/>
      <c r="R26" s="266"/>
      <c r="S26" s="266"/>
      <c r="T26" s="266"/>
      <c r="U26" s="266"/>
      <c r="V26" s="266"/>
      <c r="W26" s="266"/>
      <c r="X26" s="266"/>
      <c r="Y26" s="266"/>
      <c r="Z26" s="266"/>
      <c r="AA26" s="266"/>
      <c r="AB26" s="266"/>
      <c r="AC26" s="266"/>
      <c r="AD26" s="266"/>
      <c r="AE26" s="266"/>
      <c r="AF26" s="266"/>
      <c r="AG26" s="266"/>
      <c r="AH26" s="266"/>
      <c r="AI26" s="266"/>
      <c r="AJ26" s="266"/>
      <c r="AK26" s="266"/>
      <c r="AL26" s="266"/>
      <c r="AM26" s="266"/>
      <c r="AN26" s="266"/>
      <c r="AO26" s="266"/>
      <c r="AP26" s="266"/>
      <c r="AQ26" s="266"/>
      <c r="AR26" s="266"/>
      <c r="AS26" s="266"/>
      <c r="AT26" s="266"/>
      <c r="AU26" s="266"/>
      <c r="AV26" s="266"/>
      <c r="AW26" s="266"/>
      <c r="AX26" s="266"/>
      <c r="AY26" s="266"/>
      <c r="AZ26" s="266"/>
      <c r="BA26" s="266"/>
      <c r="BB26" s="266"/>
      <c r="BC26" s="266"/>
      <c r="BD26" s="266"/>
      <c r="BE26" s="266"/>
    </row>
    <row r="27" spans="1:57" x14ac:dyDescent="0.25">
      <c r="A27" s="217"/>
      <c r="B27" s="217"/>
      <c r="C27" s="266"/>
      <c r="D27" s="266"/>
      <c r="E27" s="266"/>
      <c r="F27" s="266"/>
      <c r="G27" s="266"/>
      <c r="H27" s="266"/>
      <c r="I27" s="266"/>
      <c r="J27" s="266"/>
      <c r="K27" s="266"/>
      <c r="L27" s="266"/>
      <c r="M27" s="266"/>
      <c r="N27" s="266"/>
      <c r="O27" s="266"/>
      <c r="P27" s="266"/>
      <c r="Q27" s="266"/>
      <c r="R27" s="266"/>
      <c r="S27" s="266"/>
      <c r="T27" s="266"/>
      <c r="U27" s="266"/>
      <c r="V27" s="266"/>
      <c r="W27" s="266"/>
      <c r="X27" s="266"/>
      <c r="Y27" s="266"/>
      <c r="Z27" s="266"/>
      <c r="AA27" s="266"/>
      <c r="AB27" s="266"/>
      <c r="AC27" s="266"/>
      <c r="AD27" s="266"/>
      <c r="AE27" s="266"/>
      <c r="AF27" s="266"/>
      <c r="AG27" s="266"/>
      <c r="AH27" s="266"/>
      <c r="AI27" s="266"/>
      <c r="AJ27" s="266"/>
      <c r="AK27" s="266"/>
      <c r="AL27" s="266"/>
      <c r="AM27" s="266"/>
      <c r="AN27" s="266"/>
      <c r="AO27" s="266"/>
      <c r="AP27" s="266"/>
      <c r="AQ27" s="266"/>
      <c r="AR27" s="266"/>
      <c r="AS27" s="266"/>
      <c r="AT27" s="266"/>
      <c r="AU27" s="266"/>
      <c r="AV27" s="266"/>
      <c r="AW27" s="266"/>
      <c r="AX27" s="266"/>
      <c r="AY27" s="266"/>
      <c r="AZ27" s="266"/>
      <c r="BA27" s="266"/>
      <c r="BB27" s="266"/>
      <c r="BC27" s="266"/>
      <c r="BD27" s="266"/>
      <c r="BE27" s="266"/>
    </row>
    <row r="28" spans="1:57" x14ac:dyDescent="0.25">
      <c r="A28" s="217"/>
      <c r="B28" s="217"/>
      <c r="C28" s="266"/>
      <c r="D28" s="266"/>
      <c r="E28" s="266"/>
      <c r="F28" s="266"/>
      <c r="G28" s="266"/>
      <c r="H28" s="266"/>
      <c r="I28" s="266"/>
      <c r="J28" s="266"/>
      <c r="K28" s="266"/>
      <c r="L28" s="266"/>
      <c r="M28" s="266"/>
      <c r="N28" s="266"/>
      <c r="O28" s="266"/>
      <c r="P28" s="266"/>
      <c r="Q28" s="266"/>
      <c r="R28" s="266"/>
      <c r="S28" s="266"/>
      <c r="T28" s="266"/>
      <c r="U28" s="266"/>
      <c r="V28" s="266"/>
      <c r="W28" s="266"/>
      <c r="X28" s="266"/>
      <c r="Y28" s="266"/>
      <c r="Z28" s="266"/>
      <c r="AA28" s="266"/>
      <c r="AB28" s="266"/>
      <c r="AC28" s="266"/>
      <c r="AD28" s="266"/>
      <c r="AE28" s="266"/>
      <c r="AF28" s="266"/>
      <c r="AG28" s="266"/>
      <c r="AH28" s="266"/>
      <c r="AI28" s="266"/>
      <c r="AJ28" s="266"/>
      <c r="AK28" s="266"/>
      <c r="AL28" s="266"/>
      <c r="AM28" s="266"/>
      <c r="AN28" s="266"/>
      <c r="AO28" s="266"/>
      <c r="AP28" s="266"/>
      <c r="AQ28" s="266"/>
      <c r="AR28" s="266"/>
      <c r="AS28" s="266"/>
      <c r="AT28" s="266"/>
      <c r="AU28" s="266"/>
      <c r="AV28" s="266"/>
      <c r="AW28" s="266"/>
      <c r="AX28" s="266"/>
      <c r="AY28" s="266"/>
      <c r="AZ28" s="266"/>
      <c r="BA28" s="266"/>
      <c r="BB28" s="266"/>
      <c r="BC28" s="266"/>
      <c r="BD28" s="266"/>
      <c r="BE28" s="266"/>
    </row>
    <row r="29" spans="1:57" x14ac:dyDescent="0.25">
      <c r="A29" s="217"/>
      <c r="B29" s="217"/>
      <c r="C29" s="266"/>
      <c r="D29" s="266"/>
      <c r="E29" s="266"/>
      <c r="F29" s="266"/>
      <c r="G29" s="266"/>
      <c r="H29" s="266"/>
      <c r="I29" s="266"/>
      <c r="J29" s="266"/>
      <c r="K29" s="266"/>
      <c r="L29" s="266"/>
      <c r="M29" s="266"/>
      <c r="N29" s="266"/>
      <c r="O29" s="266"/>
      <c r="P29" s="266"/>
      <c r="Q29" s="266"/>
      <c r="R29" s="266"/>
      <c r="S29" s="266"/>
      <c r="T29" s="266"/>
      <c r="U29" s="266"/>
      <c r="V29" s="266"/>
      <c r="W29" s="266"/>
      <c r="X29" s="266"/>
      <c r="Y29" s="266"/>
      <c r="Z29" s="266"/>
      <c r="AA29" s="266"/>
      <c r="AB29" s="266"/>
      <c r="AC29" s="266"/>
      <c r="AD29" s="266"/>
      <c r="AE29" s="266"/>
      <c r="AF29" s="266"/>
      <c r="AG29" s="266"/>
      <c r="AH29" s="266"/>
      <c r="AI29" s="266"/>
      <c r="AJ29" s="266"/>
      <c r="AK29" s="266"/>
      <c r="AL29" s="266"/>
      <c r="AM29" s="266"/>
      <c r="AN29" s="266"/>
      <c r="AO29" s="266"/>
      <c r="AP29" s="266"/>
      <c r="AQ29" s="266"/>
      <c r="AR29" s="266"/>
      <c r="AS29" s="266"/>
      <c r="AT29" s="266"/>
      <c r="AU29" s="266"/>
      <c r="AV29" s="266"/>
      <c r="AW29" s="266"/>
      <c r="AX29" s="266"/>
      <c r="AY29" s="266"/>
      <c r="AZ29" s="266"/>
      <c r="BA29" s="266"/>
      <c r="BB29" s="266"/>
      <c r="BC29" s="266"/>
      <c r="BD29" s="266"/>
      <c r="BE29" s="266"/>
    </row>
    <row r="30" spans="1:57" x14ac:dyDescent="0.25">
      <c r="A30" s="217"/>
      <c r="B30" s="217"/>
      <c r="C30" s="266"/>
      <c r="D30" s="266"/>
      <c r="E30" s="266"/>
      <c r="F30" s="266"/>
      <c r="G30" s="266"/>
      <c r="H30" s="266"/>
      <c r="I30" s="266"/>
      <c r="J30" s="266"/>
      <c r="K30" s="266"/>
      <c r="L30" s="266"/>
      <c r="M30" s="266"/>
      <c r="N30" s="266"/>
      <c r="O30" s="266"/>
      <c r="P30" s="266"/>
      <c r="Q30" s="266"/>
      <c r="R30" s="266"/>
      <c r="S30" s="266"/>
      <c r="T30" s="266"/>
      <c r="U30" s="266"/>
      <c r="V30" s="266"/>
      <c r="W30" s="266"/>
      <c r="X30" s="266"/>
      <c r="Y30" s="266"/>
      <c r="Z30" s="266"/>
      <c r="AA30" s="266"/>
      <c r="AB30" s="266"/>
      <c r="AC30" s="266"/>
      <c r="AD30" s="266"/>
      <c r="AE30" s="266"/>
      <c r="AF30" s="266"/>
      <c r="AG30" s="266"/>
      <c r="AH30" s="266"/>
      <c r="AI30" s="266"/>
      <c r="AJ30" s="266"/>
      <c r="AK30" s="266"/>
      <c r="AL30" s="266"/>
      <c r="AM30" s="266"/>
      <c r="AN30" s="266"/>
      <c r="AO30" s="266"/>
      <c r="AP30" s="266"/>
      <c r="AQ30" s="266"/>
      <c r="AR30" s="266"/>
      <c r="AS30" s="266"/>
      <c r="AT30" s="266"/>
      <c r="AU30" s="266"/>
      <c r="AV30" s="266"/>
      <c r="AW30" s="266"/>
      <c r="AX30" s="266"/>
      <c r="AY30" s="266"/>
      <c r="AZ30" s="266"/>
      <c r="BA30" s="266"/>
      <c r="BB30" s="266"/>
      <c r="BC30" s="266"/>
      <c r="BD30" s="266"/>
      <c r="BE30" s="266"/>
    </row>
    <row r="31" spans="1:57" x14ac:dyDescent="0.25">
      <c r="A31" s="217"/>
      <c r="B31" s="217"/>
      <c r="C31" s="266"/>
      <c r="D31" s="266"/>
      <c r="E31" s="266"/>
      <c r="F31" s="266"/>
      <c r="G31" s="266"/>
      <c r="H31" s="266"/>
      <c r="I31" s="266"/>
      <c r="J31" s="266"/>
      <c r="K31" s="266"/>
      <c r="L31" s="266"/>
      <c r="M31" s="266"/>
      <c r="N31" s="266"/>
      <c r="O31" s="266"/>
      <c r="P31" s="266"/>
      <c r="Q31" s="266"/>
      <c r="R31" s="266"/>
      <c r="S31" s="266"/>
      <c r="T31" s="266"/>
      <c r="U31" s="266"/>
      <c r="V31" s="266"/>
      <c r="W31" s="266"/>
      <c r="X31" s="266"/>
      <c r="Y31" s="266"/>
      <c r="Z31" s="266"/>
      <c r="AA31" s="266"/>
      <c r="AB31" s="266"/>
      <c r="AC31" s="266"/>
      <c r="AD31" s="266"/>
      <c r="AE31" s="266"/>
      <c r="AF31" s="266"/>
      <c r="AG31" s="266"/>
      <c r="AH31" s="266"/>
      <c r="AI31" s="266"/>
      <c r="AJ31" s="266"/>
      <c r="AK31" s="266"/>
      <c r="AL31" s="266"/>
      <c r="AM31" s="266"/>
      <c r="AN31" s="266"/>
      <c r="AO31" s="266"/>
      <c r="AP31" s="266"/>
      <c r="AQ31" s="266"/>
      <c r="AR31" s="266"/>
      <c r="AS31" s="266"/>
      <c r="AT31" s="266"/>
      <c r="AU31" s="266"/>
      <c r="AV31" s="266"/>
      <c r="AW31" s="266"/>
      <c r="AX31" s="266"/>
      <c r="AY31" s="266"/>
      <c r="AZ31" s="266"/>
      <c r="BA31" s="266"/>
      <c r="BB31" s="266"/>
      <c r="BC31" s="266"/>
      <c r="BD31" s="266"/>
      <c r="BE31" s="266"/>
    </row>
    <row r="32" spans="1:57" x14ac:dyDescent="0.25">
      <c r="A32" s="217"/>
      <c r="B32" s="217"/>
      <c r="C32" s="266"/>
      <c r="D32" s="266"/>
      <c r="E32" s="266"/>
      <c r="F32" s="266"/>
      <c r="G32" s="266"/>
      <c r="H32" s="266"/>
      <c r="I32" s="266"/>
      <c r="J32" s="266"/>
      <c r="K32" s="266"/>
      <c r="L32" s="266"/>
      <c r="M32" s="266"/>
      <c r="N32" s="266"/>
      <c r="O32" s="266"/>
      <c r="P32" s="266"/>
      <c r="Q32" s="266"/>
      <c r="R32" s="266"/>
      <c r="S32" s="266"/>
      <c r="T32" s="266"/>
      <c r="U32" s="266"/>
      <c r="V32" s="266"/>
      <c r="W32" s="266"/>
      <c r="X32" s="266"/>
      <c r="Y32" s="266"/>
      <c r="Z32" s="266"/>
      <c r="AA32" s="266"/>
      <c r="AB32" s="266"/>
      <c r="AC32" s="266"/>
      <c r="AD32" s="266"/>
      <c r="AE32" s="266"/>
      <c r="AF32" s="266"/>
      <c r="AG32" s="266"/>
      <c r="AH32" s="266"/>
      <c r="AI32" s="266"/>
      <c r="AJ32" s="266"/>
      <c r="AK32" s="266"/>
      <c r="AL32" s="266"/>
      <c r="AM32" s="266"/>
      <c r="AN32" s="266"/>
      <c r="AO32" s="266"/>
      <c r="AP32" s="266"/>
      <c r="AQ32" s="266"/>
      <c r="AR32" s="266"/>
      <c r="AS32" s="266"/>
      <c r="AT32" s="266"/>
      <c r="AU32" s="266"/>
      <c r="AV32" s="266"/>
      <c r="AW32" s="266"/>
      <c r="AX32" s="266"/>
      <c r="AY32" s="266"/>
      <c r="AZ32" s="266"/>
      <c r="BA32" s="266"/>
      <c r="BB32" s="266"/>
      <c r="BC32" s="266"/>
      <c r="BD32" s="266"/>
      <c r="BE32" s="266"/>
    </row>
    <row r="33" spans="1:57" x14ac:dyDescent="0.25">
      <c r="A33" s="217"/>
      <c r="B33" s="217"/>
      <c r="C33" s="266"/>
      <c r="D33" s="266"/>
      <c r="E33" s="266"/>
      <c r="F33" s="266"/>
      <c r="G33" s="266"/>
      <c r="H33" s="266"/>
      <c r="I33" s="266"/>
      <c r="J33" s="266"/>
      <c r="K33" s="266"/>
      <c r="L33" s="266"/>
      <c r="M33" s="266"/>
      <c r="N33" s="266"/>
      <c r="O33" s="266"/>
      <c r="P33" s="266"/>
      <c r="Q33" s="266"/>
      <c r="R33" s="266"/>
      <c r="S33" s="266"/>
      <c r="T33" s="266"/>
      <c r="U33" s="266"/>
      <c r="V33" s="266"/>
      <c r="W33" s="266"/>
      <c r="X33" s="266"/>
      <c r="Y33" s="266"/>
      <c r="Z33" s="266"/>
      <c r="AA33" s="266"/>
      <c r="AB33" s="266"/>
      <c r="AC33" s="266"/>
      <c r="AD33" s="266"/>
      <c r="AE33" s="266"/>
      <c r="AF33" s="266"/>
      <c r="AG33" s="266"/>
      <c r="AH33" s="266"/>
      <c r="AI33" s="266"/>
      <c r="AJ33" s="266"/>
      <c r="AK33" s="266"/>
      <c r="AL33" s="266"/>
      <c r="AM33" s="266"/>
      <c r="AN33" s="266"/>
      <c r="AO33" s="266"/>
      <c r="AP33" s="266"/>
      <c r="AQ33" s="266"/>
      <c r="AR33" s="266"/>
      <c r="AS33" s="266"/>
      <c r="AT33" s="266"/>
      <c r="AU33" s="266"/>
      <c r="AV33" s="266"/>
      <c r="AW33" s="266"/>
      <c r="AX33" s="266"/>
      <c r="AY33" s="266"/>
      <c r="AZ33" s="266"/>
      <c r="BA33" s="266"/>
      <c r="BB33" s="266"/>
      <c r="BC33" s="266"/>
      <c r="BD33" s="266"/>
      <c r="BE33" s="266"/>
    </row>
    <row r="34" spans="1:57" x14ac:dyDescent="0.25">
      <c r="A34" s="217"/>
      <c r="B34" s="217"/>
      <c r="C34" s="266"/>
      <c r="D34" s="266"/>
      <c r="E34" s="266"/>
      <c r="F34" s="266"/>
      <c r="G34" s="266"/>
      <c r="H34" s="266"/>
      <c r="I34" s="266"/>
      <c r="J34" s="266"/>
      <c r="K34" s="266"/>
      <c r="L34" s="266"/>
      <c r="M34" s="266"/>
      <c r="N34" s="266"/>
      <c r="O34" s="266"/>
      <c r="P34" s="266"/>
      <c r="Q34" s="266"/>
      <c r="R34" s="266"/>
      <c r="S34" s="266"/>
      <c r="T34" s="266"/>
      <c r="U34" s="266"/>
      <c r="V34" s="266"/>
      <c r="W34" s="266"/>
      <c r="X34" s="266"/>
      <c r="Y34" s="266"/>
      <c r="Z34" s="266"/>
      <c r="AA34" s="266"/>
      <c r="AB34" s="266"/>
      <c r="AC34" s="266"/>
      <c r="AD34" s="266"/>
      <c r="AE34" s="266"/>
      <c r="AF34" s="266"/>
      <c r="AG34" s="266"/>
      <c r="AH34" s="266"/>
      <c r="AI34" s="266"/>
      <c r="AJ34" s="266"/>
      <c r="AK34" s="266"/>
      <c r="AL34" s="266"/>
      <c r="AM34" s="266"/>
      <c r="AN34" s="266"/>
      <c r="AO34" s="266"/>
      <c r="AP34" s="266"/>
      <c r="AQ34" s="266"/>
      <c r="AR34" s="266"/>
      <c r="AS34" s="266"/>
      <c r="AT34" s="266"/>
      <c r="AU34" s="266"/>
      <c r="AV34" s="266"/>
      <c r="AW34" s="266"/>
      <c r="AX34" s="266"/>
      <c r="AY34" s="266"/>
      <c r="AZ34" s="266"/>
      <c r="BA34" s="266"/>
      <c r="BB34" s="266"/>
      <c r="BC34" s="266"/>
      <c r="BD34" s="266"/>
      <c r="BE34" s="266"/>
    </row>
    <row r="35" spans="1:57" x14ac:dyDescent="0.25">
      <c r="A35" s="217"/>
      <c r="B35" s="217"/>
      <c r="C35" s="266"/>
      <c r="D35" s="266"/>
      <c r="E35" s="266"/>
      <c r="F35" s="266"/>
      <c r="G35" s="266"/>
      <c r="H35" s="266"/>
      <c r="I35" s="266"/>
      <c r="J35" s="266"/>
      <c r="K35" s="266"/>
      <c r="L35" s="266"/>
      <c r="M35" s="266"/>
      <c r="N35" s="266"/>
      <c r="O35" s="266"/>
      <c r="P35" s="266"/>
      <c r="Q35" s="266"/>
      <c r="R35" s="266"/>
      <c r="S35" s="266"/>
      <c r="T35" s="266"/>
      <c r="U35" s="266"/>
      <c r="V35" s="266"/>
      <c r="W35" s="266"/>
      <c r="X35" s="266"/>
      <c r="Y35" s="266"/>
      <c r="Z35" s="266"/>
      <c r="AA35" s="266"/>
      <c r="AB35" s="266"/>
      <c r="AC35" s="266"/>
      <c r="AD35" s="266"/>
      <c r="AE35" s="266"/>
      <c r="AF35" s="266"/>
      <c r="AG35" s="266"/>
      <c r="AH35" s="266"/>
      <c r="AI35" s="266"/>
      <c r="AJ35" s="266"/>
      <c r="AK35" s="266"/>
      <c r="AL35" s="266"/>
      <c r="AM35" s="266"/>
      <c r="AN35" s="266"/>
      <c r="AO35" s="266"/>
      <c r="AP35" s="266"/>
      <c r="AQ35" s="266"/>
      <c r="AR35" s="266"/>
      <c r="AS35" s="266"/>
      <c r="AT35" s="266"/>
      <c r="AU35" s="266"/>
      <c r="AV35" s="266"/>
      <c r="AW35" s="266"/>
      <c r="AX35" s="266"/>
      <c r="AY35" s="266"/>
      <c r="AZ35" s="266"/>
      <c r="BA35" s="266"/>
      <c r="BB35" s="266"/>
      <c r="BC35" s="266"/>
      <c r="BD35" s="266"/>
      <c r="BE35" s="266"/>
    </row>
    <row r="36" spans="1:57" x14ac:dyDescent="0.25">
      <c r="A36" s="217"/>
      <c r="B36" s="217"/>
      <c r="C36" s="266"/>
      <c r="D36" s="266"/>
      <c r="E36" s="266"/>
      <c r="F36" s="266"/>
      <c r="G36" s="266"/>
      <c r="H36" s="266"/>
      <c r="I36" s="266"/>
      <c r="J36" s="266"/>
      <c r="K36" s="266"/>
      <c r="L36" s="266"/>
      <c r="M36" s="266"/>
      <c r="N36" s="266"/>
      <c r="O36" s="266"/>
      <c r="P36" s="266"/>
      <c r="Q36" s="266"/>
      <c r="R36" s="266"/>
      <c r="S36" s="266"/>
      <c r="T36" s="266"/>
      <c r="U36" s="266"/>
      <c r="V36" s="266"/>
      <c r="W36" s="266"/>
      <c r="X36" s="266"/>
      <c r="Y36" s="266"/>
      <c r="Z36" s="266"/>
      <c r="AA36" s="266"/>
      <c r="AB36" s="266"/>
      <c r="AC36" s="266"/>
      <c r="AD36" s="266"/>
      <c r="AE36" s="266"/>
      <c r="AF36" s="266"/>
      <c r="AG36" s="266"/>
      <c r="AH36" s="266"/>
      <c r="AI36" s="266"/>
      <c r="AJ36" s="266"/>
      <c r="AK36" s="266"/>
      <c r="AL36" s="266"/>
      <c r="AM36" s="266"/>
      <c r="AN36" s="266"/>
      <c r="AO36" s="266"/>
      <c r="AP36" s="266"/>
      <c r="AQ36" s="266"/>
      <c r="AR36" s="266"/>
      <c r="AS36" s="266"/>
      <c r="AT36" s="266"/>
      <c r="AU36" s="266"/>
      <c r="AV36" s="266"/>
      <c r="AW36" s="266"/>
      <c r="AX36" s="266"/>
      <c r="AY36" s="266"/>
      <c r="AZ36" s="266"/>
      <c r="BA36" s="266"/>
      <c r="BB36" s="266"/>
      <c r="BC36" s="266"/>
      <c r="BD36" s="266"/>
      <c r="BE36" s="266"/>
    </row>
    <row r="37" spans="1:57" x14ac:dyDescent="0.25">
      <c r="A37" s="217"/>
      <c r="B37" s="217"/>
      <c r="C37" s="266"/>
      <c r="D37" s="266"/>
      <c r="E37" s="266"/>
      <c r="F37" s="266"/>
      <c r="G37" s="266"/>
      <c r="H37" s="266"/>
      <c r="I37" s="266"/>
      <c r="J37" s="266"/>
      <c r="K37" s="266"/>
      <c r="L37" s="266"/>
      <c r="M37" s="266"/>
      <c r="N37" s="266"/>
      <c r="O37" s="266"/>
      <c r="P37" s="266"/>
      <c r="Q37" s="266"/>
      <c r="R37" s="266"/>
      <c r="S37" s="266"/>
      <c r="T37" s="266"/>
      <c r="U37" s="266"/>
      <c r="V37" s="266"/>
      <c r="W37" s="266"/>
      <c r="X37" s="266"/>
      <c r="Y37" s="266"/>
      <c r="Z37" s="266"/>
      <c r="AA37" s="266"/>
      <c r="AB37" s="266"/>
      <c r="AC37" s="266"/>
      <c r="AD37" s="266"/>
      <c r="AE37" s="266"/>
      <c r="AF37" s="266"/>
      <c r="AG37" s="266"/>
      <c r="AH37" s="266"/>
      <c r="AI37" s="266"/>
      <c r="AJ37" s="266"/>
      <c r="AK37" s="266"/>
      <c r="AL37" s="266"/>
      <c r="AM37" s="266"/>
      <c r="AN37" s="266"/>
      <c r="AO37" s="266"/>
      <c r="AP37" s="266"/>
      <c r="AQ37" s="266"/>
      <c r="AR37" s="266"/>
      <c r="AS37" s="266"/>
      <c r="AT37" s="266"/>
      <c r="AU37" s="266"/>
      <c r="AV37" s="266"/>
      <c r="AW37" s="266"/>
      <c r="AX37" s="266"/>
      <c r="AY37" s="266"/>
      <c r="AZ37" s="266"/>
      <c r="BA37" s="266"/>
      <c r="BB37" s="266"/>
      <c r="BC37" s="266"/>
      <c r="BD37" s="266"/>
      <c r="BE37" s="266"/>
    </row>
    <row r="38" spans="1:57" x14ac:dyDescent="0.25">
      <c r="A38" s="217"/>
      <c r="B38" s="217"/>
      <c r="C38" s="266"/>
      <c r="D38" s="266"/>
      <c r="E38" s="266"/>
      <c r="F38" s="266"/>
      <c r="G38" s="266"/>
      <c r="H38" s="266"/>
      <c r="I38" s="266"/>
      <c r="J38" s="266"/>
      <c r="K38" s="266"/>
      <c r="L38" s="266"/>
      <c r="M38" s="266"/>
      <c r="N38" s="266"/>
      <c r="O38" s="266"/>
      <c r="P38" s="266"/>
      <c r="Q38" s="266"/>
      <c r="R38" s="266"/>
      <c r="S38" s="266"/>
      <c r="T38" s="266"/>
      <c r="U38" s="266"/>
      <c r="V38" s="266"/>
      <c r="W38" s="266"/>
      <c r="X38" s="266"/>
      <c r="Y38" s="266"/>
      <c r="Z38" s="266"/>
      <c r="AA38" s="266"/>
      <c r="AB38" s="266"/>
      <c r="AC38" s="266"/>
      <c r="AD38" s="266"/>
      <c r="AE38" s="266"/>
      <c r="AF38" s="266"/>
      <c r="AG38" s="266"/>
      <c r="AH38" s="266"/>
      <c r="AI38" s="266"/>
      <c r="AJ38" s="266"/>
      <c r="AK38" s="266"/>
      <c r="AL38" s="266"/>
      <c r="AM38" s="266"/>
      <c r="AN38" s="266"/>
      <c r="AO38" s="266"/>
      <c r="AP38" s="266"/>
      <c r="AQ38" s="266"/>
      <c r="AR38" s="266"/>
      <c r="AS38" s="266"/>
      <c r="AT38" s="266"/>
      <c r="AU38" s="266"/>
      <c r="AV38" s="266"/>
      <c r="AW38" s="266"/>
      <c r="AX38" s="266"/>
      <c r="AY38" s="266"/>
      <c r="AZ38" s="266"/>
      <c r="BA38" s="266"/>
      <c r="BB38" s="266"/>
      <c r="BC38" s="266"/>
      <c r="BD38" s="266"/>
      <c r="BE38" s="266"/>
    </row>
    <row r="39" spans="1:57" x14ac:dyDescent="0.25">
      <c r="A39" s="217"/>
      <c r="B39" s="217"/>
      <c r="C39" s="266"/>
      <c r="D39" s="266"/>
      <c r="E39" s="266"/>
      <c r="F39" s="266"/>
      <c r="G39" s="266"/>
      <c r="H39" s="266"/>
      <c r="I39" s="266"/>
      <c r="J39" s="266"/>
      <c r="K39" s="266"/>
      <c r="L39" s="266"/>
      <c r="M39" s="266"/>
      <c r="N39" s="266"/>
      <c r="O39" s="266"/>
      <c r="P39" s="266"/>
      <c r="Q39" s="266"/>
      <c r="R39" s="266"/>
      <c r="S39" s="266"/>
      <c r="T39" s="266"/>
      <c r="U39" s="266"/>
      <c r="V39" s="266"/>
      <c r="W39" s="266"/>
      <c r="X39" s="266"/>
      <c r="Y39" s="266"/>
      <c r="Z39" s="266"/>
      <c r="AA39" s="266"/>
      <c r="AB39" s="266"/>
      <c r="AC39" s="266"/>
      <c r="AD39" s="266"/>
      <c r="AE39" s="266"/>
      <c r="AF39" s="266"/>
      <c r="AG39" s="266"/>
      <c r="AH39" s="266"/>
      <c r="AI39" s="266"/>
      <c r="AJ39" s="266"/>
      <c r="AK39" s="266"/>
      <c r="AL39" s="266"/>
      <c r="AM39" s="266"/>
      <c r="AN39" s="266"/>
      <c r="AO39" s="266"/>
      <c r="AP39" s="266"/>
      <c r="AQ39" s="266"/>
      <c r="AR39" s="266"/>
      <c r="AS39" s="266"/>
      <c r="AT39" s="266"/>
      <c r="AU39" s="266"/>
      <c r="AV39" s="266"/>
      <c r="AW39" s="266"/>
      <c r="AX39" s="266"/>
      <c r="AY39" s="266"/>
      <c r="AZ39" s="266"/>
      <c r="BA39" s="266"/>
      <c r="BB39" s="266"/>
      <c r="BC39" s="266"/>
      <c r="BD39" s="266"/>
      <c r="BE39" s="266"/>
    </row>
    <row r="40" spans="1:57" x14ac:dyDescent="0.25">
      <c r="A40" s="217"/>
      <c r="B40" s="217"/>
      <c r="C40" s="266"/>
      <c r="D40" s="266"/>
      <c r="E40" s="266"/>
      <c r="F40" s="266"/>
      <c r="G40" s="266"/>
      <c r="H40" s="266"/>
      <c r="I40" s="266"/>
      <c r="J40" s="266"/>
      <c r="K40" s="266"/>
      <c r="L40" s="266"/>
      <c r="M40" s="266"/>
      <c r="N40" s="266"/>
      <c r="O40" s="266"/>
      <c r="P40" s="266"/>
      <c r="Q40" s="266"/>
      <c r="R40" s="266"/>
      <c r="S40" s="266"/>
      <c r="T40" s="266"/>
      <c r="U40" s="266"/>
      <c r="V40" s="266"/>
      <c r="W40" s="266"/>
      <c r="X40" s="266"/>
      <c r="Y40" s="266"/>
      <c r="Z40" s="266"/>
      <c r="AA40" s="266"/>
      <c r="AB40" s="266"/>
      <c r="AC40" s="266"/>
      <c r="AD40" s="266"/>
      <c r="AE40" s="266"/>
      <c r="AF40" s="266"/>
      <c r="AG40" s="266"/>
      <c r="AH40" s="266"/>
      <c r="AI40" s="266"/>
      <c r="AJ40" s="266"/>
      <c r="AK40" s="266"/>
      <c r="AL40" s="266"/>
      <c r="AM40" s="266"/>
      <c r="AN40" s="266"/>
      <c r="AO40" s="266"/>
      <c r="AP40" s="266"/>
      <c r="AQ40" s="266"/>
      <c r="AR40" s="266"/>
      <c r="AS40" s="266"/>
      <c r="AT40" s="266"/>
      <c r="AU40" s="266"/>
      <c r="AV40" s="266"/>
      <c r="AW40" s="266"/>
      <c r="AX40" s="266"/>
      <c r="AY40" s="266"/>
      <c r="AZ40" s="266"/>
      <c r="BA40" s="266"/>
      <c r="BB40" s="266"/>
      <c r="BC40" s="266"/>
      <c r="BD40" s="266"/>
      <c r="BE40" s="266"/>
    </row>
    <row r="41" spans="1:57" x14ac:dyDescent="0.25">
      <c r="A41" s="217"/>
      <c r="B41" s="217"/>
      <c r="C41" s="266"/>
      <c r="D41" s="266"/>
      <c r="E41" s="266"/>
      <c r="F41" s="266"/>
      <c r="G41" s="266"/>
      <c r="H41" s="266"/>
      <c r="I41" s="266"/>
      <c r="J41" s="266"/>
      <c r="K41" s="266"/>
      <c r="L41" s="266"/>
      <c r="M41" s="266"/>
      <c r="N41" s="266"/>
      <c r="O41" s="266"/>
      <c r="P41" s="266"/>
      <c r="Q41" s="266"/>
      <c r="R41" s="266"/>
      <c r="S41" s="266"/>
      <c r="T41" s="266"/>
      <c r="U41" s="266"/>
      <c r="V41" s="266"/>
      <c r="W41" s="266"/>
      <c r="X41" s="266"/>
      <c r="Y41" s="266"/>
      <c r="Z41" s="266"/>
      <c r="AA41" s="266"/>
      <c r="AB41" s="266"/>
      <c r="AC41" s="266"/>
      <c r="AD41" s="266"/>
      <c r="AE41" s="266"/>
      <c r="AF41" s="266"/>
      <c r="AG41" s="266"/>
      <c r="AH41" s="266"/>
      <c r="AI41" s="266"/>
      <c r="AJ41" s="266"/>
      <c r="AK41" s="266"/>
      <c r="AL41" s="266"/>
      <c r="AM41" s="266"/>
      <c r="AN41" s="266"/>
      <c r="AO41" s="266"/>
      <c r="AP41" s="266"/>
      <c r="AQ41" s="266"/>
      <c r="AR41" s="266"/>
      <c r="AS41" s="266"/>
      <c r="AT41" s="266"/>
      <c r="AU41" s="266"/>
      <c r="AV41" s="266"/>
      <c r="AW41" s="266"/>
      <c r="AX41" s="266"/>
      <c r="AY41" s="266"/>
      <c r="AZ41" s="266"/>
      <c r="BA41" s="266"/>
      <c r="BB41" s="266"/>
      <c r="BC41" s="266"/>
      <c r="BD41" s="266"/>
      <c r="BE41" s="266"/>
    </row>
    <row r="42" spans="1:57" x14ac:dyDescent="0.25">
      <c r="A42" s="217"/>
      <c r="B42" s="217"/>
      <c r="C42" s="266"/>
      <c r="D42" s="266"/>
      <c r="E42" s="266"/>
      <c r="F42" s="266"/>
      <c r="G42" s="266"/>
      <c r="H42" s="266"/>
      <c r="I42" s="266"/>
      <c r="J42" s="266"/>
      <c r="K42" s="266"/>
      <c r="L42" s="266"/>
      <c r="M42" s="266"/>
      <c r="N42" s="266"/>
      <c r="O42" s="266"/>
      <c r="P42" s="266"/>
      <c r="Q42" s="266"/>
      <c r="R42" s="266"/>
      <c r="S42" s="266"/>
      <c r="T42" s="266"/>
      <c r="U42" s="266"/>
      <c r="V42" s="266"/>
      <c r="W42" s="266"/>
      <c r="X42" s="266"/>
      <c r="Y42" s="266"/>
      <c r="Z42" s="266"/>
      <c r="AA42" s="266"/>
      <c r="AB42" s="266"/>
      <c r="AC42" s="266"/>
      <c r="AD42" s="266"/>
      <c r="AE42" s="266"/>
      <c r="AF42" s="266"/>
      <c r="AG42" s="266"/>
      <c r="AH42" s="266"/>
      <c r="AI42" s="266"/>
      <c r="AJ42" s="266"/>
      <c r="AK42" s="266"/>
      <c r="AL42" s="266"/>
      <c r="AM42" s="266"/>
      <c r="AN42" s="266"/>
      <c r="AO42" s="266"/>
      <c r="AP42" s="266"/>
      <c r="AQ42" s="266"/>
      <c r="AR42" s="266"/>
      <c r="AS42" s="266"/>
      <c r="AT42" s="266"/>
      <c r="AU42" s="266"/>
      <c r="AV42" s="266"/>
      <c r="AW42" s="266"/>
      <c r="AX42" s="266"/>
      <c r="AY42" s="266"/>
      <c r="AZ42" s="266"/>
      <c r="BA42" s="266"/>
      <c r="BB42" s="266"/>
      <c r="BC42" s="266"/>
      <c r="BD42" s="266"/>
      <c r="BE42" s="266"/>
    </row>
    <row r="43" spans="1:57" x14ac:dyDescent="0.25">
      <c r="A43" s="217"/>
      <c r="B43" s="217"/>
      <c r="C43" s="266"/>
      <c r="D43" s="266"/>
      <c r="E43" s="266"/>
      <c r="F43" s="266"/>
      <c r="G43" s="266"/>
      <c r="H43" s="266"/>
      <c r="I43" s="266"/>
      <c r="J43" s="266"/>
      <c r="K43" s="266"/>
      <c r="L43" s="266"/>
      <c r="M43" s="266"/>
      <c r="N43" s="266"/>
      <c r="O43" s="266"/>
      <c r="P43" s="266"/>
      <c r="Q43" s="266"/>
      <c r="R43" s="266"/>
      <c r="S43" s="266"/>
      <c r="T43" s="266"/>
      <c r="U43" s="266"/>
      <c r="V43" s="266"/>
      <c r="W43" s="266"/>
      <c r="X43" s="266"/>
      <c r="Y43" s="266"/>
      <c r="Z43" s="266"/>
      <c r="AA43" s="266"/>
      <c r="AB43" s="266"/>
      <c r="AC43" s="266"/>
      <c r="AD43" s="266"/>
      <c r="AE43" s="266"/>
      <c r="AF43" s="266"/>
      <c r="AG43" s="266"/>
      <c r="AH43" s="266"/>
      <c r="AI43" s="266"/>
      <c r="AJ43" s="266"/>
      <c r="AK43" s="266"/>
      <c r="AL43" s="266"/>
      <c r="AM43" s="266"/>
      <c r="AN43" s="266"/>
      <c r="AO43" s="266"/>
      <c r="AP43" s="266"/>
      <c r="AQ43" s="266"/>
      <c r="AR43" s="266"/>
      <c r="AS43" s="266"/>
      <c r="AT43" s="266"/>
      <c r="AU43" s="266"/>
      <c r="AV43" s="266"/>
      <c r="AW43" s="266"/>
      <c r="AX43" s="266"/>
      <c r="AY43" s="266"/>
      <c r="AZ43" s="266"/>
      <c r="BA43" s="266"/>
      <c r="BB43" s="266"/>
      <c r="BC43" s="266"/>
      <c r="BD43" s="266"/>
      <c r="BE43" s="266"/>
    </row>
    <row r="44" spans="1:57" x14ac:dyDescent="0.25">
      <c r="A44" s="217"/>
      <c r="B44" s="217"/>
      <c r="C44" s="266"/>
      <c r="D44" s="266"/>
      <c r="E44" s="266"/>
      <c r="F44" s="266"/>
      <c r="G44" s="266"/>
      <c r="H44" s="266"/>
      <c r="I44" s="266"/>
      <c r="J44" s="266"/>
      <c r="K44" s="266"/>
      <c r="L44" s="266"/>
      <c r="M44" s="266"/>
      <c r="N44" s="266"/>
      <c r="O44" s="266"/>
      <c r="P44" s="266"/>
      <c r="Q44" s="266"/>
      <c r="R44" s="266"/>
      <c r="S44" s="266"/>
      <c r="T44" s="266"/>
      <c r="U44" s="266"/>
      <c r="V44" s="266"/>
      <c r="W44" s="266"/>
      <c r="X44" s="266"/>
      <c r="Y44" s="266"/>
      <c r="Z44" s="266"/>
      <c r="AA44" s="266"/>
      <c r="AB44" s="266"/>
      <c r="AC44" s="266"/>
      <c r="AD44" s="266"/>
      <c r="AE44" s="266"/>
      <c r="AF44" s="266"/>
      <c r="AG44" s="266"/>
      <c r="AH44" s="266"/>
      <c r="AI44" s="266"/>
      <c r="AJ44" s="266"/>
      <c r="AK44" s="266"/>
      <c r="AL44" s="266"/>
      <c r="AM44" s="266"/>
      <c r="AN44" s="266"/>
      <c r="AO44" s="266"/>
      <c r="AP44" s="266"/>
      <c r="AQ44" s="266"/>
      <c r="AR44" s="266"/>
      <c r="AS44" s="266"/>
      <c r="AT44" s="266"/>
      <c r="AU44" s="266"/>
      <c r="AV44" s="266"/>
      <c r="AW44" s="266"/>
      <c r="AX44" s="266"/>
      <c r="AY44" s="266"/>
      <c r="AZ44" s="266"/>
      <c r="BA44" s="266"/>
      <c r="BB44" s="266"/>
      <c r="BC44" s="266"/>
      <c r="BD44" s="266"/>
      <c r="BE44" s="266"/>
    </row>
    <row r="45" spans="1:57" x14ac:dyDescent="0.25">
      <c r="A45" s="217"/>
      <c r="B45" s="217"/>
      <c r="C45" s="266"/>
      <c r="D45" s="266"/>
      <c r="E45" s="266"/>
      <c r="F45" s="266"/>
      <c r="G45" s="266"/>
      <c r="H45" s="266"/>
      <c r="I45" s="266"/>
      <c r="J45" s="266"/>
      <c r="K45" s="266"/>
      <c r="L45" s="266"/>
      <c r="M45" s="266"/>
      <c r="N45" s="266"/>
      <c r="O45" s="266"/>
      <c r="P45" s="266"/>
      <c r="Q45" s="266"/>
      <c r="R45" s="266"/>
      <c r="S45" s="266"/>
      <c r="T45" s="266"/>
      <c r="U45" s="266"/>
      <c r="V45" s="266"/>
      <c r="W45" s="266"/>
      <c r="X45" s="266"/>
      <c r="Y45" s="266"/>
      <c r="Z45" s="266"/>
      <c r="AA45" s="266"/>
      <c r="AB45" s="266"/>
      <c r="AC45" s="266"/>
      <c r="AD45" s="266"/>
      <c r="AE45" s="266"/>
      <c r="AF45" s="266"/>
      <c r="AG45" s="266"/>
      <c r="AH45" s="266"/>
      <c r="AI45" s="266"/>
      <c r="AJ45" s="266"/>
      <c r="AK45" s="266"/>
      <c r="AL45" s="266"/>
      <c r="AM45" s="266"/>
      <c r="AN45" s="266"/>
      <c r="AO45" s="266"/>
      <c r="AP45" s="266"/>
      <c r="AQ45" s="266"/>
      <c r="AR45" s="266"/>
      <c r="AS45" s="266"/>
      <c r="AT45" s="266"/>
      <c r="AU45" s="266"/>
      <c r="AV45" s="266"/>
      <c r="AW45" s="266"/>
      <c r="AX45" s="266"/>
      <c r="AY45" s="266"/>
      <c r="AZ45" s="266"/>
      <c r="BA45" s="266"/>
      <c r="BB45" s="266"/>
      <c r="BC45" s="266"/>
      <c r="BD45" s="266"/>
      <c r="BE45" s="266"/>
    </row>
    <row r="46" spans="1:57" x14ac:dyDescent="0.25">
      <c r="A46" s="217"/>
      <c r="B46" s="217"/>
      <c r="C46" s="266"/>
      <c r="D46" s="266"/>
      <c r="E46" s="266"/>
      <c r="F46" s="266"/>
      <c r="G46" s="266"/>
      <c r="H46" s="266"/>
      <c r="I46" s="266"/>
      <c r="J46" s="266"/>
      <c r="K46" s="266"/>
      <c r="L46" s="266"/>
      <c r="M46" s="266"/>
      <c r="N46" s="266"/>
      <c r="O46" s="266"/>
      <c r="P46" s="266"/>
      <c r="Q46" s="266"/>
      <c r="R46" s="266"/>
      <c r="S46" s="266"/>
      <c r="T46" s="266"/>
      <c r="U46" s="266"/>
      <c r="V46" s="266"/>
      <c r="W46" s="266"/>
      <c r="X46" s="266"/>
      <c r="Y46" s="266"/>
      <c r="Z46" s="266"/>
      <c r="AA46" s="266"/>
      <c r="AB46" s="266"/>
      <c r="AC46" s="266"/>
      <c r="AD46" s="266"/>
      <c r="AE46" s="266"/>
      <c r="AF46" s="266"/>
      <c r="AG46" s="266"/>
      <c r="AH46" s="266"/>
      <c r="AI46" s="266"/>
      <c r="AJ46" s="266"/>
      <c r="AK46" s="266"/>
      <c r="AL46" s="266"/>
      <c r="AM46" s="266"/>
      <c r="AN46" s="266"/>
      <c r="AO46" s="266"/>
      <c r="AP46" s="266"/>
      <c r="AQ46" s="266"/>
      <c r="AR46" s="266"/>
      <c r="AS46" s="266"/>
      <c r="AT46" s="266"/>
      <c r="AU46" s="266"/>
      <c r="AV46" s="266"/>
      <c r="AW46" s="266"/>
      <c r="AX46" s="266"/>
      <c r="AY46" s="266"/>
      <c r="AZ46" s="266"/>
      <c r="BA46" s="266"/>
      <c r="BB46" s="266"/>
      <c r="BC46" s="266"/>
      <c r="BD46" s="266"/>
      <c r="BE46" s="266"/>
    </row>
    <row r="47" spans="1:57" x14ac:dyDescent="0.25">
      <c r="A47" s="217"/>
      <c r="B47" s="217"/>
      <c r="C47" s="266"/>
      <c r="D47" s="266"/>
      <c r="E47" s="266"/>
      <c r="F47" s="266"/>
      <c r="G47" s="266"/>
      <c r="H47" s="266"/>
      <c r="I47" s="266"/>
      <c r="J47" s="266"/>
      <c r="K47" s="266"/>
      <c r="L47" s="266"/>
      <c r="M47" s="266"/>
      <c r="N47" s="266"/>
      <c r="O47" s="266"/>
      <c r="P47" s="266"/>
      <c r="Q47" s="266"/>
      <c r="R47" s="266"/>
      <c r="S47" s="266"/>
      <c r="T47" s="266"/>
      <c r="U47" s="266"/>
      <c r="V47" s="266"/>
      <c r="W47" s="266"/>
      <c r="X47" s="266"/>
      <c r="Y47" s="266"/>
      <c r="Z47" s="266"/>
      <c r="AA47" s="266"/>
      <c r="AB47" s="266"/>
      <c r="AC47" s="266"/>
      <c r="AD47" s="266"/>
      <c r="AE47" s="266"/>
      <c r="AF47" s="266"/>
      <c r="AG47" s="266"/>
      <c r="AH47" s="266"/>
      <c r="AI47" s="266"/>
      <c r="AJ47" s="266"/>
      <c r="AK47" s="266"/>
      <c r="AL47" s="266"/>
      <c r="AM47" s="266"/>
      <c r="AN47" s="266"/>
      <c r="AO47" s="266"/>
      <c r="AP47" s="266"/>
      <c r="AQ47" s="266"/>
      <c r="AR47" s="266"/>
      <c r="AS47" s="266"/>
      <c r="AT47" s="266"/>
      <c r="AU47" s="266"/>
      <c r="AV47" s="266"/>
      <c r="AW47" s="266"/>
      <c r="AX47" s="266"/>
      <c r="AY47" s="266"/>
      <c r="AZ47" s="266"/>
      <c r="BA47" s="266"/>
      <c r="BB47" s="266"/>
      <c r="BC47" s="266"/>
      <c r="BD47" s="266"/>
      <c r="BE47" s="266"/>
    </row>
    <row r="48" spans="1:57" x14ac:dyDescent="0.25">
      <c r="A48" s="217"/>
      <c r="B48" s="217"/>
      <c r="C48" s="266"/>
      <c r="D48" s="266"/>
      <c r="E48" s="266"/>
      <c r="F48" s="266"/>
      <c r="G48" s="266"/>
      <c r="H48" s="266"/>
      <c r="I48" s="266"/>
      <c r="J48" s="266"/>
      <c r="K48" s="266"/>
      <c r="L48" s="266"/>
      <c r="M48" s="266"/>
      <c r="N48" s="266"/>
      <c r="O48" s="266"/>
      <c r="P48" s="266"/>
      <c r="Q48" s="266"/>
      <c r="R48" s="266"/>
      <c r="S48" s="266"/>
      <c r="T48" s="266"/>
      <c r="U48" s="266"/>
      <c r="V48" s="266"/>
      <c r="W48" s="266"/>
      <c r="X48" s="266"/>
      <c r="Y48" s="266"/>
      <c r="Z48" s="266"/>
      <c r="AA48" s="266"/>
      <c r="AB48" s="266"/>
      <c r="AC48" s="266"/>
      <c r="AD48" s="266"/>
      <c r="AE48" s="266"/>
      <c r="AF48" s="266"/>
      <c r="AG48" s="266"/>
      <c r="AH48" s="266"/>
      <c r="AI48" s="266"/>
      <c r="AJ48" s="266"/>
      <c r="AK48" s="266"/>
      <c r="AL48" s="266"/>
      <c r="AM48" s="266"/>
      <c r="AN48" s="266"/>
      <c r="AO48" s="266"/>
      <c r="AP48" s="266"/>
      <c r="AQ48" s="266"/>
      <c r="AR48" s="266"/>
      <c r="AS48" s="266"/>
      <c r="AT48" s="266"/>
      <c r="AU48" s="266"/>
      <c r="AV48" s="266"/>
      <c r="AW48" s="266"/>
      <c r="AX48" s="266"/>
      <c r="AY48" s="266"/>
      <c r="AZ48" s="266"/>
      <c r="BA48" s="266"/>
      <c r="BB48" s="266"/>
      <c r="BC48" s="266"/>
      <c r="BD48" s="266"/>
      <c r="BE48" s="266"/>
    </row>
    <row r="179" spans="1:2" x14ac:dyDescent="0.25">
      <c r="A179" s="227"/>
      <c r="B179" s="227"/>
    </row>
    <row r="180" spans="1:2" x14ac:dyDescent="0.25">
      <c r="A180" s="226"/>
      <c r="B180" s="226"/>
    </row>
  </sheetData>
  <sheetProtection password="DFD3" sheet="1" objects="1" scenario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M60"/>
  <sheetViews>
    <sheetView workbookViewId="0">
      <selection activeCell="F3" sqref="F3"/>
    </sheetView>
  </sheetViews>
  <sheetFormatPr defaultRowHeight="15" x14ac:dyDescent="0.25"/>
  <cols>
    <col min="1" max="1" width="208" customWidth="1"/>
    <col min="2" max="2" width="20.85546875" style="1230" customWidth="1"/>
    <col min="3" max="3" width="23.42578125" customWidth="1"/>
  </cols>
  <sheetData>
    <row r="1" spans="1:39" x14ac:dyDescent="0.25">
      <c r="A1" s="273"/>
      <c r="B1" s="273"/>
      <c r="C1" s="277"/>
      <c r="D1" s="277"/>
      <c r="E1" s="277"/>
      <c r="F1" s="277"/>
      <c r="G1" s="277"/>
      <c r="H1" s="278"/>
      <c r="I1" s="277"/>
      <c r="J1" s="277"/>
      <c r="K1" s="277"/>
      <c r="L1" s="277"/>
      <c r="M1" s="277"/>
      <c r="N1" s="277"/>
      <c r="O1" s="277"/>
      <c r="P1" s="277"/>
      <c r="Q1" s="277"/>
      <c r="R1" s="277"/>
      <c r="S1" s="277"/>
      <c r="T1" s="277"/>
      <c r="U1" s="277"/>
      <c r="V1" s="277"/>
      <c r="W1" s="277"/>
      <c r="X1" s="277"/>
      <c r="Y1" s="277"/>
      <c r="Z1" s="277"/>
      <c r="AA1" s="277"/>
      <c r="AB1" s="277"/>
      <c r="AC1" s="277"/>
      <c r="AD1" s="277"/>
      <c r="AE1" s="277"/>
      <c r="AF1" s="277"/>
      <c r="AG1" s="277"/>
      <c r="AH1" s="277"/>
      <c r="AI1" s="277"/>
      <c r="AJ1" s="277"/>
      <c r="AK1" s="277"/>
      <c r="AL1" s="277"/>
      <c r="AM1" s="277"/>
    </row>
    <row r="2" spans="1:39" x14ac:dyDescent="0.25">
      <c r="A2" s="273"/>
      <c r="B2" s="273"/>
      <c r="C2" s="279"/>
      <c r="D2" s="277"/>
      <c r="E2" s="277"/>
      <c r="F2" s="277"/>
      <c r="G2" s="278"/>
      <c r="H2" s="277"/>
      <c r="I2" s="277"/>
      <c r="J2" s="277"/>
      <c r="K2" s="277"/>
      <c r="L2" s="277"/>
      <c r="M2" s="277"/>
      <c r="N2" s="277"/>
      <c r="O2" s="277"/>
      <c r="P2" s="277"/>
      <c r="Q2" s="277"/>
      <c r="R2" s="277"/>
      <c r="S2" s="277"/>
      <c r="T2" s="277"/>
      <c r="U2" s="277"/>
      <c r="V2" s="277"/>
      <c r="W2" s="277"/>
      <c r="X2" s="277"/>
      <c r="Y2" s="277"/>
      <c r="Z2" s="277"/>
      <c r="AA2" s="277"/>
      <c r="AB2" s="277"/>
      <c r="AC2" s="277"/>
      <c r="AD2" s="277"/>
      <c r="AE2" s="277"/>
      <c r="AF2" s="277"/>
      <c r="AG2" s="277"/>
      <c r="AH2" s="277"/>
      <c r="AI2" s="277"/>
      <c r="AJ2" s="277"/>
      <c r="AK2" s="277"/>
      <c r="AL2" s="277"/>
      <c r="AM2" s="277"/>
    </row>
    <row r="3" spans="1:39" x14ac:dyDescent="0.25">
      <c r="A3" s="273"/>
      <c r="B3" s="273"/>
      <c r="C3" s="279"/>
      <c r="D3" s="277"/>
      <c r="E3" s="277"/>
      <c r="F3" s="277"/>
      <c r="G3" s="278"/>
      <c r="H3" s="277"/>
      <c r="I3" s="277"/>
      <c r="J3" s="277"/>
      <c r="K3" s="277"/>
      <c r="L3" s="277"/>
      <c r="M3" s="277"/>
      <c r="N3" s="277"/>
      <c r="O3" s="277"/>
      <c r="P3" s="277"/>
      <c r="Q3" s="277"/>
      <c r="R3" s="277"/>
      <c r="S3" s="277"/>
      <c r="T3" s="277"/>
      <c r="U3" s="277"/>
      <c r="V3" s="277"/>
      <c r="W3" s="277"/>
      <c r="X3" s="277"/>
      <c r="Y3" s="277"/>
      <c r="Z3" s="277"/>
      <c r="AA3" s="277"/>
      <c r="AB3" s="277"/>
      <c r="AC3" s="277"/>
      <c r="AD3" s="277"/>
      <c r="AE3" s="277"/>
      <c r="AF3" s="277"/>
      <c r="AG3" s="277"/>
      <c r="AH3" s="277"/>
      <c r="AI3" s="277"/>
      <c r="AJ3" s="277"/>
      <c r="AK3" s="277"/>
      <c r="AL3" s="277"/>
      <c r="AM3" s="277"/>
    </row>
    <row r="4" spans="1:39" x14ac:dyDescent="0.25">
      <c r="A4" s="273"/>
      <c r="B4" s="273"/>
      <c r="C4" s="280" t="s">
        <v>682</v>
      </c>
      <c r="D4" s="277"/>
      <c r="E4" s="219">
        <f>IF(ProjectData!B13="MYCOUNTY",'User Add-in Location'!D3,IF(ProjectData!B13="MYREGION",'User Add-in Location'!D4,Multipliers!D2))</f>
        <v>2014</v>
      </c>
      <c r="F4" s="281" t="s">
        <v>724</v>
      </c>
      <c r="G4" s="278" t="s">
        <v>683</v>
      </c>
      <c r="H4" s="277"/>
      <c r="I4" s="282" t="str">
        <f>ProjectData!B13</f>
        <v>IDAHO</v>
      </c>
      <c r="J4" s="277"/>
      <c r="K4" s="277"/>
      <c r="L4" s="277"/>
      <c r="M4" s="277"/>
      <c r="N4" s="277"/>
      <c r="O4" s="277"/>
      <c r="P4" s="277"/>
      <c r="Q4" s="277"/>
      <c r="R4" s="277"/>
      <c r="S4" s="277"/>
      <c r="T4" s="277"/>
      <c r="U4" s="277"/>
      <c r="V4" s="277"/>
      <c r="W4" s="277"/>
      <c r="X4" s="277"/>
      <c r="Y4" s="277"/>
      <c r="Z4" s="277"/>
      <c r="AA4" s="277"/>
      <c r="AB4" s="277"/>
      <c r="AC4" s="277"/>
      <c r="AD4" s="277"/>
      <c r="AE4" s="277"/>
      <c r="AF4" s="277"/>
      <c r="AG4" s="277"/>
      <c r="AH4" s="277"/>
      <c r="AI4" s="277"/>
      <c r="AJ4" s="277"/>
      <c r="AK4" s="277"/>
      <c r="AL4" s="277"/>
      <c r="AM4" s="277"/>
    </row>
    <row r="5" spans="1:39" ht="23.25" x14ac:dyDescent="0.35">
      <c r="A5" s="274" t="s">
        <v>591</v>
      </c>
      <c r="B5" s="274"/>
      <c r="C5" s="280" t="s">
        <v>684</v>
      </c>
      <c r="D5" s="277"/>
      <c r="E5" s="277">
        <f>ProjectData!B31</f>
        <v>2010</v>
      </c>
      <c r="F5" s="277"/>
      <c r="G5" s="277"/>
      <c r="H5" s="277"/>
      <c r="I5" s="277"/>
      <c r="J5" s="277"/>
      <c r="K5" s="277"/>
      <c r="L5" s="277"/>
      <c r="M5" s="277"/>
      <c r="N5" s="277"/>
      <c r="O5" s="277"/>
      <c r="P5" s="277"/>
      <c r="Q5" s="277"/>
      <c r="R5" s="277"/>
      <c r="S5" s="277"/>
      <c r="T5" s="277"/>
      <c r="U5" s="277"/>
      <c r="V5" s="277"/>
      <c r="W5" s="277"/>
      <c r="X5" s="277"/>
      <c r="Y5" s="277"/>
      <c r="Z5" s="277"/>
      <c r="AA5" s="277"/>
      <c r="AB5" s="277"/>
      <c r="AC5" s="277"/>
      <c r="AD5" s="277"/>
      <c r="AE5" s="277"/>
      <c r="AF5" s="277"/>
      <c r="AG5" s="277"/>
      <c r="AH5" s="277"/>
      <c r="AI5" s="277"/>
      <c r="AJ5" s="277"/>
      <c r="AK5" s="277"/>
      <c r="AL5" s="277"/>
      <c r="AM5" s="277"/>
    </row>
    <row r="6" spans="1:39" x14ac:dyDescent="0.25">
      <c r="A6" s="273"/>
      <c r="B6" s="273"/>
      <c r="C6" s="277"/>
      <c r="D6" s="277"/>
      <c r="E6" s="277"/>
      <c r="F6" s="283"/>
      <c r="G6" s="277"/>
      <c r="H6" s="277"/>
      <c r="I6" s="277"/>
      <c r="J6" s="277"/>
      <c r="K6" s="277"/>
      <c r="L6" s="277"/>
      <c r="M6" s="277"/>
      <c r="N6" s="277"/>
      <c r="O6" s="277"/>
      <c r="P6" s="277"/>
      <c r="Q6" s="277"/>
      <c r="R6" s="277"/>
      <c r="S6" s="277"/>
      <c r="T6" s="277"/>
      <c r="U6" s="277"/>
      <c r="V6" s="277"/>
      <c r="W6" s="277"/>
      <c r="X6" s="277"/>
      <c r="Y6" s="277"/>
      <c r="Z6" s="277"/>
      <c r="AA6" s="277"/>
      <c r="AB6" s="277"/>
      <c r="AC6" s="277"/>
      <c r="AD6" s="277"/>
      <c r="AE6" s="277"/>
      <c r="AF6" s="277"/>
      <c r="AG6" s="277"/>
      <c r="AH6" s="277"/>
      <c r="AI6" s="277"/>
      <c r="AJ6" s="277"/>
      <c r="AK6" s="277"/>
      <c r="AL6" s="277"/>
      <c r="AM6" s="277"/>
    </row>
    <row r="7" spans="1:39" ht="15.75" x14ac:dyDescent="0.25">
      <c r="A7" s="275" t="s">
        <v>594</v>
      </c>
      <c r="B7" s="275"/>
      <c r="C7" s="277"/>
      <c r="D7" s="277" t="s">
        <v>677</v>
      </c>
      <c r="E7" s="284"/>
      <c r="F7" s="808">
        <f>HLOOKUP($E$5,$D$11:$AM$39,D51)</f>
        <v>1.0748413957176846</v>
      </c>
      <c r="G7" s="277"/>
      <c r="H7" s="277"/>
      <c r="I7" s="277"/>
      <c r="J7" s="277"/>
      <c r="K7" s="277"/>
      <c r="L7" s="277"/>
      <c r="M7" s="277"/>
      <c r="N7" s="277"/>
      <c r="O7" s="277"/>
      <c r="P7" s="277"/>
      <c r="Q7" s="277"/>
      <c r="R7" s="277"/>
      <c r="S7" s="277"/>
      <c r="T7" s="277"/>
      <c r="U7" s="277"/>
      <c r="V7" s="277"/>
      <c r="W7" s="277"/>
      <c r="X7" s="277"/>
      <c r="Y7" s="277"/>
      <c r="Z7" s="277"/>
      <c r="AA7" s="277"/>
      <c r="AB7" s="277"/>
      <c r="AC7" s="277"/>
      <c r="AD7" s="277"/>
      <c r="AE7" s="277"/>
      <c r="AF7" s="277"/>
      <c r="AG7" s="277"/>
      <c r="AH7" s="277"/>
      <c r="AI7" s="277"/>
      <c r="AJ7" s="277"/>
      <c r="AK7" s="277"/>
      <c r="AL7" s="277"/>
      <c r="AM7" s="277"/>
    </row>
    <row r="8" spans="1:39" ht="15.75" x14ac:dyDescent="0.25">
      <c r="A8" s="276"/>
      <c r="B8" s="276"/>
      <c r="C8" s="277"/>
      <c r="D8" s="277" t="s">
        <v>679</v>
      </c>
      <c r="E8" s="284"/>
      <c r="F8" s="808">
        <f>HLOOKUP($E$5,$D$11:$AM$39,D52)</f>
        <v>0.93036982384948808</v>
      </c>
      <c r="G8" s="277"/>
      <c r="H8" s="277"/>
      <c r="I8" s="277"/>
      <c r="J8" s="277"/>
      <c r="K8" s="277"/>
      <c r="L8" s="277"/>
      <c r="M8" s="277"/>
      <c r="N8" s="277"/>
      <c r="O8" s="277"/>
      <c r="P8" s="277"/>
      <c r="Q8" s="277"/>
      <c r="R8" s="277"/>
      <c r="S8" s="277"/>
      <c r="T8" s="277"/>
      <c r="U8" s="277"/>
      <c r="V8" s="277"/>
      <c r="W8" s="277"/>
      <c r="X8" s="277"/>
      <c r="Y8" s="277"/>
      <c r="Z8" s="277"/>
      <c r="AA8" s="277"/>
      <c r="AB8" s="277"/>
      <c r="AC8" s="277"/>
      <c r="AD8" s="277"/>
      <c r="AE8" s="277"/>
      <c r="AF8" s="277"/>
      <c r="AG8" s="277"/>
      <c r="AH8" s="277"/>
      <c r="AI8" s="277"/>
      <c r="AJ8" s="277"/>
      <c r="AK8" s="277"/>
      <c r="AL8" s="277"/>
      <c r="AM8" s="277"/>
    </row>
    <row r="9" spans="1:39" ht="15.75" x14ac:dyDescent="0.25">
      <c r="A9" s="275" t="s">
        <v>597</v>
      </c>
      <c r="B9" s="275"/>
      <c r="C9" s="277"/>
      <c r="D9" s="285"/>
      <c r="E9" s="285"/>
      <c r="F9" s="285"/>
      <c r="G9" s="277"/>
      <c r="H9" s="277"/>
      <c r="I9" s="277"/>
      <c r="J9" s="277"/>
      <c r="K9" s="277"/>
      <c r="L9" s="277"/>
      <c r="M9" s="277"/>
      <c r="N9" s="277"/>
      <c r="O9" s="277"/>
      <c r="P9" s="277"/>
      <c r="Q9" s="285"/>
      <c r="R9" s="285"/>
      <c r="S9" s="285"/>
      <c r="T9" s="285"/>
      <c r="U9" s="285"/>
      <c r="V9" s="285"/>
      <c r="W9" s="285"/>
      <c r="X9" s="285"/>
      <c r="Y9" s="285"/>
      <c r="Z9" s="285"/>
      <c r="AA9" s="285"/>
      <c r="AB9" s="285"/>
      <c r="AC9" s="285"/>
      <c r="AD9" s="285"/>
      <c r="AE9" s="285"/>
      <c r="AF9" s="285"/>
      <c r="AG9" s="285"/>
      <c r="AH9" s="285"/>
      <c r="AI9" s="285"/>
      <c r="AJ9" s="285"/>
      <c r="AK9" s="285"/>
      <c r="AL9" s="285"/>
      <c r="AM9" s="277"/>
    </row>
    <row r="10" spans="1:39" ht="15.75" x14ac:dyDescent="0.25">
      <c r="A10" s="275"/>
      <c r="B10" s="275"/>
      <c r="C10" s="277"/>
      <c r="D10" s="286"/>
      <c r="E10" s="286"/>
      <c r="F10" s="286"/>
      <c r="G10" s="286"/>
      <c r="H10" s="286"/>
      <c r="I10" s="286"/>
      <c r="J10" s="286"/>
      <c r="K10" s="286"/>
      <c r="L10" s="286"/>
      <c r="M10" s="277"/>
      <c r="N10" s="277"/>
      <c r="O10" s="277"/>
      <c r="P10" s="277"/>
      <c r="Q10" s="277"/>
      <c r="R10" s="277"/>
      <c r="S10" s="277"/>
      <c r="T10" s="277"/>
      <c r="U10" s="277"/>
      <c r="V10" s="285"/>
      <c r="W10" s="277"/>
      <c r="X10" s="277"/>
      <c r="Y10" s="277"/>
      <c r="Z10" s="277"/>
      <c r="AA10" s="277"/>
      <c r="AB10" s="277"/>
      <c r="AC10" s="277"/>
      <c r="AD10" s="277"/>
      <c r="AE10" s="277"/>
      <c r="AF10" s="277"/>
      <c r="AG10" s="277"/>
      <c r="AH10" s="277"/>
      <c r="AI10" s="277"/>
      <c r="AJ10" s="277"/>
      <c r="AK10" s="277"/>
      <c r="AL10" s="277"/>
      <c r="AM10" s="277"/>
    </row>
    <row r="11" spans="1:39" ht="15.75" x14ac:dyDescent="0.25">
      <c r="A11" s="275" t="s">
        <v>600</v>
      </c>
      <c r="B11" s="275"/>
      <c r="C11" s="277"/>
      <c r="D11" s="1230">
        <v>2005</v>
      </c>
      <c r="E11" s="1230">
        <v>2006</v>
      </c>
      <c r="F11" s="1230">
        <v>2007</v>
      </c>
      <c r="G11" s="1230">
        <v>2008</v>
      </c>
      <c r="H11" s="1230">
        <v>2009</v>
      </c>
      <c r="I11" s="1230">
        <v>2010</v>
      </c>
      <c r="J11" s="1230">
        <v>2011</v>
      </c>
      <c r="K11" s="1230">
        <v>2012</v>
      </c>
      <c r="L11" s="1230">
        <v>2013</v>
      </c>
      <c r="M11" s="1230">
        <v>2014</v>
      </c>
      <c r="N11" s="1230">
        <v>2015</v>
      </c>
      <c r="O11" s="1230">
        <v>2016</v>
      </c>
      <c r="P11" s="1230">
        <v>2017</v>
      </c>
      <c r="Q11" s="1230">
        <v>2018</v>
      </c>
      <c r="R11" s="1230">
        <v>2019</v>
      </c>
      <c r="S11" s="1230">
        <v>2020</v>
      </c>
      <c r="T11" s="1230">
        <v>2021</v>
      </c>
      <c r="U11" s="1230">
        <v>2022</v>
      </c>
      <c r="V11" s="1230">
        <v>2023</v>
      </c>
      <c r="W11" s="1230">
        <v>2024</v>
      </c>
      <c r="X11" s="1230">
        <v>2025</v>
      </c>
      <c r="Y11" s="1230">
        <v>2026</v>
      </c>
      <c r="Z11" s="1230">
        <v>2027</v>
      </c>
      <c r="AA11" s="1230">
        <v>2028</v>
      </c>
      <c r="AB11" s="1230">
        <v>2029</v>
      </c>
      <c r="AC11" s="1230">
        <v>2030</v>
      </c>
      <c r="AD11" s="1230">
        <v>2031</v>
      </c>
      <c r="AE11" s="1230">
        <v>2032</v>
      </c>
      <c r="AF11" s="1230">
        <v>2033</v>
      </c>
      <c r="AG11" s="1230">
        <v>2034</v>
      </c>
      <c r="AH11" s="1230">
        <v>2035</v>
      </c>
      <c r="AI11" s="1230">
        <v>2036</v>
      </c>
      <c r="AJ11" s="1230">
        <v>2037</v>
      </c>
      <c r="AK11" s="1230">
        <v>2038</v>
      </c>
      <c r="AL11" s="1230">
        <v>2039</v>
      </c>
      <c r="AM11" s="1230">
        <v>2040</v>
      </c>
    </row>
    <row r="12" spans="1:39" x14ac:dyDescent="0.25">
      <c r="A12" s="273"/>
      <c r="B12" s="273"/>
      <c r="C12" s="287" t="s">
        <v>711</v>
      </c>
      <c r="D12" s="465">
        <v>0.94289549772821146</v>
      </c>
      <c r="E12" s="465">
        <v>0.97356464270962406</v>
      </c>
      <c r="F12" s="465">
        <v>1</v>
      </c>
      <c r="G12" s="465">
        <v>1.0207558859975217</v>
      </c>
      <c r="H12" s="465">
        <v>1.0326311441553078</v>
      </c>
      <c r="I12" s="465">
        <v>1.0417182982238744</v>
      </c>
      <c r="J12" s="465">
        <v>1.0628872366790583</v>
      </c>
      <c r="K12" s="465">
        <v>1.082300702189178</v>
      </c>
      <c r="L12" s="465">
        <v>1.1008880627839737</v>
      </c>
      <c r="M12" s="465">
        <v>1.1196819496076003</v>
      </c>
      <c r="N12" s="465">
        <v>1.1348616274266832</v>
      </c>
      <c r="O12" s="465">
        <v>1.1528294093349856</v>
      </c>
      <c r="P12" s="465">
        <v>1.1734820322180917</v>
      </c>
      <c r="Q12" s="465">
        <v>1.1961999173895086</v>
      </c>
      <c r="R12" s="465">
        <v>1.2201569599339115</v>
      </c>
      <c r="S12" s="465">
        <v>1.2446303180503924</v>
      </c>
      <c r="T12" s="465">
        <v>1.2666461495080106</v>
      </c>
      <c r="U12" s="465">
        <v>1.2890514113271916</v>
      </c>
      <c r="V12" s="465">
        <v>1.3118529920057327</v>
      </c>
      <c r="W12" s="465">
        <v>1.3350579018896658</v>
      </c>
      <c r="X12" s="465">
        <v>1.3586732753285877</v>
      </c>
      <c r="Y12" s="465">
        <v>1.3827063728691165</v>
      </c>
      <c r="Z12" s="465">
        <v>1.4071645834871456</v>
      </c>
      <c r="AA12" s="465">
        <v>1.4320554268595855</v>
      </c>
      <c r="AB12" s="465">
        <v>1.4573865556762882</v>
      </c>
      <c r="AC12" s="465">
        <v>1.4831657579928661</v>
      </c>
      <c r="AD12" s="465">
        <v>1.5094009596251305</v>
      </c>
      <c r="AE12" s="465">
        <v>1.5361002265858834</v>
      </c>
      <c r="AF12" s="465">
        <v>1.5632717675648127</v>
      </c>
      <c r="AG12" s="465">
        <v>1.5909239364522545</v>
      </c>
      <c r="AH12" s="465">
        <v>1.6190652349075965</v>
      </c>
      <c r="AI12" s="465">
        <v>1.6477043149731132</v>
      </c>
      <c r="AJ12" s="465">
        <v>1.6768499817340363</v>
      </c>
      <c r="AK12" s="465">
        <v>1.706511196025678</v>
      </c>
      <c r="AL12" s="465">
        <v>1.73669707718844</v>
      </c>
      <c r="AM12" s="465">
        <v>1.767416905871555</v>
      </c>
    </row>
    <row r="13" spans="1:39" x14ac:dyDescent="0.25">
      <c r="A13" s="273"/>
      <c r="B13" s="273"/>
      <c r="C13" s="287"/>
      <c r="D13" s="465">
        <v>1.0605629175336766</v>
      </c>
      <c r="E13" s="465">
        <v>1.0271531607976241</v>
      </c>
      <c r="F13" s="465">
        <v>1</v>
      </c>
      <c r="G13" s="465">
        <v>0.97966616084977243</v>
      </c>
      <c r="H13" s="465">
        <v>0.96839999999999993</v>
      </c>
      <c r="I13" s="465">
        <v>0.95995241871530534</v>
      </c>
      <c r="J13" s="465">
        <v>0.94083357621684638</v>
      </c>
      <c r="K13" s="465">
        <v>0.92395763762999716</v>
      </c>
      <c r="L13" s="465">
        <v>0.90835756495638298</v>
      </c>
      <c r="M13" s="465">
        <v>0.89311076270404866</v>
      </c>
      <c r="N13" s="465">
        <v>0.88116469517743401</v>
      </c>
      <c r="O13" s="465">
        <v>0.86743102830526686</v>
      </c>
      <c r="P13" s="465">
        <v>0.85216473072861676</v>
      </c>
      <c r="Q13" s="465">
        <v>0.83598066298342533</v>
      </c>
      <c r="R13" s="465">
        <v>0.81956668923493581</v>
      </c>
      <c r="S13" s="465">
        <v>0.80345142288227001</v>
      </c>
      <c r="T13" s="465">
        <v>0.78948647212042522</v>
      </c>
      <c r="U13" s="465">
        <v>0.77576424897623919</v>
      </c>
      <c r="V13" s="465">
        <v>0.76228053455217493</v>
      </c>
      <c r="W13" s="465">
        <v>0.74903118328020191</v>
      </c>
      <c r="X13" s="465">
        <v>0.73601212164724106</v>
      </c>
      <c r="Y13" s="465">
        <v>0.7232193469427638</v>
      </c>
      <c r="Z13" s="465">
        <v>0.71064892602815777</v>
      </c>
      <c r="AA13" s="465">
        <v>0.69829699412748425</v>
      </c>
      <c r="AB13" s="465">
        <v>0.68615975363925208</v>
      </c>
      <c r="AC13" s="465">
        <v>0.67423347296884528</v>
      </c>
      <c r="AD13" s="465">
        <v>0.66251448538124447</v>
      </c>
      <c r="AE13" s="465">
        <v>0.65099918787368916</v>
      </c>
      <c r="AF13" s="465">
        <v>0.63968404006793422</v>
      </c>
      <c r="AG13" s="465">
        <v>0.62856556312176093</v>
      </c>
      <c r="AH13" s="465">
        <v>0.61764033865940682</v>
      </c>
      <c r="AI13" s="465">
        <v>0.60690500772058587</v>
      </c>
      <c r="AJ13" s="465">
        <v>0.59635626972777644</v>
      </c>
      <c r="AK13" s="465">
        <v>0.5859908814714585</v>
      </c>
      <c r="AL13" s="465">
        <v>0.57580565611298895</v>
      </c>
      <c r="AM13" s="465">
        <v>0.56579746220480809</v>
      </c>
    </row>
    <row r="14" spans="1:39" x14ac:dyDescent="0.25">
      <c r="A14" s="273"/>
      <c r="B14" s="273"/>
      <c r="C14" s="287" t="s">
        <v>712</v>
      </c>
      <c r="D14" s="465">
        <v>0.92372281234193221</v>
      </c>
      <c r="E14" s="465">
        <v>0.95376833586241772</v>
      </c>
      <c r="F14" s="465">
        <v>0.97966616084977243</v>
      </c>
      <c r="G14" s="465">
        <v>1</v>
      </c>
      <c r="H14" s="465">
        <v>1.0116337885685383</v>
      </c>
      <c r="I14" s="465">
        <v>1.0205361659079413</v>
      </c>
      <c r="J14" s="465">
        <v>1.0412746585735964</v>
      </c>
      <c r="K14" s="465">
        <v>1.0602933737986848</v>
      </c>
      <c r="L14" s="465">
        <v>1.0785027819929185</v>
      </c>
      <c r="M14" s="465">
        <v>1.096914516944866</v>
      </c>
      <c r="N14" s="465">
        <v>1.1117855336368234</v>
      </c>
      <c r="O14" s="465">
        <v>1.1293879615579161</v>
      </c>
      <c r="P14" s="465">
        <v>1.1496206373292868</v>
      </c>
      <c r="Q14" s="465">
        <v>1.1718765806777947</v>
      </c>
      <c r="R14" s="465">
        <v>1.1953464845725847</v>
      </c>
      <c r="S14" s="465">
        <v>1.219322205361659</v>
      </c>
      <c r="T14" s="465">
        <v>1.2408903704436596</v>
      </c>
      <c r="U14" s="465">
        <v>1.2628400472728905</v>
      </c>
      <c r="V14" s="465">
        <v>1.2851779842775433</v>
      </c>
      <c r="W14" s="465">
        <v>1.307911049256401</v>
      </c>
      <c r="X14" s="465">
        <v>1.3310462314903435</v>
      </c>
      <c r="Y14" s="465">
        <v>1.3545906438912014</v>
      </c>
      <c r="Z14" s="465">
        <v>1.3785515251886211</v>
      </c>
      <c r="AA14" s="465">
        <v>1.4029362421556124</v>
      </c>
      <c r="AB14" s="465">
        <v>1.4277522918734626</v>
      </c>
      <c r="AC14" s="465">
        <v>1.4530073040367142</v>
      </c>
      <c r="AD14" s="465">
        <v>1.4787090432989145</v>
      </c>
      <c r="AE14" s="465">
        <v>1.5048654116598583</v>
      </c>
      <c r="AF14" s="465">
        <v>1.5314844508950582</v>
      </c>
      <c r="AG14" s="465">
        <v>1.5585743450281879</v>
      </c>
      <c r="AH14" s="465">
        <v>1.5861434228472604</v>
      </c>
      <c r="AI14" s="465">
        <v>1.6142001604653144</v>
      </c>
      <c r="AJ14" s="465">
        <v>1.6427531839263947</v>
      </c>
      <c r="AK14" s="465">
        <v>1.6718112718576297</v>
      </c>
      <c r="AL14" s="465">
        <v>1.7013833581682203</v>
      </c>
      <c r="AM14" s="465">
        <v>1.7314785347961703</v>
      </c>
    </row>
    <row r="15" spans="1:39" x14ac:dyDescent="0.25">
      <c r="A15" s="273"/>
      <c r="B15" s="273"/>
      <c r="C15" s="287"/>
      <c r="D15" s="465">
        <v>1.0825758405432044</v>
      </c>
      <c r="E15" s="465">
        <v>1.0484726347051336</v>
      </c>
      <c r="F15" s="465">
        <v>1.0207558859975217</v>
      </c>
      <c r="G15" s="465">
        <v>1</v>
      </c>
      <c r="H15" s="465">
        <v>0.98849999999999993</v>
      </c>
      <c r="I15" s="465">
        <v>0.97987708168120546</v>
      </c>
      <c r="J15" s="465">
        <v>0.96036141066744385</v>
      </c>
      <c r="K15" s="465">
        <v>0.94313519702318482</v>
      </c>
      <c r="L15" s="465">
        <v>0.92721133101960418</v>
      </c>
      <c r="M15" s="465">
        <v>0.91164806787789354</v>
      </c>
      <c r="N15" s="465">
        <v>0.8994540491355778</v>
      </c>
      <c r="O15" s="465">
        <v>0.88543532783948398</v>
      </c>
      <c r="P15" s="465">
        <v>0.86985216473072868</v>
      </c>
      <c r="Q15" s="465">
        <v>0.85333218232044195</v>
      </c>
      <c r="R15" s="465">
        <v>0.83657752200406232</v>
      </c>
      <c r="S15" s="465">
        <v>0.82012776902016093</v>
      </c>
      <c r="T15" s="465">
        <v>0.80587296333234237</v>
      </c>
      <c r="U15" s="465">
        <v>0.79186592328894312</v>
      </c>
      <c r="V15" s="465">
        <v>0.77810234242546983</v>
      </c>
      <c r="W15" s="465">
        <v>0.76457798912895447</v>
      </c>
      <c r="X15" s="465">
        <v>0.75128870533694514</v>
      </c>
      <c r="Y15" s="465">
        <v>0.73823040525910977</v>
      </c>
      <c r="Z15" s="465">
        <v>0.72539907412105931</v>
      </c>
      <c r="AA15" s="465">
        <v>0.71279076693000631</v>
      </c>
      <c r="AB15" s="465">
        <v>0.70040160726187572</v>
      </c>
      <c r="AC15" s="465">
        <v>0.68822778606949953</v>
      </c>
      <c r="AD15" s="465">
        <v>0.67626556051152409</v>
      </c>
      <c r="AE15" s="465">
        <v>0.66451125280167445</v>
      </c>
      <c r="AF15" s="465">
        <v>0.65296124907801811</v>
      </c>
      <c r="AG15" s="465">
        <v>0.64161199829188409</v>
      </c>
      <c r="AH15" s="465">
        <v>0.63046001111609196</v>
      </c>
      <c r="AI15" s="465">
        <v>0.61950185887215925</v>
      </c>
      <c r="AJ15" s="465">
        <v>0.60873417247615336</v>
      </c>
      <c r="AK15" s="465">
        <v>0.5981536414028672</v>
      </c>
      <c r="AL15" s="465">
        <v>0.58775701266799818</v>
      </c>
      <c r="AM15" s="465">
        <v>0.57754108982801799</v>
      </c>
    </row>
    <row r="16" spans="1:39" x14ac:dyDescent="0.25">
      <c r="A16" s="273"/>
      <c r="B16" s="273"/>
      <c r="C16" s="287" t="s">
        <v>715</v>
      </c>
      <c r="D16" s="465">
        <v>0.91310000000000002</v>
      </c>
      <c r="E16" s="465">
        <v>0.94279999999999997</v>
      </c>
      <c r="F16" s="465">
        <v>0.96840000000000004</v>
      </c>
      <c r="G16" s="465">
        <v>0.98850000000000005</v>
      </c>
      <c r="H16" s="465">
        <v>1</v>
      </c>
      <c r="I16" s="465">
        <v>1.0087999999999999</v>
      </c>
      <c r="J16" s="465">
        <v>1.0293000000000001</v>
      </c>
      <c r="K16" s="465">
        <v>1.0481</v>
      </c>
      <c r="L16" s="465">
        <v>1.0661</v>
      </c>
      <c r="M16" s="465">
        <v>1.0843</v>
      </c>
      <c r="N16" s="465">
        <v>1.099</v>
      </c>
      <c r="O16" s="465">
        <v>1.1164000000000001</v>
      </c>
      <c r="P16" s="465">
        <v>1.1364000000000001</v>
      </c>
      <c r="Q16" s="465">
        <v>1.1584000000000001</v>
      </c>
      <c r="R16" s="465">
        <v>1.1816</v>
      </c>
      <c r="S16" s="465">
        <v>1.2053</v>
      </c>
      <c r="T16" s="465">
        <v>1.2266201311835576</v>
      </c>
      <c r="U16" s="465">
        <v>1.2483173867292525</v>
      </c>
      <c r="V16" s="465">
        <v>1.2703984374583517</v>
      </c>
      <c r="W16" s="465">
        <v>1.2928700721899526</v>
      </c>
      <c r="X16" s="465">
        <v>1.3157391998282046</v>
      </c>
      <c r="Y16" s="465">
        <v>1.3390128514864525</v>
      </c>
      <c r="Z16" s="465">
        <v>1.3626981826489519</v>
      </c>
      <c r="AA16" s="465">
        <v>1.3868024753708228</v>
      </c>
      <c r="AB16" s="465">
        <v>1.4113331405169178</v>
      </c>
      <c r="AC16" s="465">
        <v>1.436297720040292</v>
      </c>
      <c r="AD16" s="465">
        <v>1.4617038893009771</v>
      </c>
      <c r="AE16" s="465">
        <v>1.4875594594257702</v>
      </c>
      <c r="AF16" s="465">
        <v>1.5138723797097653</v>
      </c>
      <c r="AG16" s="465">
        <v>1.540650740060364</v>
      </c>
      <c r="AH16" s="465">
        <v>1.5679027734845172</v>
      </c>
      <c r="AI16" s="465">
        <v>1.5956368586199636</v>
      </c>
      <c r="AJ16" s="465">
        <v>1.6238615223112416</v>
      </c>
      <c r="AK16" s="465">
        <v>1.6525854422312674</v>
      </c>
      <c r="AL16" s="465">
        <v>1.6818174495492861</v>
      </c>
      <c r="AM16" s="465">
        <v>1.7115665316460147</v>
      </c>
    </row>
    <row r="17" spans="1:39" x14ac:dyDescent="0.25">
      <c r="A17" s="273"/>
      <c r="B17" s="273"/>
      <c r="C17" s="287"/>
      <c r="D17" s="465">
        <v>1.0951702989814915</v>
      </c>
      <c r="E17" s="465">
        <v>1.0606703436571914</v>
      </c>
      <c r="F17" s="465">
        <v>1.0326311441553078</v>
      </c>
      <c r="G17" s="465">
        <v>1.0116337885685383</v>
      </c>
      <c r="H17" s="465">
        <v>1</v>
      </c>
      <c r="I17" s="465">
        <v>0.99127676447264079</v>
      </c>
      <c r="J17" s="465">
        <v>0.97153405226853196</v>
      </c>
      <c r="K17" s="465">
        <v>0.95410743249689911</v>
      </c>
      <c r="L17" s="465">
        <v>0.93799831160303904</v>
      </c>
      <c r="M17" s="465">
        <v>0.92225398874850129</v>
      </c>
      <c r="N17" s="465">
        <v>0.90991810737033674</v>
      </c>
      <c r="O17" s="465">
        <v>0.8957362952346829</v>
      </c>
      <c r="P17" s="465">
        <v>0.87997184090109115</v>
      </c>
      <c r="Q17" s="465">
        <v>0.86325966850828717</v>
      </c>
      <c r="R17" s="465">
        <v>0.84631008801624918</v>
      </c>
      <c r="S17" s="465">
        <v>0.82966896208412844</v>
      </c>
      <c r="T17" s="465">
        <v>0.81524831900085204</v>
      </c>
      <c r="U17" s="465">
        <v>0.8010783240151168</v>
      </c>
      <c r="V17" s="465">
        <v>0.78715462056193186</v>
      </c>
      <c r="W17" s="465">
        <v>0.77347292779863863</v>
      </c>
      <c r="X17" s="465">
        <v>0.76002903928876597</v>
      </c>
      <c r="Y17" s="465">
        <v>0.74681882170876046</v>
      </c>
      <c r="Z17" s="465">
        <v>0.73383821357719714</v>
      </c>
      <c r="AA17" s="465">
        <v>0.72108322400607616</v>
      </c>
      <c r="AB17" s="465">
        <v>0.70854993147382472</v>
      </c>
      <c r="AC17" s="465">
        <v>0.69623448261962517</v>
      </c>
      <c r="AD17" s="465">
        <v>0.68413309105869913</v>
      </c>
      <c r="AE17" s="465">
        <v>0.67224203621818346</v>
      </c>
      <c r="AF17" s="465">
        <v>0.6605576621932403</v>
      </c>
      <c r="AG17" s="465">
        <v>0.64907637662304907</v>
      </c>
      <c r="AH17" s="465">
        <v>0.63779464958633469</v>
      </c>
      <c r="AI17" s="465">
        <v>0.62670901251609423</v>
      </c>
      <c r="AJ17" s="465">
        <v>0.61581605713318477</v>
      </c>
      <c r="AK17" s="465">
        <v>0.60511243439844919</v>
      </c>
      <c r="AL17" s="465">
        <v>0.59459485348305319</v>
      </c>
      <c r="AM17" s="465">
        <v>0.5842600807567202</v>
      </c>
    </row>
    <row r="18" spans="1:39" ht="15.75" x14ac:dyDescent="0.25">
      <c r="A18" s="275" t="s">
        <v>608</v>
      </c>
      <c r="B18" s="275"/>
      <c r="C18" s="287" t="s">
        <v>716</v>
      </c>
      <c r="D18" s="465">
        <v>0.90513481363996839</v>
      </c>
      <c r="E18" s="465">
        <v>0.93457573354480572</v>
      </c>
      <c r="F18" s="465">
        <v>0.95995241871530546</v>
      </c>
      <c r="G18" s="465">
        <v>0.97987708168120546</v>
      </c>
      <c r="H18" s="465">
        <v>0.99127676447264079</v>
      </c>
      <c r="I18" s="465">
        <v>1</v>
      </c>
      <c r="J18" s="465">
        <v>1.0203211736716893</v>
      </c>
      <c r="K18" s="465">
        <v>1.0389571768437749</v>
      </c>
      <c r="L18" s="465">
        <v>1.0568001586042826</v>
      </c>
      <c r="M18" s="465">
        <v>1.0748413957176846</v>
      </c>
      <c r="N18" s="465">
        <v>1.0894131641554323</v>
      </c>
      <c r="O18" s="465">
        <v>1.1066613798572562</v>
      </c>
      <c r="P18" s="465">
        <v>1.1264869151467092</v>
      </c>
      <c r="Q18" s="465">
        <v>1.1482950039651072</v>
      </c>
      <c r="R18" s="465">
        <v>1.1712926249008724</v>
      </c>
      <c r="S18" s="465">
        <v>1.1947858842188741</v>
      </c>
      <c r="T18" s="465">
        <v>1.2159200348766432</v>
      </c>
      <c r="U18" s="465">
        <v>1.2374280201519157</v>
      </c>
      <c r="V18" s="465">
        <v>1.2593164526748135</v>
      </c>
      <c r="W18" s="465">
        <v>1.2815920620439658</v>
      </c>
      <c r="X18" s="465">
        <v>1.3042616968955243</v>
      </c>
      <c r="Y18" s="465">
        <v>1.3273323270087756</v>
      </c>
      <c r="Z18" s="465">
        <v>1.350811045449001</v>
      </c>
      <c r="AA18" s="465">
        <v>1.3747050707482387</v>
      </c>
      <c r="AB18" s="465">
        <v>1.3990217491246215</v>
      </c>
      <c r="AC18" s="465">
        <v>1.4237685567409719</v>
      </c>
      <c r="AD18" s="465">
        <v>1.4489531020033479</v>
      </c>
      <c r="AE18" s="465">
        <v>1.4745831279002481</v>
      </c>
      <c r="AF18" s="465">
        <v>1.5006665143831934</v>
      </c>
      <c r="AG18" s="465">
        <v>1.5272112807894174</v>
      </c>
      <c r="AH18" s="465">
        <v>1.5542255883074123</v>
      </c>
      <c r="AI18" s="465">
        <v>1.5817177424860864</v>
      </c>
      <c r="AJ18" s="465">
        <v>1.6096961957883047</v>
      </c>
      <c r="AK18" s="465">
        <v>1.638169550189599</v>
      </c>
      <c r="AL18" s="465">
        <v>1.6671465598228452</v>
      </c>
      <c r="AM18" s="465">
        <v>1.6966361336697213</v>
      </c>
    </row>
    <row r="19" spans="1:39" x14ac:dyDescent="0.25">
      <c r="A19" s="273"/>
      <c r="B19" s="273"/>
      <c r="C19" s="287"/>
      <c r="D19" s="465">
        <v>1.1048077976125286</v>
      </c>
      <c r="E19" s="465">
        <v>1.0700042426813745</v>
      </c>
      <c r="F19" s="465">
        <v>1.0417182982238742</v>
      </c>
      <c r="G19" s="465">
        <v>1.0205361659079413</v>
      </c>
      <c r="H19" s="465">
        <v>1.0087999999999999</v>
      </c>
      <c r="I19" s="465">
        <v>1</v>
      </c>
      <c r="J19" s="465">
        <v>0.98008355192849494</v>
      </c>
      <c r="K19" s="465">
        <v>0.96250357790287178</v>
      </c>
      <c r="L19" s="465">
        <v>0.94625269674514567</v>
      </c>
      <c r="M19" s="465">
        <v>0.93036982384948796</v>
      </c>
      <c r="N19" s="465">
        <v>0.91792538671519552</v>
      </c>
      <c r="O19" s="465">
        <v>0.90361877463274809</v>
      </c>
      <c r="P19" s="465">
        <v>0.88771559310102055</v>
      </c>
      <c r="Q19" s="465">
        <v>0.87085635359116009</v>
      </c>
      <c r="R19" s="465">
        <v>0.8537576167907921</v>
      </c>
      <c r="S19" s="465">
        <v>0.83697004895046867</v>
      </c>
      <c r="T19" s="465">
        <v>0.82242250420805951</v>
      </c>
      <c r="U19" s="465">
        <v>0.80812781326644978</v>
      </c>
      <c r="V19" s="465">
        <v>0.79408158122287675</v>
      </c>
      <c r="W19" s="465">
        <v>0.78027948956326665</v>
      </c>
      <c r="X19" s="465">
        <v>0.7667172948345069</v>
      </c>
      <c r="Y19" s="465">
        <v>0.75339082733979745</v>
      </c>
      <c r="Z19" s="465">
        <v>0.74029598985667633</v>
      </c>
      <c r="AA19" s="465">
        <v>0.72742875637732951</v>
      </c>
      <c r="AB19" s="465">
        <v>0.71478517087079418</v>
      </c>
      <c r="AC19" s="465">
        <v>0.70236134606667766</v>
      </c>
      <c r="AD19" s="465">
        <v>0.6901534622600155</v>
      </c>
      <c r="AE19" s="465">
        <v>0.67815776613690337</v>
      </c>
      <c r="AF19" s="465">
        <v>0.66637056962054075</v>
      </c>
      <c r="AG19" s="465">
        <v>0.65478824873733177</v>
      </c>
      <c r="AH19" s="465">
        <v>0.64340724250269432</v>
      </c>
      <c r="AI19" s="465">
        <v>0.63222405182623564</v>
      </c>
      <c r="AJ19" s="465">
        <v>0.62123523843595674</v>
      </c>
      <c r="AK19" s="465">
        <v>0.61043742382115551</v>
      </c>
      <c r="AL19" s="465">
        <v>0.59982728819370401</v>
      </c>
      <c r="AM19" s="465">
        <v>0.5894015694673792</v>
      </c>
    </row>
    <row r="20" spans="1:39" x14ac:dyDescent="0.25">
      <c r="A20" s="273"/>
      <c r="B20" s="273"/>
      <c r="C20" s="287" t="s">
        <v>1098</v>
      </c>
      <c r="D20" s="465">
        <v>0.88710774312639651</v>
      </c>
      <c r="E20" s="465">
        <v>0.91596230447877192</v>
      </c>
      <c r="F20" s="465">
        <v>0.94083357621684638</v>
      </c>
      <c r="G20" s="465">
        <v>0.96036141066744385</v>
      </c>
      <c r="H20" s="465">
        <v>0.97153405226853196</v>
      </c>
      <c r="I20" s="465">
        <v>0.98008355192849494</v>
      </c>
      <c r="J20" s="465">
        <v>1</v>
      </c>
      <c r="K20" s="465">
        <v>1.0182648401826484</v>
      </c>
      <c r="L20" s="465">
        <v>1.0357524531234819</v>
      </c>
      <c r="M20" s="465">
        <v>1.0534343728747693</v>
      </c>
      <c r="N20" s="465">
        <v>1.0677159234431166</v>
      </c>
      <c r="O20" s="465">
        <v>1.0846206159525891</v>
      </c>
      <c r="P20" s="465">
        <v>1.1040512969979597</v>
      </c>
      <c r="Q20" s="465">
        <v>1.1254250461478674</v>
      </c>
      <c r="R20" s="465">
        <v>1.1479646361604974</v>
      </c>
      <c r="S20" s="465">
        <v>1.1709899931992616</v>
      </c>
      <c r="T20" s="465">
        <v>1.1917032266429199</v>
      </c>
      <c r="U20" s="465">
        <v>1.2127828492463346</v>
      </c>
      <c r="V20" s="465">
        <v>1.2342353419395236</v>
      </c>
      <c r="W20" s="465">
        <v>1.256067300291414</v>
      </c>
      <c r="X20" s="465">
        <v>1.2782854365376513</v>
      </c>
      <c r="Y20" s="465">
        <v>1.3008965816442752</v>
      </c>
      <c r="Z20" s="465">
        <v>1.3239076874079005</v>
      </c>
      <c r="AA20" s="465">
        <v>1.3473258285930467</v>
      </c>
      <c r="AB20" s="465">
        <v>1.3711582051072748</v>
      </c>
      <c r="AC20" s="465">
        <v>1.3954121442147986</v>
      </c>
      <c r="AD20" s="465">
        <v>1.4200951027892521</v>
      </c>
      <c r="AE20" s="465">
        <v>1.4452146696063055</v>
      </c>
      <c r="AF20" s="465">
        <v>1.4707785676768341</v>
      </c>
      <c r="AG20" s="465">
        <v>1.4967946566213581</v>
      </c>
      <c r="AH20" s="465">
        <v>1.5232709350864833</v>
      </c>
      <c r="AI20" s="465">
        <v>1.5502155432040841</v>
      </c>
      <c r="AJ20" s="465">
        <v>1.5776367650939878</v>
      </c>
      <c r="AK20" s="465">
        <v>1.6055430314109271</v>
      </c>
      <c r="AL20" s="465">
        <v>1.6339429219365453</v>
      </c>
      <c r="AM20" s="465">
        <v>1.6628451682172491</v>
      </c>
    </row>
    <row r="21" spans="1:39" x14ac:dyDescent="0.25">
      <c r="A21" s="273"/>
      <c r="B21" s="273"/>
      <c r="C21" s="287"/>
      <c r="D21" s="465">
        <v>1.1272587887416494</v>
      </c>
      <c r="E21" s="465">
        <v>1.0917479847263472</v>
      </c>
      <c r="F21" s="465">
        <v>1.0628872366790583</v>
      </c>
      <c r="G21" s="465">
        <v>1.0412746585735964</v>
      </c>
      <c r="H21" s="465">
        <v>1.0293000000000001</v>
      </c>
      <c r="I21" s="465">
        <v>1.0203211736716893</v>
      </c>
      <c r="J21" s="465">
        <v>1</v>
      </c>
      <c r="K21" s="465">
        <v>0.98206278026905824</v>
      </c>
      <c r="L21" s="465">
        <v>0.96548166213300823</v>
      </c>
      <c r="M21" s="465">
        <v>0.94927603061883248</v>
      </c>
      <c r="N21" s="465">
        <v>0.93657870791628761</v>
      </c>
      <c r="O21" s="465">
        <v>0.9219813686850592</v>
      </c>
      <c r="P21" s="465">
        <v>0.90575501583949325</v>
      </c>
      <c r="Q21" s="465">
        <v>0.8885531767955801</v>
      </c>
      <c r="R21" s="465">
        <v>0.87110697359512534</v>
      </c>
      <c r="S21" s="465">
        <v>0.85397826267319343</v>
      </c>
      <c r="T21" s="465">
        <v>0.83913509474757708</v>
      </c>
      <c r="U21" s="465">
        <v>0.82454991890875995</v>
      </c>
      <c r="V21" s="465">
        <v>0.81021825094439659</v>
      </c>
      <c r="W21" s="465">
        <v>0.79613568458313888</v>
      </c>
      <c r="X21" s="465">
        <v>0.7822978901399269</v>
      </c>
      <c r="Y21" s="465">
        <v>0.76870061318482719</v>
      </c>
      <c r="Z21" s="465">
        <v>0.75533967323500895</v>
      </c>
      <c r="AA21" s="465">
        <v>0.74221096246945417</v>
      </c>
      <c r="AB21" s="465">
        <v>0.72931044446600779</v>
      </c>
      <c r="AC21" s="465">
        <v>0.71663415296038013</v>
      </c>
      <c r="AD21" s="465">
        <v>0.70417819062671894</v>
      </c>
      <c r="AE21" s="465">
        <v>0.69193872787937616</v>
      </c>
      <c r="AF21" s="465">
        <v>0.67991200169550225</v>
      </c>
      <c r="AG21" s="465">
        <v>0.66809431445810441</v>
      </c>
      <c r="AH21" s="465">
        <v>0.65648203281921436</v>
      </c>
      <c r="AI21" s="465">
        <v>0.64507158658281571</v>
      </c>
      <c r="AJ21" s="465">
        <v>0.63385946760718714</v>
      </c>
      <c r="AK21" s="465">
        <v>0.62284222872632378</v>
      </c>
      <c r="AL21" s="465">
        <v>0.61201648269010667</v>
      </c>
      <c r="AM21" s="465">
        <v>0.60137890112289216</v>
      </c>
    </row>
    <row r="22" spans="1:39" x14ac:dyDescent="0.25">
      <c r="A22" s="273"/>
      <c r="B22" s="273"/>
      <c r="C22" s="287" t="s">
        <v>1099</v>
      </c>
      <c r="D22" s="465">
        <v>0.87119549661291862</v>
      </c>
      <c r="E22" s="465">
        <v>0.89953248735807645</v>
      </c>
      <c r="F22" s="465">
        <v>0.92395763762999716</v>
      </c>
      <c r="G22" s="465">
        <v>0.94313519702318482</v>
      </c>
      <c r="H22" s="465">
        <v>0.95410743249689911</v>
      </c>
      <c r="I22" s="465">
        <v>0.96250357790287178</v>
      </c>
      <c r="J22" s="465">
        <v>0.98206278026905836</v>
      </c>
      <c r="K22" s="465">
        <v>1</v>
      </c>
      <c r="L22" s="465">
        <v>1.0171739337849441</v>
      </c>
      <c r="M22" s="465">
        <v>1.0345386890563877</v>
      </c>
      <c r="N22" s="465">
        <v>1.0485640683140922</v>
      </c>
      <c r="O22" s="465">
        <v>1.0651655376395381</v>
      </c>
      <c r="P22" s="465">
        <v>1.0842476862894763</v>
      </c>
      <c r="Q22" s="465">
        <v>1.1052380498044081</v>
      </c>
      <c r="R22" s="465">
        <v>1.1273733422383361</v>
      </c>
      <c r="S22" s="465">
        <v>1.1499856883885125</v>
      </c>
      <c r="T22" s="465">
        <v>1.1703273840125537</v>
      </c>
      <c r="U22" s="465">
        <v>1.1910288967934857</v>
      </c>
      <c r="V22" s="465">
        <v>1.2120965914114603</v>
      </c>
      <c r="W22" s="465">
        <v>1.2335369451292362</v>
      </c>
      <c r="X22" s="465">
        <v>1.2553565497836128</v>
      </c>
      <c r="Y22" s="465">
        <v>1.2775621138120909</v>
      </c>
      <c r="Z22" s="465">
        <v>1.3001604643153821</v>
      </c>
      <c r="AA22" s="465">
        <v>1.3231585491564002</v>
      </c>
      <c r="AB22" s="465">
        <v>1.3465634390963821</v>
      </c>
      <c r="AC22" s="465">
        <v>1.3703823299687934</v>
      </c>
      <c r="AD22" s="465">
        <v>1.3946225448916871</v>
      </c>
      <c r="AE22" s="465">
        <v>1.4192915365191969</v>
      </c>
      <c r="AF22" s="465">
        <v>1.4443968893328551</v>
      </c>
      <c r="AG22" s="465">
        <v>1.4699463219734417</v>
      </c>
      <c r="AH22" s="465">
        <v>1.4959476896140802</v>
      </c>
      <c r="AI22" s="465">
        <v>1.5224089863753114</v>
      </c>
      <c r="AJ22" s="465">
        <v>1.549338347782885</v>
      </c>
      <c r="AK22" s="465">
        <v>1.5767440532690273</v>
      </c>
      <c r="AL22" s="465">
        <v>1.6046345287179529</v>
      </c>
      <c r="AM22" s="465">
        <v>1.6330183490564021</v>
      </c>
    </row>
    <row r="23" spans="1:39" x14ac:dyDescent="0.25">
      <c r="A23" s="273"/>
      <c r="B23" s="273"/>
      <c r="C23" s="287"/>
      <c r="D23" s="465">
        <v>1.1478479903625014</v>
      </c>
      <c r="E23" s="465">
        <v>1.1116885871871023</v>
      </c>
      <c r="F23" s="465">
        <v>1.082300702189178</v>
      </c>
      <c r="G23" s="465">
        <v>1.0602933737986848</v>
      </c>
      <c r="H23" s="465">
        <v>1.0481</v>
      </c>
      <c r="I23" s="465">
        <v>1.0389571768437749</v>
      </c>
      <c r="J23" s="465">
        <v>1.0182648401826484</v>
      </c>
      <c r="K23" s="465">
        <v>1</v>
      </c>
      <c r="L23" s="465">
        <v>0.98311603039114537</v>
      </c>
      <c r="M23" s="465">
        <v>0.96661440560730427</v>
      </c>
      <c r="N23" s="465">
        <v>0.95368516833484984</v>
      </c>
      <c r="O23" s="465">
        <v>0.93882121103547123</v>
      </c>
      <c r="P23" s="465">
        <v>0.9222984864484336</v>
      </c>
      <c r="Q23" s="465">
        <v>0.90478245856353579</v>
      </c>
      <c r="R23" s="465">
        <v>0.8870176032498307</v>
      </c>
      <c r="S23" s="465">
        <v>0.86957603916037507</v>
      </c>
      <c r="T23" s="465">
        <v>0.85446176314479316</v>
      </c>
      <c r="U23" s="465">
        <v>0.83961019140024407</v>
      </c>
      <c r="V23" s="465">
        <v>0.82501675781096095</v>
      </c>
      <c r="W23" s="465">
        <v>0.81067697562575336</v>
      </c>
      <c r="X23" s="465">
        <v>0.79658643607855562</v>
      </c>
      <c r="Y23" s="465">
        <v>0.7827408070329519</v>
      </c>
      <c r="Z23" s="465">
        <v>0.76913583165026034</v>
      </c>
      <c r="AA23" s="465">
        <v>0.75576732708076833</v>
      </c>
      <c r="AB23" s="465">
        <v>0.74263118317771559</v>
      </c>
      <c r="AC23" s="465">
        <v>0.72972336123362902</v>
      </c>
      <c r="AD23" s="465">
        <v>0.71703989273862245</v>
      </c>
      <c r="AE23" s="465">
        <v>0.70457687816027803</v>
      </c>
      <c r="AF23" s="465">
        <v>0.6923304857447351</v>
      </c>
      <c r="AG23" s="465">
        <v>0.68029695033861759</v>
      </c>
      <c r="AH23" s="465">
        <v>0.6684725722314373</v>
      </c>
      <c r="AI23" s="465">
        <v>0.65685371601811826</v>
      </c>
      <c r="AJ23" s="465">
        <v>0.6454368094812909</v>
      </c>
      <c r="AK23" s="465">
        <v>0.63421834249301456</v>
      </c>
      <c r="AL23" s="465">
        <v>0.62319486593558793</v>
      </c>
      <c r="AM23" s="465">
        <v>0.61236299064111832</v>
      </c>
    </row>
    <row r="24" spans="1:39" x14ac:dyDescent="0.25">
      <c r="A24" s="273"/>
      <c r="B24" s="273"/>
      <c r="C24" s="287" t="s">
        <v>1100</v>
      </c>
      <c r="D24" s="465">
        <v>0.85648625832473502</v>
      </c>
      <c r="E24" s="465">
        <v>0.88434480817934524</v>
      </c>
      <c r="F24" s="465">
        <v>0.90835756495638309</v>
      </c>
      <c r="G24" s="465">
        <v>0.92721133101960418</v>
      </c>
      <c r="H24" s="465">
        <v>0.93799831160303904</v>
      </c>
      <c r="I24" s="465">
        <v>0.94625269674514578</v>
      </c>
      <c r="J24" s="465">
        <v>0.96548166213300823</v>
      </c>
      <c r="K24" s="465">
        <v>0.98311603039114526</v>
      </c>
      <c r="L24" s="465">
        <v>1</v>
      </c>
      <c r="M24" s="465">
        <v>1.0170715692711754</v>
      </c>
      <c r="N24" s="465">
        <v>1.03086014445174</v>
      </c>
      <c r="O24" s="465">
        <v>1.0471813150736329</v>
      </c>
      <c r="P24" s="465">
        <v>1.0659412813056937</v>
      </c>
      <c r="Q24" s="465">
        <v>1.0865772441609605</v>
      </c>
      <c r="R24" s="465">
        <v>1.108338804990151</v>
      </c>
      <c r="S24" s="465">
        <v>1.1305693649751429</v>
      </c>
      <c r="T24" s="465">
        <v>1.1505676120284751</v>
      </c>
      <c r="U24" s="465">
        <v>1.1709196010967566</v>
      </c>
      <c r="V24" s="465">
        <v>1.1916315893990728</v>
      </c>
      <c r="W24" s="465">
        <v>1.2127099448362746</v>
      </c>
      <c r="X24" s="465">
        <v>1.2341611479487895</v>
      </c>
      <c r="Y24" s="465">
        <v>1.2559917939090635</v>
      </c>
      <c r="Z24" s="465">
        <v>1.2782085945492467</v>
      </c>
      <c r="AA24" s="465">
        <v>1.3008183804247471</v>
      </c>
      <c r="AB24" s="465">
        <v>1.3238281029142835</v>
      </c>
      <c r="AC24" s="465">
        <v>1.3472448363570884</v>
      </c>
      <c r="AD24" s="465">
        <v>1.3710757802279119</v>
      </c>
      <c r="AE24" s="465">
        <v>1.3953282613505018</v>
      </c>
      <c r="AF24" s="465">
        <v>1.4200097361502346</v>
      </c>
      <c r="AG24" s="465">
        <v>1.445127792946594</v>
      </c>
      <c r="AH24" s="465">
        <v>1.4706901542861994</v>
      </c>
      <c r="AI24" s="465">
        <v>1.496704679317103</v>
      </c>
      <c r="AJ24" s="465">
        <v>1.5231793662050852</v>
      </c>
      <c r="AK24" s="465">
        <v>1.5501223545926903</v>
      </c>
      <c r="AL24" s="465">
        <v>1.5775419281017595</v>
      </c>
      <c r="AM24" s="465">
        <v>1.605446516880231</v>
      </c>
    </row>
    <row r="25" spans="1:39" x14ac:dyDescent="0.25">
      <c r="A25" s="273"/>
      <c r="B25" s="273"/>
      <c r="C25" s="287"/>
      <c r="D25" s="465">
        <v>1.1675610557441682</v>
      </c>
      <c r="E25" s="465">
        <v>1.1307806533729317</v>
      </c>
      <c r="F25" s="465">
        <v>1.1008880627839734</v>
      </c>
      <c r="G25" s="465">
        <v>1.0785027819929185</v>
      </c>
      <c r="H25" s="465">
        <v>1.0661</v>
      </c>
      <c r="I25" s="465">
        <v>1.0568001586042823</v>
      </c>
      <c r="J25" s="465">
        <v>1.0357524531234819</v>
      </c>
      <c r="K25" s="465">
        <v>1.0171739337849441</v>
      </c>
      <c r="L25" s="465">
        <v>1</v>
      </c>
      <c r="M25" s="465">
        <v>0.98321497740477726</v>
      </c>
      <c r="N25" s="465">
        <v>0.97006369426751593</v>
      </c>
      <c r="O25" s="465">
        <v>0.95494446434969549</v>
      </c>
      <c r="P25" s="465">
        <v>0.93813797958465328</v>
      </c>
      <c r="Q25" s="465">
        <v>0.92032113259668513</v>
      </c>
      <c r="R25" s="465">
        <v>0.90225118483412325</v>
      </c>
      <c r="S25" s="465">
        <v>0.88451008047788937</v>
      </c>
      <c r="T25" s="465">
        <v>0.86913623288680864</v>
      </c>
      <c r="U25" s="465">
        <v>0.85402960123251614</v>
      </c>
      <c r="V25" s="465">
        <v>0.83918554098107578</v>
      </c>
      <c r="W25" s="465">
        <v>0.82459948832612884</v>
      </c>
      <c r="X25" s="465">
        <v>0.8102669587857535</v>
      </c>
      <c r="Y25" s="465">
        <v>0.79618354582370954</v>
      </c>
      <c r="Z25" s="465">
        <v>0.7823449194946499</v>
      </c>
      <c r="AA25" s="465">
        <v>0.76874682511287784</v>
      </c>
      <c r="AB25" s="465">
        <v>0.75538508194424459</v>
      </c>
      <c r="AC25" s="465">
        <v>0.74225558192078245</v>
      </c>
      <c r="AD25" s="465">
        <v>0.72935428837767924</v>
      </c>
      <c r="AE25" s="465">
        <v>0.71667723481220547</v>
      </c>
      <c r="AF25" s="465">
        <v>0.70422052366421362</v>
      </c>
      <c r="AG25" s="465">
        <v>0.69198032511783258</v>
      </c>
      <c r="AH25" s="465">
        <v>0.67995287592399145</v>
      </c>
      <c r="AI25" s="465">
        <v>0.66813447824340799</v>
      </c>
      <c r="AJ25" s="465">
        <v>0.65652149850968844</v>
      </c>
      <c r="AK25" s="465">
        <v>0.64511036631218677</v>
      </c>
      <c r="AL25" s="465">
        <v>0.63389757329828311</v>
      </c>
      <c r="AM25" s="465">
        <v>0.62287967209473949</v>
      </c>
    </row>
    <row r="26" spans="1:39" x14ac:dyDescent="0.25">
      <c r="A26" s="273"/>
      <c r="B26" s="273"/>
      <c r="C26" s="287" t="s">
        <v>1101</v>
      </c>
      <c r="D26" s="465">
        <v>0.84211011712625661</v>
      </c>
      <c r="E26" s="465">
        <v>0.86950106059208698</v>
      </c>
      <c r="F26" s="465">
        <v>0.89311076270404866</v>
      </c>
      <c r="G26" s="465">
        <v>0.91164806787789354</v>
      </c>
      <c r="H26" s="465">
        <v>0.92225398874850129</v>
      </c>
      <c r="I26" s="465">
        <v>0.93036982384948808</v>
      </c>
      <c r="J26" s="465">
        <v>0.94927603061883248</v>
      </c>
      <c r="K26" s="465">
        <v>0.96661440560730427</v>
      </c>
      <c r="L26" s="465">
        <v>0.98321497740477726</v>
      </c>
      <c r="M26" s="465">
        <v>1</v>
      </c>
      <c r="N26" s="465">
        <v>1.013557133634603</v>
      </c>
      <c r="O26" s="465">
        <v>1.0296043530388268</v>
      </c>
      <c r="P26" s="465">
        <v>1.048049432813797</v>
      </c>
      <c r="Q26" s="465">
        <v>1.068339020566264</v>
      </c>
      <c r="R26" s="465">
        <v>1.0897353131052292</v>
      </c>
      <c r="S26" s="465">
        <v>1.1115927326385686</v>
      </c>
      <c r="T26" s="465">
        <v>1.1312553086632458</v>
      </c>
      <c r="U26" s="465">
        <v>1.1512656891351583</v>
      </c>
      <c r="V26" s="465">
        <v>1.1716300262458281</v>
      </c>
      <c r="W26" s="465">
        <v>1.1923545810107463</v>
      </c>
      <c r="X26" s="465">
        <v>1.2134457251943229</v>
      </c>
      <c r="Y26" s="465">
        <v>1.2349099432688853</v>
      </c>
      <c r="Z26" s="465">
        <v>1.2567538344083296</v>
      </c>
      <c r="AA26" s="465">
        <v>1.2789841145170364</v>
      </c>
      <c r="AB26" s="465">
        <v>1.3016076182946763</v>
      </c>
      <c r="AC26" s="465">
        <v>1.3246313013375373</v>
      </c>
      <c r="AD26" s="465">
        <v>1.3480622422770234</v>
      </c>
      <c r="AE26" s="465">
        <v>1.3719076449559804</v>
      </c>
      <c r="AF26" s="465">
        <v>1.3961748406435162</v>
      </c>
      <c r="AG26" s="465">
        <v>1.4208712902890004</v>
      </c>
      <c r="AH26" s="465">
        <v>1.4460045868159332</v>
      </c>
      <c r="AI26" s="465">
        <v>1.4715824574563892</v>
      </c>
      <c r="AJ26" s="465">
        <v>1.4976127661267551</v>
      </c>
      <c r="AK26" s="465">
        <v>1.5241035158454914</v>
      </c>
      <c r="AL26" s="465">
        <v>1.5510628511936595</v>
      </c>
      <c r="AM26" s="465">
        <v>1.578499060818974</v>
      </c>
    </row>
    <row r="27" spans="1:39" x14ac:dyDescent="0.25">
      <c r="A27" s="273"/>
      <c r="B27" s="273"/>
      <c r="C27" s="288"/>
      <c r="D27" s="465">
        <v>1.1874931551856314</v>
      </c>
      <c r="E27" s="465">
        <v>1.1500848536274926</v>
      </c>
      <c r="F27" s="465">
        <v>1.1196819496076003</v>
      </c>
      <c r="G27" s="465">
        <v>1.096914516944866</v>
      </c>
      <c r="H27" s="465">
        <v>1.0843</v>
      </c>
      <c r="I27" s="465">
        <v>1.0748413957176846</v>
      </c>
      <c r="J27" s="465">
        <v>1.0534343728747693</v>
      </c>
      <c r="K27" s="465">
        <v>1.0345386890563877</v>
      </c>
      <c r="L27" s="465">
        <v>1.0170715692711754</v>
      </c>
      <c r="M27" s="465">
        <v>1</v>
      </c>
      <c r="N27" s="465">
        <v>0.98662420382165605</v>
      </c>
      <c r="O27" s="465">
        <v>0.97124686492296675</v>
      </c>
      <c r="P27" s="465">
        <v>0.95415346708905302</v>
      </c>
      <c r="Q27" s="465">
        <v>0.9360324585635359</v>
      </c>
      <c r="R27" s="465">
        <v>0.91765402843601895</v>
      </c>
      <c r="S27" s="465">
        <v>0.89961005558782048</v>
      </c>
      <c r="T27" s="465">
        <v>0.88397375229262409</v>
      </c>
      <c r="U27" s="465">
        <v>0.8686092267295914</v>
      </c>
      <c r="V27" s="465">
        <v>0.85351175507530297</v>
      </c>
      <c r="W27" s="465">
        <v>0.83867669561206415</v>
      </c>
      <c r="X27" s="465">
        <v>0.82409948730080906</v>
      </c>
      <c r="Y27" s="465">
        <v>0.80977564837880911</v>
      </c>
      <c r="Z27" s="465">
        <v>0.79570077498175495</v>
      </c>
      <c r="AA27" s="465">
        <v>0.7818705397897886</v>
      </c>
      <c r="AB27" s="465">
        <v>0.76828069069706839</v>
      </c>
      <c r="AC27" s="465">
        <v>0.75492704950445977</v>
      </c>
      <c r="AD27" s="465">
        <v>0.74180551063494771</v>
      </c>
      <c r="AE27" s="465">
        <v>0.72891203987137665</v>
      </c>
      <c r="AF27" s="465">
        <v>0.71624267311613088</v>
      </c>
      <c r="AG27" s="465">
        <v>0.70379351517237243</v>
      </c>
      <c r="AH27" s="465">
        <v>0.69156073854646305</v>
      </c>
      <c r="AI27" s="465">
        <v>0.67954058227120129</v>
      </c>
      <c r="AJ27" s="465">
        <v>0.66772935074951267</v>
      </c>
      <c r="AK27" s="465">
        <v>0.65612341261823892</v>
      </c>
      <c r="AL27" s="465">
        <v>0.64471919963167501</v>
      </c>
      <c r="AM27" s="465">
        <v>0.63351320556451218</v>
      </c>
    </row>
    <row r="28" spans="1:39" x14ac:dyDescent="0.25">
      <c r="A28" s="273"/>
      <c r="B28" s="273"/>
      <c r="C28" s="287" t="s">
        <v>1102</v>
      </c>
      <c r="D28" s="465">
        <v>0.8308462238398544</v>
      </c>
      <c r="E28" s="465">
        <v>0.85787079162875346</v>
      </c>
      <c r="F28" s="465">
        <v>0.88116469517743412</v>
      </c>
      <c r="G28" s="465">
        <v>0.8994540491355778</v>
      </c>
      <c r="H28" s="465">
        <v>0.90991810737033674</v>
      </c>
      <c r="I28" s="465">
        <v>0.91792538671519552</v>
      </c>
      <c r="J28" s="465">
        <v>0.93657870791628761</v>
      </c>
      <c r="K28" s="465">
        <v>0.95368516833484995</v>
      </c>
      <c r="L28" s="465">
        <v>0.97006369426751604</v>
      </c>
      <c r="M28" s="465">
        <v>0.98662420382165616</v>
      </c>
      <c r="N28" s="465">
        <v>1</v>
      </c>
      <c r="O28" s="465">
        <v>1.015832575068244</v>
      </c>
      <c r="P28" s="465">
        <v>1.0340309372156506</v>
      </c>
      <c r="Q28" s="465">
        <v>1.0540491355777981</v>
      </c>
      <c r="R28" s="465">
        <v>1.0751592356687898</v>
      </c>
      <c r="S28" s="465">
        <v>1.0967242948134668</v>
      </c>
      <c r="T28" s="465">
        <v>1.1161238682288968</v>
      </c>
      <c r="U28" s="465">
        <v>1.135866593930166</v>
      </c>
      <c r="V28" s="465">
        <v>1.1559585418183365</v>
      </c>
      <c r="W28" s="465">
        <v>1.1764058891628322</v>
      </c>
      <c r="X28" s="465">
        <v>1.1972149225006412</v>
      </c>
      <c r="Y28" s="465">
        <v>1.2183920395691108</v>
      </c>
      <c r="Z28" s="465">
        <v>1.2399437512729319</v>
      </c>
      <c r="AA28" s="465">
        <v>1.2618766836859172</v>
      </c>
      <c r="AB28" s="465">
        <v>1.2841975800881873</v>
      </c>
      <c r="AC28" s="465">
        <v>1.3069133030393922</v>
      </c>
      <c r="AD28" s="465">
        <v>1.3300308364886051</v>
      </c>
      <c r="AE28" s="465">
        <v>1.3535572879215378</v>
      </c>
      <c r="AF28" s="465">
        <v>1.3774998905457372</v>
      </c>
      <c r="AG28" s="465">
        <v>1.4018660055144347</v>
      </c>
      <c r="AH28" s="465">
        <v>1.4266631241897334</v>
      </c>
      <c r="AI28" s="465">
        <v>1.4518988704458267</v>
      </c>
      <c r="AJ28" s="465">
        <v>1.4775810030129586</v>
      </c>
      <c r="AK28" s="465">
        <v>1.5037174178628456</v>
      </c>
      <c r="AL28" s="465">
        <v>1.530316150636293</v>
      </c>
      <c r="AM28" s="465">
        <v>1.5573853791137531</v>
      </c>
    </row>
    <row r="29" spans="1:39" x14ac:dyDescent="0.25">
      <c r="A29" s="273"/>
      <c r="B29" s="273"/>
      <c r="C29" s="288"/>
      <c r="D29" s="465">
        <v>1.2035921585806593</v>
      </c>
      <c r="E29" s="465">
        <v>1.1656767076792531</v>
      </c>
      <c r="F29" s="465">
        <v>1.1348616274266832</v>
      </c>
      <c r="G29" s="465">
        <v>1.1117855336368234</v>
      </c>
      <c r="H29" s="465">
        <v>1.099</v>
      </c>
      <c r="I29" s="465">
        <v>1.0894131641554323</v>
      </c>
      <c r="J29" s="465">
        <v>1.0677159234431166</v>
      </c>
      <c r="K29" s="465">
        <v>1.048564068314092</v>
      </c>
      <c r="L29" s="465">
        <v>1.0308601444517398</v>
      </c>
      <c r="M29" s="465">
        <v>1.0135571336346028</v>
      </c>
      <c r="N29" s="465">
        <v>1</v>
      </c>
      <c r="O29" s="465">
        <v>0.9844141884629164</v>
      </c>
      <c r="P29" s="465">
        <v>0.96708905315029914</v>
      </c>
      <c r="Q29" s="465">
        <v>0.94872237569060758</v>
      </c>
      <c r="R29" s="465">
        <v>0.93009478672985779</v>
      </c>
      <c r="S29" s="465">
        <v>0.91180618933045721</v>
      </c>
      <c r="T29" s="465">
        <v>0.89595790258193653</v>
      </c>
      <c r="U29" s="465">
        <v>0.88038507809261346</v>
      </c>
      <c r="V29" s="465">
        <v>0.86508292799756314</v>
      </c>
      <c r="W29" s="465">
        <v>0.85004674765070398</v>
      </c>
      <c r="X29" s="465">
        <v>0.83527191417835378</v>
      </c>
      <c r="Y29" s="465">
        <v>0.82075388505792768</v>
      </c>
      <c r="Z29" s="465">
        <v>0.80648819672133953</v>
      </c>
      <c r="AA29" s="465">
        <v>0.79247046318267766</v>
      </c>
      <c r="AB29" s="465">
        <v>0.77869637468973341</v>
      </c>
      <c r="AC29" s="465">
        <v>0.76516169639896803</v>
      </c>
      <c r="AD29" s="465">
        <v>0.75186226707351034</v>
      </c>
      <c r="AE29" s="465">
        <v>0.73879399780378363</v>
      </c>
      <c r="AF29" s="465">
        <v>0.72595287075037118</v>
      </c>
      <c r="AG29" s="465">
        <v>0.71333493790873093</v>
      </c>
      <c r="AH29" s="465">
        <v>0.70093631989538197</v>
      </c>
      <c r="AI29" s="465">
        <v>0.68875320475518753</v>
      </c>
      <c r="AJ29" s="465">
        <v>0.67678184678937015</v>
      </c>
      <c r="AK29" s="465">
        <v>0.6650185654038957</v>
      </c>
      <c r="AL29" s="465">
        <v>0.65345974397787554</v>
      </c>
      <c r="AM29" s="465">
        <v>0.64210182875163546</v>
      </c>
    </row>
    <row r="30" spans="1:39" s="1230" customFormat="1" x14ac:dyDescent="0.25">
      <c r="A30" s="273"/>
      <c r="B30" s="273"/>
      <c r="C30" s="1230" t="s">
        <v>1424</v>
      </c>
      <c r="D30" s="465">
        <v>0.81789681117878898</v>
      </c>
      <c r="E30" s="465">
        <v>0.84450017914725894</v>
      </c>
      <c r="F30" s="465">
        <v>0.86743102830526697</v>
      </c>
      <c r="G30" s="465">
        <v>0.88543532783948409</v>
      </c>
      <c r="H30" s="465">
        <v>0.8957362952346829</v>
      </c>
      <c r="I30" s="465">
        <v>0.90361877463274798</v>
      </c>
      <c r="J30" s="465">
        <v>0.9219813686850592</v>
      </c>
      <c r="K30" s="465">
        <v>0.93882121103547111</v>
      </c>
      <c r="L30" s="465">
        <v>0.95494446434969549</v>
      </c>
      <c r="M30" s="465">
        <v>0.97124686492296664</v>
      </c>
      <c r="N30" s="465">
        <v>0.9844141884629164</v>
      </c>
      <c r="O30" s="465">
        <v>1</v>
      </c>
      <c r="P30" s="465">
        <v>1.0179147259046937</v>
      </c>
      <c r="Q30" s="465">
        <v>1.0376209243998566</v>
      </c>
      <c r="R30" s="465">
        <v>1.0584020064493012</v>
      </c>
      <c r="S30" s="465">
        <v>1.0796309566463633</v>
      </c>
      <c r="T30" s="465">
        <v>1.0987281719666406</v>
      </c>
      <c r="U30" s="465">
        <v>1.1181631912659016</v>
      </c>
      <c r="V30" s="465">
        <v>1.137941989840874</v>
      </c>
      <c r="W30" s="465">
        <v>1.1580706486832253</v>
      </c>
      <c r="X30" s="465">
        <v>1.1785553563491624</v>
      </c>
      <c r="Y30" s="465">
        <v>1.199402410862104</v>
      </c>
      <c r="Z30" s="465">
        <v>1.2206182216490078</v>
      </c>
      <c r="AA30" s="465">
        <v>1.2422093115109487</v>
      </c>
      <c r="AB30" s="465">
        <v>1.2641823186285543</v>
      </c>
      <c r="AC30" s="465">
        <v>1.2865439986029132</v>
      </c>
      <c r="AD30" s="465">
        <v>1.3093012265325845</v>
      </c>
      <c r="AE30" s="465">
        <v>1.3324609991273473</v>
      </c>
      <c r="AF30" s="465">
        <v>1.3560304368593386</v>
      </c>
      <c r="AG30" s="465">
        <v>1.3800167861522432</v>
      </c>
      <c r="AH30" s="465">
        <v>1.4044274216092061</v>
      </c>
      <c r="AI30" s="465">
        <v>1.4292698482801542</v>
      </c>
      <c r="AJ30" s="465">
        <v>1.4545517039692244</v>
      </c>
      <c r="AK30" s="465">
        <v>1.480280761583006</v>
      </c>
      <c r="AL30" s="465">
        <v>1.5064649315203213</v>
      </c>
      <c r="AM30" s="465">
        <v>1.5331122641042774</v>
      </c>
    </row>
    <row r="31" spans="1:39" s="1230" customFormat="1" x14ac:dyDescent="0.25">
      <c r="A31" s="273"/>
      <c r="B31" s="273"/>
      <c r="D31" s="465">
        <v>1.2226481217829372</v>
      </c>
      <c r="E31" s="465">
        <v>1.1841323716588885</v>
      </c>
      <c r="F31" s="465">
        <v>1.1528294093349856</v>
      </c>
      <c r="G31" s="465">
        <v>1.1293879615579161</v>
      </c>
      <c r="H31" s="465">
        <v>1.1164000000000001</v>
      </c>
      <c r="I31" s="465">
        <v>1.1066613798572562</v>
      </c>
      <c r="J31" s="465">
        <v>1.0846206159525891</v>
      </c>
      <c r="K31" s="465">
        <v>1.0651655376395384</v>
      </c>
      <c r="L31" s="465">
        <v>1.0471813150736329</v>
      </c>
      <c r="M31" s="465">
        <v>1.029604353038827</v>
      </c>
      <c r="N31" s="465">
        <v>1.015832575068244</v>
      </c>
      <c r="O31" s="465">
        <v>1</v>
      </c>
      <c r="P31" s="465">
        <v>0.98240056318197821</v>
      </c>
      <c r="Q31" s="465">
        <v>0.96374309392265201</v>
      </c>
      <c r="R31" s="465">
        <v>0.94482058226134069</v>
      </c>
      <c r="S31" s="465">
        <v>0.92624242927072098</v>
      </c>
      <c r="T31" s="465">
        <v>0.91014322333255127</v>
      </c>
      <c r="U31" s="465">
        <v>0.89432384093047634</v>
      </c>
      <c r="V31" s="465">
        <v>0.87877941839534068</v>
      </c>
      <c r="W31" s="465">
        <v>0.86350517659440018</v>
      </c>
      <c r="X31" s="465">
        <v>0.84849641946197807</v>
      </c>
      <c r="Y31" s="465">
        <v>0.83374853255566006</v>
      </c>
      <c r="Z31" s="465">
        <v>0.81925698163758265</v>
      </c>
      <c r="AA31" s="465">
        <v>0.80501731128038323</v>
      </c>
      <c r="AB31" s="465">
        <v>0.79102514349737785</v>
      </c>
      <c r="AC31" s="465">
        <v>0.77727617639654945</v>
      </c>
      <c r="AD31" s="465">
        <v>0.76376618285793152</v>
      </c>
      <c r="AE31" s="465">
        <v>0.75049100923397982</v>
      </c>
      <c r="AF31" s="465">
        <v>0.73744657407253333</v>
      </c>
      <c r="AG31" s="465">
        <v>0.72462886686197181</v>
      </c>
      <c r="AH31" s="465">
        <v>0.71203394679818388</v>
      </c>
      <c r="AI31" s="465">
        <v>0.69965794157296735</v>
      </c>
      <c r="AJ31" s="465">
        <v>0.68749704618348728</v>
      </c>
      <c r="AK31" s="465">
        <v>0.67554752176242849</v>
      </c>
      <c r="AL31" s="465">
        <v>0.66380569442848036</v>
      </c>
      <c r="AM31" s="465">
        <v>0.65226795415680217</v>
      </c>
    </row>
    <row r="32" spans="1:39" s="1230" customFormat="1" x14ac:dyDescent="0.25">
      <c r="A32" s="273"/>
      <c r="B32" s="273"/>
      <c r="C32" s="1230" t="s">
        <v>1425</v>
      </c>
      <c r="D32" s="465">
        <v>0.80350228792678635</v>
      </c>
      <c r="E32" s="465">
        <v>0.82963745160154867</v>
      </c>
      <c r="F32" s="465">
        <v>0.85216473072861665</v>
      </c>
      <c r="G32" s="465">
        <v>0.86985216473072857</v>
      </c>
      <c r="H32" s="465">
        <v>0.87997184090109115</v>
      </c>
      <c r="I32" s="465">
        <v>0.88771559310102066</v>
      </c>
      <c r="J32" s="465">
        <v>0.90575501583949314</v>
      </c>
      <c r="K32" s="465">
        <v>0.9222984864484336</v>
      </c>
      <c r="L32" s="465">
        <v>0.93813797958465328</v>
      </c>
      <c r="M32" s="465">
        <v>0.95415346708905313</v>
      </c>
      <c r="N32" s="465">
        <v>0.96708905315029914</v>
      </c>
      <c r="O32" s="465">
        <v>0.98240056318197821</v>
      </c>
      <c r="P32" s="465">
        <v>1</v>
      </c>
      <c r="Q32" s="465">
        <v>1.019359380499824</v>
      </c>
      <c r="R32" s="465">
        <v>1.0397747272087292</v>
      </c>
      <c r="S32" s="465">
        <v>1.0606300598380851</v>
      </c>
      <c r="T32" s="465">
        <v>1.0793911749239329</v>
      </c>
      <c r="U32" s="465">
        <v>1.0984841488289794</v>
      </c>
      <c r="V32" s="465">
        <v>1.1179148516880952</v>
      </c>
      <c r="W32" s="465">
        <v>1.137689257470919</v>
      </c>
      <c r="X32" s="465">
        <v>1.1578134458185536</v>
      </c>
      <c r="Y32" s="465">
        <v>1.1782936039127527</v>
      </c>
      <c r="Z32" s="465">
        <v>1.1991360283781693</v>
      </c>
      <c r="AA32" s="465">
        <v>1.2203471272182529</v>
      </c>
      <c r="AB32" s="465">
        <v>1.2419334217853903</v>
      </c>
      <c r="AC32" s="465">
        <v>1.2639015487858956</v>
      </c>
      <c r="AD32" s="465">
        <v>1.2862582623204653</v>
      </c>
      <c r="AE32" s="465">
        <v>1.3090104359607266</v>
      </c>
      <c r="AF32" s="465">
        <v>1.3321650648625174</v>
      </c>
      <c r="AG32" s="465">
        <v>1.3557292679165465</v>
      </c>
      <c r="AH32" s="465">
        <v>1.3797102899370968</v>
      </c>
      <c r="AI32" s="465">
        <v>1.4041155038894431</v>
      </c>
      <c r="AJ32" s="465">
        <v>1.4289524131566711</v>
      </c>
      <c r="AK32" s="465">
        <v>1.4542286538465916</v>
      </c>
      <c r="AL32" s="465">
        <v>1.4799519971394628</v>
      </c>
      <c r="AM32" s="465">
        <v>1.5061303516772386</v>
      </c>
    </row>
    <row r="33" spans="1:39" s="1230" customFormat="1" x14ac:dyDescent="0.25">
      <c r="A33" s="273"/>
      <c r="B33" s="273"/>
      <c r="D33" s="465">
        <v>1.2445515277625672</v>
      </c>
      <c r="E33" s="465">
        <v>1.2053457785320323</v>
      </c>
      <c r="F33" s="465">
        <v>1.1734820322180917</v>
      </c>
      <c r="G33" s="465">
        <v>1.1496206373292868</v>
      </c>
      <c r="H33" s="465">
        <v>1.1364000000000001</v>
      </c>
      <c r="I33" s="465">
        <v>1.1264869151467092</v>
      </c>
      <c r="J33" s="465">
        <v>1.1040512969979597</v>
      </c>
      <c r="K33" s="465">
        <v>1.0842476862894763</v>
      </c>
      <c r="L33" s="465">
        <v>1.0659412813056937</v>
      </c>
      <c r="M33" s="465">
        <v>1.048049432813797</v>
      </c>
      <c r="N33" s="465">
        <v>1.0340309372156506</v>
      </c>
      <c r="O33" s="465">
        <v>1.0179147259046937</v>
      </c>
      <c r="P33" s="465">
        <v>1</v>
      </c>
      <c r="Q33" s="465">
        <v>0.98100828729281764</v>
      </c>
      <c r="R33" s="465">
        <v>0.96174678402166569</v>
      </c>
      <c r="S33" s="465">
        <v>0.94283580851240356</v>
      </c>
      <c r="T33" s="465">
        <v>0.92644818971256848</v>
      </c>
      <c r="U33" s="465">
        <v>0.91034540741077896</v>
      </c>
      <c r="V33" s="465">
        <v>0.89452251080657963</v>
      </c>
      <c r="W33" s="465">
        <v>0.87897463515037322</v>
      </c>
      <c r="X33" s="465">
        <v>0.86369700024775387</v>
      </c>
      <c r="Y33" s="465">
        <v>0.84868490898983562</v>
      </c>
      <c r="Z33" s="465">
        <v>0.83393374590912706</v>
      </c>
      <c r="AA33" s="465">
        <v>0.81943897576050517</v>
      </c>
      <c r="AB33" s="465">
        <v>0.80519614212685453</v>
      </c>
      <c r="AC33" s="465">
        <v>0.79120086604894224</v>
      </c>
      <c r="AD33" s="465">
        <v>0.77744884467910591</v>
      </c>
      <c r="AE33" s="465">
        <v>0.76393584995834385</v>
      </c>
      <c r="AF33" s="465">
        <v>0.75065772731639857</v>
      </c>
      <c r="AG33" s="465">
        <v>0.73761039439443321</v>
      </c>
      <c r="AH33" s="465">
        <v>0.72478983978991096</v>
      </c>
      <c r="AI33" s="465">
        <v>0.71219212182328973</v>
      </c>
      <c r="AJ33" s="465">
        <v>0.6998133673261514</v>
      </c>
      <c r="AK33" s="465">
        <v>0.68764977045039799</v>
      </c>
      <c r="AL33" s="465">
        <v>0.6756975914981419</v>
      </c>
      <c r="AM33" s="465">
        <v>0.66395315577193703</v>
      </c>
    </row>
    <row r="34" spans="1:39" s="1230" customFormat="1" x14ac:dyDescent="0.25">
      <c r="A34" s="273"/>
      <c r="B34" s="273"/>
      <c r="C34" s="1230" t="s">
        <v>1426</v>
      </c>
      <c r="D34" s="465">
        <v>0.78824240331491713</v>
      </c>
      <c r="E34" s="465">
        <v>0.81388121546961312</v>
      </c>
      <c r="F34" s="465">
        <v>0.83598066298342533</v>
      </c>
      <c r="G34" s="465">
        <v>0.85333218232044195</v>
      </c>
      <c r="H34" s="465">
        <v>0.86325966850828717</v>
      </c>
      <c r="I34" s="465">
        <v>0.87085635359116009</v>
      </c>
      <c r="J34" s="465">
        <v>0.8885531767955801</v>
      </c>
      <c r="K34" s="465">
        <v>0.9047824585635359</v>
      </c>
      <c r="L34" s="465">
        <v>0.92032113259668502</v>
      </c>
      <c r="M34" s="465">
        <v>0.9360324585635359</v>
      </c>
      <c r="N34" s="465">
        <v>0.94872237569060769</v>
      </c>
      <c r="O34" s="465">
        <v>0.96374309392265189</v>
      </c>
      <c r="P34" s="465">
        <v>0.98100828729281764</v>
      </c>
      <c r="Q34" s="465">
        <v>1</v>
      </c>
      <c r="R34" s="465">
        <v>1.0200276243093922</v>
      </c>
      <c r="S34" s="465">
        <v>1.0404868784530386</v>
      </c>
      <c r="T34" s="465">
        <v>1.0588916878311097</v>
      </c>
      <c r="U34" s="465">
        <v>1.0776220534610257</v>
      </c>
      <c r="V34" s="465">
        <v>1.0966837339937425</v>
      </c>
      <c r="W34" s="465">
        <v>1.1160825899429836</v>
      </c>
      <c r="X34" s="465">
        <v>1.1358245854870548</v>
      </c>
      <c r="Y34" s="465">
        <v>1.1559157903025312</v>
      </c>
      <c r="Z34" s="465">
        <v>1.1763623814303794</v>
      </c>
      <c r="AA34" s="465">
        <v>1.1971706451750885</v>
      </c>
      <c r="AB34" s="465">
        <v>1.2183469790373942</v>
      </c>
      <c r="AC34" s="465">
        <v>1.2398978936811909</v>
      </c>
      <c r="AD34" s="465">
        <v>1.2618300149352353</v>
      </c>
      <c r="AE34" s="465">
        <v>1.2841500858302568</v>
      </c>
      <c r="AF34" s="465">
        <v>1.3068649686721034</v>
      </c>
      <c r="AG34" s="465">
        <v>1.3299816471515566</v>
      </c>
      <c r="AH34" s="465">
        <v>1.353507228491468</v>
      </c>
      <c r="AI34" s="465">
        <v>1.3774489456318741</v>
      </c>
      <c r="AJ34" s="465">
        <v>1.4018141594537645</v>
      </c>
      <c r="AK34" s="465">
        <v>1.4266103610421845</v>
      </c>
      <c r="AL34" s="465">
        <v>1.4518451739893692</v>
      </c>
      <c r="AM34" s="465">
        <v>1.4775263567386168</v>
      </c>
    </row>
    <row r="35" spans="1:39" s="1230" customFormat="1" x14ac:dyDescent="0.25">
      <c r="A35" s="273"/>
      <c r="B35" s="273"/>
      <c r="D35" s="465">
        <v>1.2686452743401599</v>
      </c>
      <c r="E35" s="465">
        <v>1.2286805260924907</v>
      </c>
      <c r="F35" s="465">
        <v>1.1961999173895086</v>
      </c>
      <c r="G35" s="465">
        <v>1.1718765806777947</v>
      </c>
      <c r="H35" s="465">
        <v>1.1584000000000001</v>
      </c>
      <c r="I35" s="465">
        <v>1.1482950039651072</v>
      </c>
      <c r="J35" s="465">
        <v>1.1254250461478674</v>
      </c>
      <c r="K35" s="465">
        <v>1.1052380498044081</v>
      </c>
      <c r="L35" s="465">
        <v>1.0865772441609607</v>
      </c>
      <c r="M35" s="465">
        <v>1.068339020566264</v>
      </c>
      <c r="N35" s="465">
        <v>1.0540491355777981</v>
      </c>
      <c r="O35" s="465">
        <v>1.0376209243998566</v>
      </c>
      <c r="P35" s="465">
        <v>1.019359380499824</v>
      </c>
      <c r="Q35" s="465">
        <v>1</v>
      </c>
      <c r="R35" s="465">
        <v>0.98036560595802313</v>
      </c>
      <c r="S35" s="465">
        <v>0.96108852567825453</v>
      </c>
      <c r="T35" s="465">
        <v>0.94438365273058722</v>
      </c>
      <c r="U35" s="465">
        <v>0.92796913053911156</v>
      </c>
      <c r="V35" s="465">
        <v>0.91183991245894214</v>
      </c>
      <c r="W35" s="465">
        <v>0.89599103956194337</v>
      </c>
      <c r="X35" s="465">
        <v>0.88041763911210669</v>
      </c>
      <c r="Y35" s="465">
        <v>0.86511492306742843</v>
      </c>
      <c r="Z35" s="465">
        <v>0.85007818660782541</v>
      </c>
      <c r="AA35" s="465">
        <v>0.83530280668863888</v>
      </c>
      <c r="AB35" s="465">
        <v>0.82078424061927879</v>
      </c>
      <c r="AC35" s="465">
        <v>0.80651802466657418</v>
      </c>
      <c r="AD35" s="465">
        <v>0.79249977268239735</v>
      </c>
      <c r="AE35" s="465">
        <v>0.77872517475514413</v>
      </c>
      <c r="AF35" s="465">
        <v>0.76518999588464998</v>
      </c>
      <c r="AG35" s="465">
        <v>0.75189007468014035</v>
      </c>
      <c r="AH35" s="465">
        <v>0.73882132208081053</v>
      </c>
      <c r="AI35" s="465">
        <v>0.72597972009864375</v>
      </c>
      <c r="AJ35" s="465">
        <v>0.71336132058308166</v>
      </c>
      <c r="AK35" s="465">
        <v>0.70096224400716389</v>
      </c>
      <c r="AL35" s="465">
        <v>0.68877867827476913</v>
      </c>
      <c r="AM35" s="465">
        <v>0.67680687754858504</v>
      </c>
    </row>
    <row r="36" spans="1:39" s="1230" customFormat="1" x14ac:dyDescent="0.25">
      <c r="A36" s="273"/>
      <c r="B36" s="273"/>
      <c r="C36" s="1230" t="s">
        <v>1427</v>
      </c>
      <c r="D36" s="465">
        <v>0.77276574136763709</v>
      </c>
      <c r="E36" s="465">
        <v>0.79790115098171965</v>
      </c>
      <c r="F36" s="465">
        <v>0.8195666892349357</v>
      </c>
      <c r="G36" s="465">
        <v>0.83657752200406232</v>
      </c>
      <c r="H36" s="465">
        <v>0.84631008801624918</v>
      </c>
      <c r="I36" s="465">
        <v>0.8537576167907921</v>
      </c>
      <c r="J36" s="465">
        <v>0.87110697359512534</v>
      </c>
      <c r="K36" s="465">
        <v>0.88701760324983081</v>
      </c>
      <c r="L36" s="465">
        <v>0.90225118483412325</v>
      </c>
      <c r="M36" s="465">
        <v>0.91765402843601895</v>
      </c>
      <c r="N36" s="465">
        <v>0.93009478672985779</v>
      </c>
      <c r="O36" s="465">
        <v>0.94482058226134058</v>
      </c>
      <c r="P36" s="465">
        <v>0.96174678402166558</v>
      </c>
      <c r="Q36" s="465">
        <v>0.98036560595802313</v>
      </c>
      <c r="R36" s="465">
        <v>1</v>
      </c>
      <c r="S36" s="465">
        <v>1.0200575490859851</v>
      </c>
      <c r="T36" s="465">
        <v>1.0381009911844596</v>
      </c>
      <c r="U36" s="465">
        <v>1.0564635974350476</v>
      </c>
      <c r="V36" s="465">
        <v>1.0751510134210829</v>
      </c>
      <c r="W36" s="465">
        <v>1.0941689845886531</v>
      </c>
      <c r="X36" s="465">
        <v>1.113523358013037</v>
      </c>
      <c r="Y36" s="465">
        <v>1.1332200841963884</v>
      </c>
      <c r="Z36" s="465">
        <v>1.1532652188972172</v>
      </c>
      <c r="AA36" s="465">
        <v>1.1736649249922333</v>
      </c>
      <c r="AB36" s="465">
        <v>1.194425474371122</v>
      </c>
      <c r="AC36" s="465">
        <v>1.2155532498648374</v>
      </c>
      <c r="AD36" s="465">
        <v>1.2370547472080033</v>
      </c>
      <c r="AE36" s="465">
        <v>1.2589365770360272</v>
      </c>
      <c r="AF36" s="465">
        <v>1.2812054669175397</v>
      </c>
      <c r="AG36" s="465">
        <v>1.3038682634227856</v>
      </c>
      <c r="AH36" s="465">
        <v>1.3269319342286026</v>
      </c>
      <c r="AI36" s="465">
        <v>1.3504035702606323</v>
      </c>
      <c r="AJ36" s="465">
        <v>1.3742903878734267</v>
      </c>
      <c r="AK36" s="465">
        <v>1.3985997310691154</v>
      </c>
      <c r="AL36" s="465">
        <v>1.4233390737553195</v>
      </c>
      <c r="AM36" s="465">
        <v>1.4485160220430044</v>
      </c>
    </row>
    <row r="37" spans="1:39" s="1230" customFormat="1" x14ac:dyDescent="0.25">
      <c r="A37" s="273"/>
      <c r="B37" s="273"/>
      <c r="D37" s="465">
        <v>1.2940532252765304</v>
      </c>
      <c r="E37" s="465">
        <v>1.2532880780653373</v>
      </c>
      <c r="F37" s="465">
        <v>1.2201569599339115</v>
      </c>
      <c r="G37" s="465">
        <v>1.1953464845725847</v>
      </c>
      <c r="H37" s="465">
        <v>1.1816</v>
      </c>
      <c r="I37" s="465">
        <v>1.1712926249008724</v>
      </c>
      <c r="J37" s="465">
        <v>1.1479646361604974</v>
      </c>
      <c r="K37" s="465">
        <v>1.1273733422383359</v>
      </c>
      <c r="L37" s="465">
        <v>1.108338804990151</v>
      </c>
      <c r="M37" s="465">
        <v>1.0897353131052292</v>
      </c>
      <c r="N37" s="465">
        <v>1.0751592356687898</v>
      </c>
      <c r="O37" s="465">
        <v>1.0584020064493014</v>
      </c>
      <c r="P37" s="465">
        <v>1.0397747272087292</v>
      </c>
      <c r="Q37" s="465">
        <v>1.0200276243093922</v>
      </c>
      <c r="R37" s="465">
        <v>1</v>
      </c>
      <c r="S37" s="465">
        <v>0.98033684559860612</v>
      </c>
      <c r="T37" s="465">
        <v>0.96329741373140687</v>
      </c>
      <c r="U37" s="465">
        <v>0.94655414765626222</v>
      </c>
      <c r="V37" s="465">
        <v>0.93010189965597889</v>
      </c>
      <c r="W37" s="465">
        <v>0.91393561148687152</v>
      </c>
      <c r="X37" s="465">
        <v>0.89805031282360592</v>
      </c>
      <c r="Y37" s="465">
        <v>0.88244111973107142</v>
      </c>
      <c r="Z37" s="465">
        <v>0.86710323316281623</v>
      </c>
      <c r="AA37" s="465">
        <v>0.85203193748557959</v>
      </c>
      <c r="AB37" s="465">
        <v>0.83722259902947138</v>
      </c>
      <c r="AC37" s="465">
        <v>0.82267066466334926</v>
      </c>
      <c r="AD37" s="465">
        <v>0.808371660394959</v>
      </c>
      <c r="AE37" s="465">
        <v>0.7943211899954058</v>
      </c>
      <c r="AF37" s="465">
        <v>0.78051493364753299</v>
      </c>
      <c r="AG37" s="465">
        <v>0.76694864661779494</v>
      </c>
      <c r="AH37" s="465">
        <v>0.75361815795121334</v>
      </c>
      <c r="AI37" s="465">
        <v>0.74051936918901717</v>
      </c>
      <c r="AJ37" s="465">
        <v>0.7276482531085714</v>
      </c>
      <c r="AK37" s="465">
        <v>0.71500085248520784</v>
      </c>
      <c r="AL37" s="465">
        <v>0.70257327887557586</v>
      </c>
      <c r="AM37" s="465">
        <v>0.69036171142214087</v>
      </c>
    </row>
    <row r="38" spans="1:39" s="1230" customFormat="1" x14ac:dyDescent="0.25">
      <c r="A38" s="273"/>
      <c r="B38" s="273"/>
      <c r="C38" s="1230" t="s">
        <v>1428</v>
      </c>
      <c r="D38" s="465">
        <v>0.7575707292790177</v>
      </c>
      <c r="E38" s="465">
        <v>0.78221189745291619</v>
      </c>
      <c r="F38" s="465">
        <v>0.80345142288227001</v>
      </c>
      <c r="G38" s="465">
        <v>0.82012776902016093</v>
      </c>
      <c r="H38" s="465">
        <v>0.82966896208412844</v>
      </c>
      <c r="I38" s="465">
        <v>0.83697004895046867</v>
      </c>
      <c r="J38" s="465">
        <v>0.85397826267319343</v>
      </c>
      <c r="K38" s="465">
        <v>0.86957603916037496</v>
      </c>
      <c r="L38" s="465">
        <v>0.88451008047788937</v>
      </c>
      <c r="M38" s="465">
        <v>0.89961005558782048</v>
      </c>
      <c r="N38" s="465">
        <v>0.9118061893304571</v>
      </c>
      <c r="O38" s="465">
        <v>0.92624242927072098</v>
      </c>
      <c r="P38" s="465">
        <v>0.94283580851240356</v>
      </c>
      <c r="Q38" s="465">
        <v>0.96108852567825442</v>
      </c>
      <c r="R38" s="465">
        <v>0.98033684559860612</v>
      </c>
      <c r="S38" s="465">
        <v>1</v>
      </c>
      <c r="T38" s="465">
        <v>1.0176886511105596</v>
      </c>
      <c r="U38" s="465">
        <v>1.0356901905992304</v>
      </c>
      <c r="V38" s="465">
        <v>1.0540101530393691</v>
      </c>
      <c r="W38" s="465">
        <v>1.07265417090347</v>
      </c>
      <c r="X38" s="465">
        <v>1.0916279762948682</v>
      </c>
      <c r="Y38" s="465">
        <v>1.1109374027100745</v>
      </c>
      <c r="Z38" s="465">
        <v>1.1305883868322841</v>
      </c>
      <c r="AA38" s="465">
        <v>1.1505869703566107</v>
      </c>
      <c r="AB38" s="465">
        <v>1.1709393018476046</v>
      </c>
      <c r="AC38" s="465">
        <v>1.1916516386296292</v>
      </c>
      <c r="AD38" s="465">
        <v>1.2127303487106753</v>
      </c>
      <c r="AE38" s="465">
        <v>1.2341819127402058</v>
      </c>
      <c r="AF38" s="465">
        <v>1.2560129260016304</v>
      </c>
      <c r="AG38" s="465">
        <v>1.2782301004400263</v>
      </c>
      <c r="AH38" s="465">
        <v>1.3008402667257255</v>
      </c>
      <c r="AI38" s="465">
        <v>1.3238503763544043</v>
      </c>
      <c r="AJ38" s="465">
        <v>1.3472675037843205</v>
      </c>
      <c r="AK38" s="465">
        <v>1.3710988486113558</v>
      </c>
      <c r="AL38" s="465">
        <v>1.395351737782532</v>
      </c>
      <c r="AM38" s="465">
        <v>1.4200336278486803</v>
      </c>
    </row>
    <row r="39" spans="1:39" s="1230" customFormat="1" x14ac:dyDescent="0.25">
      <c r="A39" s="273"/>
      <c r="B39" s="273"/>
      <c r="C39" s="288"/>
      <c r="D39" s="465">
        <v>1.3200087613623919</v>
      </c>
      <c r="E39" s="465">
        <v>1.2784259652100129</v>
      </c>
      <c r="F39" s="465">
        <v>1.2446303180503924</v>
      </c>
      <c r="G39" s="465">
        <v>1.219322205361659</v>
      </c>
      <c r="H39" s="465">
        <v>1.2053</v>
      </c>
      <c r="I39" s="465">
        <v>1.1947858842188741</v>
      </c>
      <c r="J39" s="465">
        <v>1.1709899931992616</v>
      </c>
      <c r="K39" s="465">
        <v>1.1499856883885127</v>
      </c>
      <c r="L39" s="465">
        <v>1.1305693649751429</v>
      </c>
      <c r="M39" s="465">
        <v>1.1115927326385686</v>
      </c>
      <c r="N39" s="465">
        <v>1.0967242948134668</v>
      </c>
      <c r="O39" s="465">
        <v>1.0796309566463633</v>
      </c>
      <c r="P39" s="465">
        <v>1.0606300598380851</v>
      </c>
      <c r="Q39" s="465">
        <v>1.0404868784530386</v>
      </c>
      <c r="R39" s="465">
        <v>1.0200575490859851</v>
      </c>
      <c r="S39" s="465">
        <v>1</v>
      </c>
      <c r="T39" s="465">
        <v>0.9826187988917271</v>
      </c>
      <c r="U39" s="465">
        <v>0.96553970393542032</v>
      </c>
      <c r="V39" s="465">
        <v>0.94875746416329665</v>
      </c>
      <c r="W39" s="465">
        <v>0.93226691987569932</v>
      </c>
      <c r="X39" s="465">
        <v>0.91606300105474958</v>
      </c>
      <c r="Y39" s="465">
        <v>0.90014072580556892</v>
      </c>
      <c r="Z39" s="465">
        <v>0.8844951988245956</v>
      </c>
      <c r="AA39" s="465">
        <v>0.86912160989452358</v>
      </c>
      <c r="AB39" s="465">
        <v>0.85401523240540089</v>
      </c>
      <c r="AC39" s="465">
        <v>0.83917142190143423</v>
      </c>
      <c r="AD39" s="465">
        <v>0.82458561465305014</v>
      </c>
      <c r="AE39" s="465">
        <v>0.81025332625377655</v>
      </c>
      <c r="AF39" s="465">
        <v>0.79617015024151272</v>
      </c>
      <c r="AG39" s="465">
        <v>0.7823317567437611</v>
      </c>
      <c r="AH39" s="465">
        <v>0.76873389114640933</v>
      </c>
      <c r="AI39" s="465">
        <v>0.75537237278564839</v>
      </c>
      <c r="AJ39" s="465">
        <v>0.74224309366262775</v>
      </c>
      <c r="AK39" s="465">
        <v>0.729342017180451</v>
      </c>
      <c r="AL39" s="465">
        <v>0.71666517690312415</v>
      </c>
      <c r="AM39" s="465">
        <v>0.70420867533607501</v>
      </c>
    </row>
    <row r="40" spans="1:39" ht="15.75" x14ac:dyDescent="0.25">
      <c r="A40" s="273"/>
      <c r="B40" s="273"/>
      <c r="C40" s="289"/>
      <c r="D40" s="284"/>
      <c r="E40" s="284"/>
      <c r="F40" s="284"/>
      <c r="G40" s="284"/>
      <c r="H40" s="284"/>
      <c r="I40" s="284"/>
      <c r="J40" s="284"/>
      <c r="K40" s="284"/>
      <c r="L40" s="284"/>
      <c r="M40" s="284"/>
      <c r="N40" s="284"/>
      <c r="O40" s="284"/>
      <c r="P40" s="284"/>
      <c r="Q40" s="284"/>
      <c r="R40" s="284"/>
      <c r="S40" s="284"/>
      <c r="T40" s="284"/>
      <c r="U40" s="284"/>
      <c r="V40" s="284"/>
      <c r="W40" s="284"/>
      <c r="X40" s="284"/>
      <c r="Y40" s="284"/>
      <c r="Z40" s="284"/>
      <c r="AA40" s="284"/>
      <c r="AB40" s="284"/>
      <c r="AC40" s="284"/>
      <c r="AD40" s="284"/>
      <c r="AE40" s="284"/>
      <c r="AF40" s="284"/>
      <c r="AG40" s="284"/>
      <c r="AH40" s="284"/>
      <c r="AI40" s="284"/>
      <c r="AJ40" s="284"/>
      <c r="AK40" s="284"/>
      <c r="AL40" s="284"/>
      <c r="AM40" s="284"/>
    </row>
    <row r="41" spans="1:39" x14ac:dyDescent="0.25">
      <c r="A41" s="273"/>
      <c r="B41" s="273"/>
      <c r="C41" s="277"/>
      <c r="D41" s="285"/>
      <c r="E41" s="285"/>
      <c r="F41" s="285"/>
      <c r="G41" s="285"/>
      <c r="H41" s="285"/>
      <c r="I41" s="285"/>
      <c r="J41" s="285"/>
      <c r="K41" s="285"/>
      <c r="L41" s="285"/>
      <c r="M41" s="285"/>
      <c r="N41" s="285"/>
      <c r="O41" s="285"/>
      <c r="P41" s="285"/>
      <c r="Q41" s="285"/>
      <c r="R41" s="285"/>
      <c r="S41" s="285"/>
      <c r="T41" s="285"/>
      <c r="U41" s="285"/>
      <c r="V41" s="285"/>
      <c r="W41" s="285"/>
      <c r="X41" s="285"/>
      <c r="Y41" s="285"/>
      <c r="Z41" s="285"/>
      <c r="AA41" s="285"/>
      <c r="AB41" s="285"/>
      <c r="AC41" s="285"/>
      <c r="AD41" s="285"/>
      <c r="AE41" s="285"/>
      <c r="AF41" s="285"/>
      <c r="AG41" s="285"/>
      <c r="AH41" s="285"/>
      <c r="AI41" s="285"/>
      <c r="AJ41" s="285"/>
      <c r="AK41" s="285"/>
      <c r="AL41" s="285"/>
      <c r="AM41" s="277"/>
    </row>
    <row r="42" spans="1:39" x14ac:dyDescent="0.25">
      <c r="A42" s="273"/>
      <c r="B42" s="273"/>
      <c r="C42" s="277"/>
      <c r="D42" s="285"/>
      <c r="E42" s="285"/>
      <c r="F42" s="285"/>
      <c r="G42" s="285"/>
      <c r="H42" s="285"/>
      <c r="I42" s="285"/>
      <c r="J42" s="285"/>
      <c r="K42" s="285"/>
      <c r="L42" s="285"/>
      <c r="M42" s="285"/>
      <c r="N42" s="285"/>
      <c r="O42" s="285"/>
      <c r="P42" s="285"/>
      <c r="Q42" s="285"/>
      <c r="R42" s="285"/>
      <c r="S42" s="277"/>
      <c r="T42" s="277"/>
      <c r="U42" s="277"/>
      <c r="V42" s="277"/>
      <c r="W42" s="277"/>
      <c r="X42" s="277"/>
      <c r="Y42" s="277"/>
      <c r="Z42" s="277"/>
      <c r="AA42" s="277"/>
      <c r="AB42" s="277"/>
      <c r="AC42" s="277"/>
      <c r="AD42" s="277"/>
      <c r="AE42" s="277"/>
      <c r="AF42" s="277"/>
      <c r="AG42" s="277"/>
      <c r="AH42" s="277"/>
      <c r="AI42" s="277"/>
      <c r="AJ42" s="277"/>
      <c r="AK42" s="277"/>
      <c r="AL42" s="277"/>
      <c r="AM42" s="277"/>
    </row>
    <row r="43" spans="1:39" x14ac:dyDescent="0.25">
      <c r="A43" s="273"/>
      <c r="B43" s="273"/>
      <c r="C43" s="280" t="s">
        <v>1429</v>
      </c>
      <c r="D43" s="278"/>
      <c r="E43" s="278"/>
      <c r="F43" s="278"/>
      <c r="G43" s="278"/>
      <c r="H43" s="278"/>
      <c r="I43" s="278"/>
      <c r="J43" s="277"/>
      <c r="K43" s="277"/>
      <c r="L43" s="277"/>
      <c r="M43" s="277"/>
      <c r="N43" s="277"/>
      <c r="O43" s="277"/>
      <c r="P43" s="277"/>
      <c r="Q43" s="277"/>
      <c r="R43" s="277"/>
      <c r="S43" s="277"/>
      <c r="T43" s="277"/>
      <c r="U43" s="277"/>
      <c r="V43" s="277"/>
      <c r="W43" s="277"/>
      <c r="X43" s="277"/>
      <c r="Y43" s="277"/>
      <c r="Z43" s="277"/>
      <c r="AA43" s="277"/>
      <c r="AB43" s="277"/>
      <c r="AC43" s="277"/>
      <c r="AD43" s="277"/>
      <c r="AE43" s="277"/>
      <c r="AF43" s="277"/>
      <c r="AG43" s="277"/>
      <c r="AH43" s="277"/>
      <c r="AI43" s="277"/>
      <c r="AJ43" s="277"/>
      <c r="AK43" s="277"/>
      <c r="AL43" s="277"/>
      <c r="AM43" s="277"/>
    </row>
    <row r="44" spans="1:39" x14ac:dyDescent="0.25">
      <c r="A44" s="273"/>
      <c r="B44" s="273"/>
      <c r="C44" s="280" t="s">
        <v>1430</v>
      </c>
      <c r="D44" s="277"/>
      <c r="E44" s="278"/>
      <c r="F44" s="278"/>
      <c r="G44" s="278"/>
      <c r="H44" s="278"/>
      <c r="I44" s="277"/>
      <c r="J44" s="277"/>
      <c r="K44" s="277"/>
      <c r="L44" s="277"/>
      <c r="M44" s="277"/>
      <c r="N44" s="277"/>
      <c r="O44" s="277"/>
      <c r="P44" s="277"/>
      <c r="Q44" s="277"/>
      <c r="R44" s="277"/>
      <c r="S44" s="277"/>
      <c r="T44" s="277"/>
      <c r="U44" s="277"/>
      <c r="V44" s="277"/>
      <c r="W44" s="277"/>
      <c r="X44" s="277"/>
      <c r="Y44" s="277"/>
      <c r="Z44" s="277"/>
      <c r="AA44" s="277"/>
      <c r="AB44" s="277"/>
      <c r="AC44" s="277"/>
      <c r="AD44" s="277"/>
      <c r="AE44" s="277"/>
      <c r="AF44" s="277"/>
      <c r="AG44" s="277"/>
      <c r="AH44" s="277"/>
      <c r="AI44" s="277"/>
      <c r="AJ44" s="277"/>
      <c r="AK44" s="277"/>
      <c r="AL44" s="277"/>
      <c r="AM44" s="277"/>
    </row>
    <row r="45" spans="1:39" x14ac:dyDescent="0.25">
      <c r="A45" s="273"/>
      <c r="B45" s="273"/>
      <c r="C45" s="290" t="s">
        <v>1431</v>
      </c>
      <c r="D45" s="277"/>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c r="AH45" s="277"/>
      <c r="AI45" s="277"/>
      <c r="AJ45" s="277"/>
      <c r="AK45" s="277"/>
      <c r="AL45" s="277"/>
      <c r="AM45" s="277"/>
    </row>
    <row r="46" spans="1:39" x14ac:dyDescent="0.25">
      <c r="A46" s="273"/>
      <c r="B46" s="273"/>
      <c r="C46" s="290"/>
      <c r="D46" s="277"/>
      <c r="E46" s="277"/>
      <c r="F46" s="277"/>
      <c r="G46" s="277"/>
      <c r="H46" s="277"/>
      <c r="I46" s="277"/>
      <c r="J46" s="277"/>
      <c r="K46" s="277"/>
      <c r="L46" s="277"/>
      <c r="M46" s="277"/>
      <c r="N46" s="277"/>
      <c r="O46" s="277"/>
      <c r="P46" s="277"/>
      <c r="Q46" s="277"/>
      <c r="R46" s="277"/>
      <c r="S46" s="277"/>
      <c r="T46" s="277"/>
      <c r="U46" s="277"/>
      <c r="V46" s="277"/>
      <c r="W46" s="277"/>
      <c r="X46" s="277"/>
      <c r="Y46" s="277"/>
      <c r="Z46" s="277"/>
      <c r="AA46" s="277"/>
      <c r="AB46" s="277"/>
      <c r="AC46" s="277"/>
      <c r="AD46" s="277"/>
      <c r="AE46" s="277"/>
      <c r="AF46" s="277"/>
      <c r="AG46" s="277"/>
      <c r="AH46" s="277"/>
      <c r="AI46" s="277"/>
      <c r="AJ46" s="277"/>
      <c r="AK46" s="277"/>
      <c r="AL46" s="277"/>
      <c r="AM46" s="277"/>
    </row>
    <row r="47" spans="1:39" x14ac:dyDescent="0.25">
      <c r="A47" s="273"/>
      <c r="B47" s="273"/>
      <c r="C47" s="290"/>
      <c r="D47" s="277"/>
      <c r="E47" s="277"/>
      <c r="F47" s="277"/>
      <c r="G47" s="277"/>
      <c r="H47" s="277"/>
      <c r="I47" s="277"/>
      <c r="J47" s="277"/>
      <c r="K47" s="277"/>
      <c r="L47" s="277"/>
      <c r="M47" s="277"/>
      <c r="N47" s="277"/>
      <c r="O47" s="277"/>
      <c r="P47" s="277"/>
      <c r="Q47" s="277"/>
      <c r="R47" s="277"/>
      <c r="S47" s="277"/>
      <c r="T47" s="277"/>
      <c r="U47" s="277"/>
      <c r="V47" s="277"/>
      <c r="W47" s="277"/>
      <c r="X47" s="277"/>
      <c r="Y47" s="277"/>
      <c r="Z47" s="277"/>
      <c r="AA47" s="277"/>
      <c r="AB47" s="277"/>
      <c r="AC47" s="277"/>
      <c r="AD47" s="277"/>
      <c r="AE47" s="277"/>
      <c r="AF47" s="277"/>
      <c r="AG47" s="277"/>
      <c r="AH47" s="277"/>
      <c r="AI47" s="277"/>
      <c r="AJ47" s="277"/>
      <c r="AK47" s="277"/>
      <c r="AL47" s="277"/>
      <c r="AM47" s="277"/>
    </row>
    <row r="48" spans="1:39" x14ac:dyDescent="0.25">
      <c r="A48" s="273"/>
      <c r="B48" s="273"/>
      <c r="C48" s="290"/>
      <c r="D48" s="277"/>
      <c r="E48" s="277"/>
      <c r="F48" s="277"/>
      <c r="G48" s="277"/>
      <c r="H48" s="277"/>
      <c r="I48" s="277"/>
      <c r="J48" s="277"/>
      <c r="K48" s="277"/>
      <c r="L48" s="277"/>
      <c r="M48" s="277"/>
      <c r="N48" s="277"/>
      <c r="O48" s="277"/>
      <c r="P48" s="277"/>
      <c r="Q48" s="277"/>
      <c r="R48" s="277"/>
      <c r="S48" s="277"/>
      <c r="T48" s="277"/>
      <c r="U48" s="277"/>
      <c r="V48" s="277"/>
      <c r="W48" s="277"/>
      <c r="X48" s="277"/>
      <c r="Y48" s="277"/>
      <c r="Z48" s="277"/>
      <c r="AA48" s="277"/>
      <c r="AB48" s="277"/>
      <c r="AC48" s="277"/>
      <c r="AD48" s="277"/>
      <c r="AE48" s="277"/>
      <c r="AF48" s="277"/>
      <c r="AG48" s="277"/>
      <c r="AH48" s="277"/>
      <c r="AI48" s="277"/>
      <c r="AJ48" s="277"/>
      <c r="AK48" s="277"/>
      <c r="AL48" s="277"/>
      <c r="AM48" s="277"/>
    </row>
    <row r="49" spans="1:39" x14ac:dyDescent="0.25">
      <c r="A49" s="273"/>
      <c r="B49" s="273"/>
      <c r="C49" s="290"/>
      <c r="D49" s="277"/>
      <c r="E49" s="277"/>
      <c r="F49" s="277"/>
      <c r="G49" s="277"/>
      <c r="H49" s="277"/>
      <c r="I49" s="277"/>
      <c r="J49" s="277"/>
      <c r="K49" s="277"/>
      <c r="L49" s="277"/>
      <c r="M49" s="277"/>
      <c r="N49" s="277"/>
      <c r="O49" s="277"/>
      <c r="P49" s="277"/>
      <c r="Q49" s="277"/>
      <c r="R49" s="277"/>
      <c r="S49" s="277"/>
      <c r="T49" s="277"/>
      <c r="U49" s="277"/>
      <c r="V49" s="277"/>
      <c r="W49" s="277"/>
      <c r="X49" s="277"/>
      <c r="Y49" s="277"/>
      <c r="Z49" s="277"/>
      <c r="AA49" s="277"/>
      <c r="AB49" s="277"/>
      <c r="AC49" s="277"/>
      <c r="AD49" s="277"/>
      <c r="AE49" s="277"/>
      <c r="AF49" s="277"/>
      <c r="AG49" s="277"/>
      <c r="AH49" s="277"/>
      <c r="AI49" s="277"/>
      <c r="AJ49" s="277"/>
      <c r="AK49" s="277"/>
      <c r="AL49" s="277"/>
      <c r="AM49" s="277"/>
    </row>
    <row r="50" spans="1:39" x14ac:dyDescent="0.25">
      <c r="A50" s="273"/>
      <c r="B50" s="273"/>
      <c r="C50" s="290"/>
      <c r="D50" s="277"/>
      <c r="E50" s="277"/>
      <c r="F50" s="277"/>
      <c r="G50" s="277"/>
      <c r="H50" s="277"/>
      <c r="I50" s="277"/>
      <c r="J50" s="277"/>
      <c r="K50" s="277"/>
      <c r="L50" s="277"/>
      <c r="M50" s="277"/>
      <c r="N50" s="277"/>
      <c r="O50" s="277"/>
      <c r="P50" s="277"/>
      <c r="Q50" s="277"/>
      <c r="R50" s="277"/>
      <c r="S50" s="277"/>
      <c r="T50" s="277"/>
      <c r="U50" s="277"/>
      <c r="V50" s="277"/>
      <c r="W50" s="277"/>
      <c r="X50" s="277"/>
      <c r="Y50" s="277"/>
      <c r="Z50" s="277"/>
      <c r="AA50" s="277"/>
      <c r="AB50" s="277"/>
      <c r="AC50" s="277"/>
      <c r="AD50" s="277"/>
      <c r="AE50" s="277"/>
      <c r="AF50" s="277"/>
      <c r="AG50" s="277"/>
      <c r="AH50" s="277"/>
      <c r="AI50" s="277"/>
      <c r="AJ50" s="277"/>
      <c r="AK50" s="277"/>
      <c r="AL50" s="277"/>
      <c r="AM50" s="277"/>
    </row>
    <row r="51" spans="1:39" x14ac:dyDescent="0.25">
      <c r="A51" s="273"/>
      <c r="B51" s="273"/>
      <c r="C51" s="290"/>
      <c r="D51" s="809">
        <f>HLOOKUP($E$4,E$51:R$53,3)</f>
        <v>17</v>
      </c>
      <c r="E51" s="648">
        <v>2007</v>
      </c>
      <c r="F51" s="648">
        <v>2008</v>
      </c>
      <c r="G51" s="648">
        <v>2009</v>
      </c>
      <c r="H51" s="648">
        <v>2010</v>
      </c>
      <c r="I51" s="648">
        <v>2011</v>
      </c>
      <c r="J51" s="648">
        <v>2012</v>
      </c>
      <c r="K51" s="648">
        <v>2013</v>
      </c>
      <c r="L51" s="648">
        <v>2014</v>
      </c>
      <c r="M51" s="648">
        <v>2015</v>
      </c>
      <c r="N51" s="277">
        <v>2016</v>
      </c>
      <c r="O51" s="277">
        <v>2017</v>
      </c>
      <c r="P51" s="277">
        <v>2018</v>
      </c>
      <c r="Q51" s="277">
        <v>2019</v>
      </c>
      <c r="R51" s="277">
        <v>2020</v>
      </c>
      <c r="S51" s="277"/>
      <c r="T51" s="277"/>
      <c r="U51" s="277"/>
      <c r="V51" s="277"/>
      <c r="W51" s="277"/>
      <c r="X51" s="277"/>
      <c r="Y51" s="277"/>
      <c r="Z51" s="277"/>
      <c r="AA51" s="277"/>
      <c r="AB51" s="277"/>
      <c r="AC51" s="277"/>
      <c r="AD51" s="277"/>
      <c r="AE51" s="277"/>
      <c r="AF51" s="277"/>
      <c r="AG51" s="277"/>
      <c r="AH51" s="277"/>
      <c r="AI51" s="277"/>
      <c r="AJ51" s="277"/>
      <c r="AK51" s="277"/>
      <c r="AL51" s="277"/>
      <c r="AM51" s="277"/>
    </row>
    <row r="52" spans="1:39" x14ac:dyDescent="0.25">
      <c r="A52" s="273"/>
      <c r="B52" s="273"/>
      <c r="C52" s="290"/>
      <c r="D52" s="809">
        <f>HLOOKUP($E$4,E$51:R$53,2)</f>
        <v>16</v>
      </c>
      <c r="E52" s="648">
        <v>2</v>
      </c>
      <c r="F52" s="648">
        <v>4</v>
      </c>
      <c r="G52" s="648">
        <v>6</v>
      </c>
      <c r="H52" s="648">
        <v>8</v>
      </c>
      <c r="I52" s="648">
        <v>10</v>
      </c>
      <c r="J52" s="648">
        <v>12</v>
      </c>
      <c r="K52" s="648">
        <v>14</v>
      </c>
      <c r="L52" s="648">
        <v>16</v>
      </c>
      <c r="M52" s="648">
        <v>18</v>
      </c>
      <c r="N52" s="277">
        <v>20</v>
      </c>
      <c r="O52" s="277">
        <v>22</v>
      </c>
      <c r="P52" s="277">
        <v>24</v>
      </c>
      <c r="Q52" s="277">
        <v>26</v>
      </c>
      <c r="R52" s="277">
        <v>28</v>
      </c>
      <c r="S52" s="277"/>
      <c r="T52" s="277"/>
      <c r="U52" s="277"/>
      <c r="V52" s="277"/>
      <c r="W52" s="277"/>
      <c r="X52" s="277"/>
      <c r="Y52" s="277"/>
      <c r="Z52" s="277"/>
      <c r="AA52" s="277"/>
      <c r="AB52" s="277"/>
      <c r="AC52" s="277"/>
      <c r="AD52" s="277"/>
      <c r="AE52" s="277"/>
      <c r="AF52" s="277"/>
      <c r="AG52" s="277"/>
      <c r="AH52" s="277"/>
      <c r="AI52" s="277"/>
      <c r="AJ52" s="277"/>
      <c r="AK52" s="277"/>
      <c r="AL52" s="277"/>
      <c r="AM52" s="277"/>
    </row>
    <row r="53" spans="1:39" x14ac:dyDescent="0.25">
      <c r="A53" s="273"/>
      <c r="B53" s="273"/>
      <c r="C53" s="290"/>
      <c r="D53" s="649"/>
      <c r="E53" s="648">
        <v>3</v>
      </c>
      <c r="F53" s="648">
        <v>5</v>
      </c>
      <c r="G53" s="648">
        <v>7</v>
      </c>
      <c r="H53" s="648">
        <v>9</v>
      </c>
      <c r="I53" s="648">
        <v>11</v>
      </c>
      <c r="J53" s="648">
        <v>13</v>
      </c>
      <c r="K53" s="648">
        <v>15</v>
      </c>
      <c r="L53" s="648">
        <v>17</v>
      </c>
      <c r="M53" s="648">
        <v>19</v>
      </c>
      <c r="N53" s="277">
        <v>21</v>
      </c>
      <c r="O53" s="277">
        <v>23</v>
      </c>
      <c r="P53" s="277">
        <v>25</v>
      </c>
      <c r="Q53" s="277">
        <v>27</v>
      </c>
      <c r="R53" s="277">
        <v>29</v>
      </c>
      <c r="S53" s="277"/>
      <c r="T53" s="277"/>
      <c r="U53" s="277"/>
      <c r="V53" s="277"/>
      <c r="W53" s="277"/>
      <c r="X53" s="277"/>
      <c r="Y53" s="277"/>
      <c r="Z53" s="277"/>
      <c r="AA53" s="277"/>
      <c r="AB53" s="277"/>
      <c r="AC53" s="277"/>
      <c r="AD53" s="277"/>
      <c r="AE53" s="277"/>
      <c r="AF53" s="277"/>
      <c r="AG53" s="277"/>
      <c r="AH53" s="277"/>
      <c r="AI53" s="277"/>
      <c r="AJ53" s="277"/>
      <c r="AK53" s="277"/>
      <c r="AL53" s="277"/>
      <c r="AM53" s="277"/>
    </row>
    <row r="54" spans="1:39" x14ac:dyDescent="0.25">
      <c r="A54" s="273"/>
      <c r="B54" s="273"/>
      <c r="C54" s="290"/>
      <c r="D54" s="277"/>
      <c r="E54" s="277"/>
      <c r="F54" s="277"/>
      <c r="G54" s="277"/>
      <c r="H54" s="277"/>
      <c r="I54" s="277"/>
      <c r="J54" s="277"/>
      <c r="K54" s="277"/>
      <c r="L54" s="277"/>
      <c r="M54" s="277"/>
      <c r="N54" s="277"/>
      <c r="O54" s="277"/>
      <c r="P54" s="277"/>
      <c r="Q54" s="277"/>
      <c r="R54" s="277"/>
      <c r="S54" s="277"/>
      <c r="T54" s="277"/>
      <c r="U54" s="277"/>
      <c r="V54" s="277"/>
      <c r="W54" s="277"/>
      <c r="X54" s="277"/>
      <c r="Y54" s="277"/>
      <c r="Z54" s="277"/>
      <c r="AA54" s="277"/>
      <c r="AB54" s="277"/>
      <c r="AC54" s="277"/>
      <c r="AD54" s="277"/>
      <c r="AE54" s="277"/>
      <c r="AF54" s="277"/>
      <c r="AG54" s="277"/>
      <c r="AH54" s="277"/>
      <c r="AI54" s="277"/>
      <c r="AJ54" s="277"/>
      <c r="AK54" s="277"/>
      <c r="AL54" s="277"/>
      <c r="AM54" s="277"/>
    </row>
    <row r="55" spans="1:39" x14ac:dyDescent="0.25">
      <c r="A55" s="273"/>
      <c r="B55" s="273"/>
      <c r="C55" s="290"/>
      <c r="D55" s="277"/>
      <c r="E55" s="277"/>
      <c r="F55" s="277"/>
      <c r="G55" s="277"/>
      <c r="H55" s="277"/>
      <c r="I55" s="277"/>
      <c r="J55" s="277"/>
      <c r="K55" s="277"/>
      <c r="L55" s="277"/>
      <c r="M55" s="277"/>
      <c r="N55" s="277"/>
      <c r="O55" s="277"/>
      <c r="P55" s="277"/>
      <c r="Q55" s="277"/>
      <c r="R55" s="277"/>
      <c r="S55" s="277"/>
      <c r="T55" s="277"/>
      <c r="U55" s="277"/>
      <c r="V55" s="277"/>
      <c r="W55" s="277"/>
      <c r="X55" s="277"/>
      <c r="Y55" s="277"/>
      <c r="Z55" s="277"/>
      <c r="AA55" s="277"/>
      <c r="AB55" s="277"/>
      <c r="AC55" s="277"/>
      <c r="AD55" s="277"/>
      <c r="AE55" s="277"/>
      <c r="AF55" s="277"/>
      <c r="AG55" s="277"/>
      <c r="AH55" s="277"/>
      <c r="AI55" s="277"/>
      <c r="AJ55" s="277"/>
      <c r="AK55" s="277"/>
      <c r="AL55" s="277"/>
      <c r="AM55" s="277"/>
    </row>
    <row r="56" spans="1:39" x14ac:dyDescent="0.25">
      <c r="A56" s="273"/>
      <c r="B56" s="273"/>
      <c r="C56" s="277"/>
      <c r="D56" s="277"/>
      <c r="E56" s="277"/>
      <c r="F56" s="277"/>
      <c r="G56" s="277"/>
      <c r="H56" s="277"/>
      <c r="I56" s="277"/>
      <c r="J56" s="277"/>
      <c r="K56" s="277"/>
      <c r="L56" s="277"/>
      <c r="M56" s="277"/>
      <c r="N56" s="277"/>
      <c r="O56" s="277"/>
      <c r="P56" s="277"/>
      <c r="Q56" s="277"/>
      <c r="R56" s="277"/>
      <c r="S56" s="277"/>
      <c r="T56" s="277"/>
      <c r="U56" s="277"/>
      <c r="V56" s="277"/>
      <c r="W56" s="277"/>
      <c r="X56" s="277"/>
      <c r="Y56" s="277"/>
      <c r="Z56" s="277"/>
      <c r="AA56" s="277"/>
      <c r="AB56" s="277"/>
      <c r="AC56" s="277"/>
      <c r="AD56" s="277"/>
      <c r="AE56" s="277"/>
      <c r="AF56" s="277"/>
      <c r="AG56" s="277"/>
      <c r="AH56" s="277"/>
      <c r="AI56" s="277"/>
      <c r="AJ56" s="277"/>
      <c r="AK56" s="277"/>
      <c r="AL56" s="277"/>
      <c r="AM56" s="277"/>
    </row>
    <row r="57" spans="1:39" x14ac:dyDescent="0.25">
      <c r="A57" s="273"/>
      <c r="B57" s="273"/>
      <c r="AE57" s="277"/>
      <c r="AF57" s="277"/>
      <c r="AG57" s="277"/>
      <c r="AH57" s="277"/>
      <c r="AI57" s="277"/>
      <c r="AJ57" s="277"/>
      <c r="AK57" s="277"/>
      <c r="AL57" s="277"/>
      <c r="AM57" s="277"/>
    </row>
    <row r="58" spans="1:39" x14ac:dyDescent="0.25">
      <c r="A58" s="273"/>
      <c r="B58" s="273"/>
      <c r="AE58" s="277"/>
      <c r="AF58" s="277"/>
      <c r="AG58" s="277"/>
      <c r="AH58" s="277"/>
      <c r="AI58" s="277"/>
      <c r="AJ58" s="277"/>
      <c r="AK58" s="277"/>
      <c r="AL58" s="277"/>
      <c r="AM58" s="277"/>
    </row>
    <row r="59" spans="1:39" x14ac:dyDescent="0.25">
      <c r="A59" s="273"/>
      <c r="B59" s="273"/>
      <c r="AE59" s="277"/>
      <c r="AF59" s="277"/>
      <c r="AG59" s="277"/>
      <c r="AH59" s="277"/>
      <c r="AI59" s="277"/>
      <c r="AJ59" s="277"/>
      <c r="AK59" s="277"/>
      <c r="AL59" s="277"/>
      <c r="AM59" s="277"/>
    </row>
    <row r="60" spans="1:39" x14ac:dyDescent="0.25">
      <c r="A60" s="273"/>
      <c r="B60" s="273"/>
      <c r="AE60" s="277"/>
      <c r="AF60" s="277"/>
      <c r="AG60" s="277"/>
      <c r="AH60" s="277"/>
      <c r="AI60" s="277"/>
      <c r="AJ60" s="277"/>
      <c r="AK60" s="277"/>
      <c r="AL60" s="277"/>
      <c r="AM60" s="277"/>
    </row>
  </sheetData>
  <sheetProtection password="DFD3" sheet="1" objects="1" scenarios="1"/>
  <hyperlinks>
    <hyperlink ref="C43" r:id="rId1" display="https://www.whitehouse.gov/omb/budget/Historicals Table 10.1—GROSS DOMESTIC PRODUCT AND DEFLATORS USED IN THE HISTORICAL TABLES: 1940–2021. Accessed Nov. 2016."/>
  </hyperlinks>
  <pageMargins left="0.7" right="0.7" top="0.75" bottom="0.75" header="0.3" footer="0.3"/>
  <pageSetup orientation="portrait" horizontalDpi="4294967293" verticalDpi="0"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127"/>
  <sheetViews>
    <sheetView workbookViewId="0">
      <selection activeCell="O1" sqref="O1"/>
    </sheetView>
  </sheetViews>
  <sheetFormatPr defaultRowHeight="15" x14ac:dyDescent="0.25"/>
  <cols>
    <col min="1" max="1" width="139.28515625" customWidth="1"/>
    <col min="2" max="2" width="22.5703125" customWidth="1"/>
    <col min="3" max="3" width="21.140625" customWidth="1"/>
    <col min="4" max="4" width="11.85546875" customWidth="1"/>
    <col min="5" max="5" width="15.85546875" customWidth="1"/>
    <col min="6" max="6" width="13.7109375" customWidth="1"/>
    <col min="7" max="7" width="12.85546875" customWidth="1"/>
    <col min="10" max="10" width="11.5703125" customWidth="1"/>
    <col min="11" max="11" width="13.28515625" customWidth="1"/>
    <col min="12" max="12" width="10.5703125" bestFit="1" customWidth="1"/>
    <col min="13" max="13" width="13.140625" customWidth="1"/>
    <col min="18" max="18" width="15.28515625" customWidth="1"/>
    <col min="27" max="27" width="15.28515625" customWidth="1"/>
    <col min="28" max="28" width="14" customWidth="1"/>
    <col min="29" max="29" width="15.85546875" customWidth="1"/>
  </cols>
  <sheetData>
    <row r="1" spans="1:24" x14ac:dyDescent="0.25">
      <c r="A1" s="273"/>
    </row>
    <row r="2" spans="1:24" ht="15.75" thickBot="1" x14ac:dyDescent="0.3">
      <c r="A2" s="273"/>
    </row>
    <row r="3" spans="1:24" ht="15.75" thickBot="1" x14ac:dyDescent="0.3">
      <c r="A3" s="273"/>
      <c r="B3" s="1308" t="s">
        <v>0</v>
      </c>
      <c r="C3" s="1309"/>
      <c r="D3" s="1309"/>
      <c r="E3" s="1309"/>
      <c r="F3" s="1309"/>
      <c r="G3" s="1310"/>
    </row>
    <row r="4" spans="1:24" x14ac:dyDescent="0.25">
      <c r="A4" s="273"/>
      <c r="B4" s="1312" t="s">
        <v>17</v>
      </c>
      <c r="C4" s="210"/>
      <c r="D4" s="1316" t="s">
        <v>18</v>
      </c>
      <c r="E4" s="1316"/>
      <c r="F4" s="1316"/>
      <c r="G4" s="211">
        <f>ProjectData!B14</f>
        <v>2010</v>
      </c>
      <c r="H4" t="s">
        <v>357</v>
      </c>
    </row>
    <row r="5" spans="1:24" ht="23.25" x14ac:dyDescent="0.35">
      <c r="A5" s="274" t="s">
        <v>591</v>
      </c>
      <c r="B5" s="1313"/>
      <c r="C5" s="12" t="s">
        <v>1</v>
      </c>
      <c r="D5" s="209">
        <v>0.25</v>
      </c>
      <c r="E5" s="209">
        <v>0.5</v>
      </c>
      <c r="F5" s="209">
        <v>5</v>
      </c>
      <c r="G5" s="1032">
        <f>'Default Data'!C4/1000</f>
        <v>2.25</v>
      </c>
      <c r="H5">
        <f>LOOKUP(G4,'BLS PPI Oil Gas Drilling'!C49:C64,'BLS PPI Oil Gas Drilling'!N49:N64)</f>
        <v>1.988</v>
      </c>
    </row>
    <row r="6" spans="1:24" x14ac:dyDescent="0.25">
      <c r="A6" s="273"/>
      <c r="B6" s="1313"/>
      <c r="C6" s="12" t="s">
        <v>10</v>
      </c>
      <c r="D6" s="16">
        <f>D5*3.28083*1000</f>
        <v>820.20749999999998</v>
      </c>
      <c r="E6" s="16">
        <f>E5*3.28083*1000</f>
        <v>1640.415</v>
      </c>
      <c r="F6" s="16">
        <f>F5*3.28083*1000</f>
        <v>16404.150000000001</v>
      </c>
      <c r="G6" s="212">
        <f>G5*3.28083*1000</f>
        <v>7381.8675000000003</v>
      </c>
    </row>
    <row r="7" spans="1:24" ht="15.75" x14ac:dyDescent="0.25">
      <c r="A7" s="275" t="s">
        <v>594</v>
      </c>
      <c r="B7" s="1313"/>
      <c r="C7" s="22" t="s">
        <v>2</v>
      </c>
      <c r="D7" s="23">
        <f>580*EXP($E$10*D$6)</f>
        <v>639.36068956313079</v>
      </c>
      <c r="E7" s="23">
        <f>580*EXP($E$10*E$6)</f>
        <v>704.79670923903791</v>
      </c>
      <c r="F7" s="24">
        <f>580*EXP($E$10*F$6)</f>
        <v>4071.8027787189681</v>
      </c>
      <c r="G7" s="213">
        <f>580*EXP($E$10*G$6)*H5</f>
        <v>2771.4420815625836</v>
      </c>
    </row>
    <row r="8" spans="1:24" ht="15.75" x14ac:dyDescent="0.25">
      <c r="A8" s="276"/>
      <c r="B8" s="1313"/>
      <c r="C8" s="22" t="s">
        <v>3</v>
      </c>
      <c r="D8" s="23">
        <f>580*EXP($F$10*D$6)</f>
        <v>655.39559885680444</v>
      </c>
      <c r="E8" s="23">
        <f>580*EXP($F$10*E$6)</f>
        <v>740.59205344977465</v>
      </c>
      <c r="F8" s="24">
        <f>580*EXP($F$10*F$6)</f>
        <v>6682.4933544400938</v>
      </c>
      <c r="G8" s="213">
        <f>580*EXP($F$10*G$6)*H5</f>
        <v>3463.5711819329681</v>
      </c>
    </row>
    <row r="9" spans="1:24" ht="16.5" thickBot="1" x14ac:dyDescent="0.3">
      <c r="A9" s="275" t="s">
        <v>597</v>
      </c>
      <c r="B9" s="1313"/>
      <c r="C9" s="22" t="s">
        <v>4</v>
      </c>
      <c r="D9" s="23">
        <f>580*EXP($G$10*D$6)</f>
        <v>677.25463245681328</v>
      </c>
      <c r="E9" s="23">
        <f>580*EXP($G$10*E$6)</f>
        <v>790.81696066243683</v>
      </c>
      <c r="F9" s="24">
        <f>580*EXP($G$10*F$6)</f>
        <v>12879.761128216796</v>
      </c>
      <c r="G9" s="213">
        <f>580*EXP($G$10*G$6)*H5</f>
        <v>4653.2918333541393</v>
      </c>
    </row>
    <row r="10" spans="1:24" ht="16.5" thickBot="1" x14ac:dyDescent="0.3">
      <c r="A10" s="275"/>
      <c r="B10" s="1314"/>
      <c r="C10" s="19" t="s">
        <v>5</v>
      </c>
      <c r="D10" s="20"/>
      <c r="E10" s="20">
        <v>1.188E-4</v>
      </c>
      <c r="F10" s="20">
        <v>1.4899999999999999E-4</v>
      </c>
      <c r="G10" s="21">
        <v>1.8900000000000001E-4</v>
      </c>
      <c r="U10" s="32" t="s">
        <v>37</v>
      </c>
      <c r="V10" s="33"/>
      <c r="W10" s="33"/>
      <c r="X10" s="34"/>
    </row>
    <row r="11" spans="1:24" ht="15.75" x14ac:dyDescent="0.25">
      <c r="A11" s="275" t="s">
        <v>600</v>
      </c>
      <c r="B11" s="1313"/>
      <c r="C11" s="17" t="s">
        <v>1</v>
      </c>
      <c r="D11" s="18" t="s">
        <v>6</v>
      </c>
      <c r="E11" s="18" t="s">
        <v>7</v>
      </c>
      <c r="F11" s="18" t="s">
        <v>8</v>
      </c>
      <c r="G11" s="214" t="s">
        <v>9</v>
      </c>
      <c r="U11" s="35"/>
      <c r="V11" s="36" t="s">
        <v>30</v>
      </c>
      <c r="W11" s="36"/>
      <c r="X11" s="37"/>
    </row>
    <row r="12" spans="1:24" x14ac:dyDescent="0.25">
      <c r="A12" s="273"/>
      <c r="B12" s="1313"/>
      <c r="C12" s="843">
        <v>1</v>
      </c>
      <c r="D12" s="3">
        <f t="shared" ref="D12:D21" si="0">C12*3.28083*1000</f>
        <v>3280.83</v>
      </c>
      <c r="E12" s="4">
        <f>580*EXP(0.0001188*D12)</f>
        <v>856.44551957616716</v>
      </c>
      <c r="F12" s="5">
        <f xml:space="preserve"> 580*EXP(0.000149*D12)</f>
        <v>945.64929247061013</v>
      </c>
      <c r="G12" s="6">
        <f>580*EXP(0.0001893*D12)</f>
        <v>1079.3229469273342</v>
      </c>
      <c r="U12" s="35"/>
      <c r="V12" s="54">
        <f>G4</f>
        <v>2010</v>
      </c>
      <c r="W12" s="56">
        <v>1.988</v>
      </c>
      <c r="X12" s="37"/>
    </row>
    <row r="13" spans="1:24" x14ac:dyDescent="0.25">
      <c r="A13" s="273"/>
      <c r="B13" s="1313"/>
      <c r="C13" s="843">
        <v>2</v>
      </c>
      <c r="D13" s="3">
        <f t="shared" si="0"/>
        <v>6561.66</v>
      </c>
      <c r="E13" s="4">
        <f t="shared" ref="E13:E21" si="1">580*EXP(0.0001188*D13)</f>
        <v>1264.6533241415359</v>
      </c>
      <c r="F13" s="5">
        <f t="shared" ref="F13:F21" si="2" xml:space="preserve"> 580*EXP(0.000149*D13)</f>
        <v>1541.8148006037334</v>
      </c>
      <c r="G13" s="6">
        <f t="shared" ref="G13:G21" si="3">580*EXP(0.0001893*D13)</f>
        <v>2008.5138340756982</v>
      </c>
      <c r="U13" s="35"/>
      <c r="V13" s="36" t="s">
        <v>19</v>
      </c>
      <c r="W13" s="36"/>
      <c r="X13" s="37"/>
    </row>
    <row r="14" spans="1:24" x14ac:dyDescent="0.25">
      <c r="A14" s="273"/>
      <c r="B14" s="1313"/>
      <c r="C14" s="843">
        <v>3</v>
      </c>
      <c r="D14" s="3">
        <f t="shared" si="0"/>
        <v>9842.49</v>
      </c>
      <c r="E14" s="4">
        <f t="shared" si="1"/>
        <v>1867.4252987553873</v>
      </c>
      <c r="F14" s="5">
        <f t="shared" si="2"/>
        <v>2513.8208195028201</v>
      </c>
      <c r="G14" s="6">
        <f t="shared" si="3"/>
        <v>3737.6466729981057</v>
      </c>
      <c r="U14" s="35"/>
      <c r="V14" s="36">
        <v>2004</v>
      </c>
      <c r="W14" s="36">
        <v>1</v>
      </c>
      <c r="X14" s="37"/>
    </row>
    <row r="15" spans="1:24" x14ac:dyDescent="0.25">
      <c r="A15" s="273"/>
      <c r="B15" s="1313"/>
      <c r="C15" s="843">
        <v>4</v>
      </c>
      <c r="D15" s="3">
        <f t="shared" si="0"/>
        <v>13123.32</v>
      </c>
      <c r="E15" s="4">
        <f t="shared" si="1"/>
        <v>2757.496603900408</v>
      </c>
      <c r="F15" s="5">
        <f t="shared" si="2"/>
        <v>4098.6084126909145</v>
      </c>
      <c r="G15" s="6">
        <f t="shared" si="3"/>
        <v>6955.3927959887269</v>
      </c>
      <c r="U15" s="35"/>
      <c r="V15" s="36">
        <f t="shared" ref="V15:V20" si="4">V14+1</f>
        <v>2005</v>
      </c>
      <c r="W15" s="29">
        <v>1.5769474350854971</v>
      </c>
      <c r="X15" s="37"/>
    </row>
    <row r="16" spans="1:24" x14ac:dyDescent="0.25">
      <c r="A16" s="273"/>
      <c r="B16" s="1313"/>
      <c r="C16" s="843">
        <v>5</v>
      </c>
      <c r="D16" s="3">
        <f t="shared" si="0"/>
        <v>16404.150000000001</v>
      </c>
      <c r="E16" s="4">
        <f t="shared" si="1"/>
        <v>4071.8027787189681</v>
      </c>
      <c r="F16" s="5">
        <f t="shared" si="2"/>
        <v>6682.4933544400938</v>
      </c>
      <c r="G16" s="6">
        <f t="shared" si="3"/>
        <v>12943.301809661567</v>
      </c>
      <c r="U16" s="35"/>
      <c r="V16" s="36">
        <f t="shared" si="4"/>
        <v>2006</v>
      </c>
      <c r="W16" s="30">
        <v>2.3559214692843571</v>
      </c>
      <c r="X16" s="37"/>
    </row>
    <row r="17" spans="1:31" x14ac:dyDescent="0.25">
      <c r="A17" s="273"/>
      <c r="B17" s="1313"/>
      <c r="C17" s="843">
        <v>6</v>
      </c>
      <c r="D17" s="3">
        <f t="shared" si="0"/>
        <v>19684.98</v>
      </c>
      <c r="E17" s="4">
        <f t="shared" si="1"/>
        <v>6012.5469766062888</v>
      </c>
      <c r="F17" s="5">
        <f t="shared" si="2"/>
        <v>10895.336400975566</v>
      </c>
      <c r="G17" s="6">
        <f t="shared" si="3"/>
        <v>24086.211469265192</v>
      </c>
      <c r="U17" s="35"/>
      <c r="V17" s="36">
        <f t="shared" si="4"/>
        <v>2007</v>
      </c>
      <c r="W17" s="29">
        <v>2.298923369221026</v>
      </c>
      <c r="X17" s="37"/>
    </row>
    <row r="18" spans="1:31" ht="15.75" x14ac:dyDescent="0.25">
      <c r="A18" s="275" t="s">
        <v>608</v>
      </c>
      <c r="B18" s="1313"/>
      <c r="C18" s="843">
        <v>7</v>
      </c>
      <c r="D18" s="3">
        <f t="shared" si="0"/>
        <v>22965.809999999998</v>
      </c>
      <c r="E18" s="4">
        <f t="shared" si="1"/>
        <v>8878.3084816477294</v>
      </c>
      <c r="F18" s="5">
        <f t="shared" si="2"/>
        <v>17764.081308296249</v>
      </c>
      <c r="G18" s="6">
        <f t="shared" si="3"/>
        <v>44822.070247107338</v>
      </c>
      <c r="U18" s="35"/>
      <c r="V18" s="36">
        <f t="shared" si="4"/>
        <v>2008</v>
      </c>
      <c r="W18" s="30">
        <v>2.3432552248258389</v>
      </c>
      <c r="X18" s="37"/>
    </row>
    <row r="19" spans="1:31" x14ac:dyDescent="0.25">
      <c r="A19" s="273"/>
      <c r="B19" s="1313"/>
      <c r="C19" s="843">
        <v>8</v>
      </c>
      <c r="D19" s="3">
        <f t="shared" si="0"/>
        <v>26246.639999999999</v>
      </c>
      <c r="E19" s="4">
        <f t="shared" si="1"/>
        <v>13109.97848365911</v>
      </c>
      <c r="F19" s="5">
        <f t="shared" si="2"/>
        <v>28963.087794104722</v>
      </c>
      <c r="G19" s="6">
        <f t="shared" si="3"/>
        <v>83409.463700848079</v>
      </c>
      <c r="U19" s="35"/>
      <c r="V19" s="36">
        <f t="shared" si="4"/>
        <v>2009</v>
      </c>
      <c r="W19" s="36">
        <v>2.036</v>
      </c>
      <c r="X19" s="37"/>
    </row>
    <row r="20" spans="1:31" x14ac:dyDescent="0.25">
      <c r="A20" s="273"/>
      <c r="B20" s="1313"/>
      <c r="C20" s="843">
        <v>9</v>
      </c>
      <c r="D20" s="3">
        <f t="shared" si="0"/>
        <v>29527.47</v>
      </c>
      <c r="E20" s="4">
        <f t="shared" si="1"/>
        <v>19358.590231154823</v>
      </c>
      <c r="F20" s="5">
        <f t="shared" si="2"/>
        <v>47222.281862516058</v>
      </c>
      <c r="G20" s="6">
        <f t="shared" si="3"/>
        <v>155216.80717797912</v>
      </c>
      <c r="U20" s="35"/>
      <c r="V20" s="36">
        <f t="shared" si="4"/>
        <v>2010</v>
      </c>
      <c r="W20" s="36">
        <v>1.988</v>
      </c>
      <c r="X20" s="37"/>
    </row>
    <row r="21" spans="1:31" ht="15.75" thickBot="1" x14ac:dyDescent="0.3">
      <c r="A21" s="273"/>
      <c r="B21" s="1315"/>
      <c r="C21" s="7">
        <v>10</v>
      </c>
      <c r="D21" s="8">
        <f t="shared" si="0"/>
        <v>32808.300000000003</v>
      </c>
      <c r="E21" s="9">
        <f t="shared" si="1"/>
        <v>28585.479084109505</v>
      </c>
      <c r="F21" s="10">
        <f t="shared" si="2"/>
        <v>76992.616262303462</v>
      </c>
      <c r="G21" s="11">
        <f t="shared" si="3"/>
        <v>288843.20988963515</v>
      </c>
      <c r="U21" s="38"/>
      <c r="V21" s="39"/>
      <c r="W21" s="39"/>
      <c r="X21" s="40"/>
    </row>
    <row r="22" spans="1:31" x14ac:dyDescent="0.25">
      <c r="A22" s="273"/>
      <c r="B22" s="14"/>
    </row>
    <row r="23" spans="1:31" x14ac:dyDescent="0.25">
      <c r="A23" s="273"/>
      <c r="B23" t="s">
        <v>16</v>
      </c>
      <c r="C23" t="s">
        <v>23</v>
      </c>
      <c r="D23" s="1276" t="s">
        <v>18</v>
      </c>
      <c r="E23" s="1276"/>
      <c r="F23" s="1276"/>
      <c r="G23" s="25"/>
    </row>
    <row r="24" spans="1:31" x14ac:dyDescent="0.25">
      <c r="A24" s="273"/>
      <c r="C24" t="s">
        <v>10</v>
      </c>
      <c r="D24" s="13" t="s">
        <v>7</v>
      </c>
      <c r="E24" s="1" t="s">
        <v>8</v>
      </c>
      <c r="F24" s="2" t="s">
        <v>9</v>
      </c>
    </row>
    <row r="25" spans="1:31" ht="15.75" thickBot="1" x14ac:dyDescent="0.3">
      <c r="A25" s="273"/>
      <c r="C25" s="28">
        <v>0</v>
      </c>
      <c r="AA25" t="s">
        <v>23</v>
      </c>
      <c r="AB25" s="1311" t="s">
        <v>36</v>
      </c>
      <c r="AC25" s="1311"/>
      <c r="AD25" s="1311"/>
    </row>
    <row r="26" spans="1:31" ht="15.75" thickBot="1" x14ac:dyDescent="0.3">
      <c r="A26" s="273"/>
      <c r="C26" s="28">
        <f>C25+250</f>
        <v>250</v>
      </c>
      <c r="AA26" t="s">
        <v>10</v>
      </c>
      <c r="AB26" s="47" t="s">
        <v>7</v>
      </c>
      <c r="AC26" s="20" t="s">
        <v>8</v>
      </c>
      <c r="AD26" s="93" t="s">
        <v>9</v>
      </c>
      <c r="AE26" s="94" t="s">
        <v>1305</v>
      </c>
    </row>
    <row r="27" spans="1:31" x14ac:dyDescent="0.25">
      <c r="A27" s="273"/>
      <c r="B27" s="15" t="s">
        <v>15</v>
      </c>
      <c r="C27" s="28">
        <f t="shared" ref="C27:C65" si="5">C26+250</f>
        <v>500</v>
      </c>
      <c r="D27" s="26">
        <f t="shared" ref="D27:F65" si="6">580*EXP($C27*E$10)</f>
        <v>615.49578871167841</v>
      </c>
      <c r="E27" s="26">
        <f t="shared" si="6"/>
        <v>624.86029924290779</v>
      </c>
      <c r="F27" s="26">
        <f t="shared" si="6"/>
        <v>637.48331461713428</v>
      </c>
      <c r="AA27" s="28">
        <v>0</v>
      </c>
    </row>
    <row r="28" spans="1:31" x14ac:dyDescent="0.25">
      <c r="A28" s="273"/>
      <c r="B28" s="15" t="s">
        <v>11</v>
      </c>
      <c r="C28" s="28">
        <f t="shared" si="5"/>
        <v>750</v>
      </c>
      <c r="D28" s="26">
        <f t="shared" si="6"/>
        <v>634.05018251737795</v>
      </c>
      <c r="E28" s="26">
        <f t="shared" si="6"/>
        <v>648.57529508068899</v>
      </c>
      <c r="F28" s="26">
        <f t="shared" si="6"/>
        <v>668.32735342613603</v>
      </c>
      <c r="AA28" s="28">
        <f>AA27+250</f>
        <v>250</v>
      </c>
      <c r="AB28" s="26">
        <f>580*EXP($AA28*E$10)*$W$12</f>
        <v>1187.7989027026563</v>
      </c>
      <c r="AC28" s="26">
        <f>580*EXP($AA28*F$10)*$W$12</f>
        <v>1196.8007235312052</v>
      </c>
      <c r="AD28" s="26">
        <f>580*EXP($AA28*G$10)*$W$12</f>
        <v>1208.8287707691472</v>
      </c>
    </row>
    <row r="29" spans="1:31" x14ac:dyDescent="0.25">
      <c r="A29" s="273"/>
      <c r="B29" s="15" t="s">
        <v>12</v>
      </c>
      <c r="C29" s="28">
        <f t="shared" si="5"/>
        <v>1000</v>
      </c>
      <c r="D29" s="26">
        <f t="shared" si="6"/>
        <v>653.16390676174331</v>
      </c>
      <c r="E29" s="26">
        <f t="shared" si="6"/>
        <v>673.19033374126957</v>
      </c>
      <c r="F29" s="26">
        <f t="shared" si="6"/>
        <v>700.66375244008304</v>
      </c>
      <c r="AA29" s="28">
        <f t="shared" ref="AA29:AA92" si="7">AA28+250</f>
        <v>500</v>
      </c>
      <c r="AB29" s="26">
        <f t="shared" ref="AB29:AD92" si="8">580*EXP($AA29*E$10)*$W$12</f>
        <v>1223.6056279588167</v>
      </c>
      <c r="AC29" s="26">
        <f t="shared" si="8"/>
        <v>1242.2222748949007</v>
      </c>
      <c r="AD29" s="26">
        <f t="shared" si="8"/>
        <v>1267.3168294588629</v>
      </c>
    </row>
    <row r="30" spans="1:31" x14ac:dyDescent="0.25">
      <c r="A30" s="273"/>
      <c r="B30" s="15" t="s">
        <v>13</v>
      </c>
      <c r="C30" s="28">
        <f t="shared" si="5"/>
        <v>1250</v>
      </c>
      <c r="D30" s="26">
        <f t="shared" si="6"/>
        <v>672.85382270916773</v>
      </c>
      <c r="E30" s="26">
        <f t="shared" si="6"/>
        <v>698.73957407875275</v>
      </c>
      <c r="F30" s="26">
        <f t="shared" si="6"/>
        <v>734.56471812308644</v>
      </c>
      <c r="AA30" s="28">
        <f t="shared" si="7"/>
        <v>750</v>
      </c>
      <c r="AB30" s="26">
        <f t="shared" si="8"/>
        <v>1260.4917628445473</v>
      </c>
      <c r="AC30" s="26">
        <f t="shared" si="8"/>
        <v>1289.3676866204098</v>
      </c>
      <c r="AD30" s="26">
        <f t="shared" si="8"/>
        <v>1328.6347786111585</v>
      </c>
    </row>
    <row r="31" spans="1:31" x14ac:dyDescent="0.25">
      <c r="A31" s="273"/>
      <c r="B31" s="15" t="s">
        <v>14</v>
      </c>
      <c r="C31" s="28">
        <f t="shared" si="5"/>
        <v>1500</v>
      </c>
      <c r="D31" s="26">
        <f t="shared" si="6"/>
        <v>693.13729991434548</v>
      </c>
      <c r="E31" s="26">
        <f t="shared" si="6"/>
        <v>725.25847136034952</v>
      </c>
      <c r="F31" s="26">
        <f t="shared" si="6"/>
        <v>770.10595058204024</v>
      </c>
      <c r="AA31" s="28">
        <f t="shared" si="7"/>
        <v>1000</v>
      </c>
      <c r="AB31" s="26">
        <f t="shared" si="8"/>
        <v>1298.4898466423456</v>
      </c>
      <c r="AC31" s="26">
        <f t="shared" si="8"/>
        <v>1338.3023834776438</v>
      </c>
      <c r="AD31" s="26">
        <f t="shared" si="8"/>
        <v>1392.919539850885</v>
      </c>
    </row>
    <row r="32" spans="1:31" x14ac:dyDescent="0.25">
      <c r="A32" s="273"/>
      <c r="C32" s="28">
        <f t="shared" si="5"/>
        <v>1750</v>
      </c>
      <c r="D32" s="26">
        <f t="shared" si="6"/>
        <v>714.03223154490854</v>
      </c>
      <c r="E32" s="26">
        <f t="shared" si="6"/>
        <v>752.78382646846796</v>
      </c>
      <c r="F32" s="26">
        <f t="shared" si="6"/>
        <v>807.36681260328635</v>
      </c>
      <c r="AA32" s="28">
        <f t="shared" si="7"/>
        <v>1250</v>
      </c>
      <c r="AB32" s="26">
        <f t="shared" si="8"/>
        <v>1337.6333995458253</v>
      </c>
      <c r="AC32" s="26">
        <f t="shared" si="8"/>
        <v>1389.0942732685605</v>
      </c>
      <c r="AD32" s="26">
        <f t="shared" si="8"/>
        <v>1460.3146596286958</v>
      </c>
    </row>
    <row r="33" spans="1:30" x14ac:dyDescent="0.25">
      <c r="A33" s="273"/>
      <c r="C33" s="28">
        <f t="shared" si="5"/>
        <v>2000</v>
      </c>
      <c r="D33" s="26">
        <f t="shared" si="6"/>
        <v>735.55705016597108</v>
      </c>
      <c r="E33" s="26">
        <f t="shared" si="6"/>
        <v>781.3538369701414</v>
      </c>
      <c r="F33" s="26">
        <f t="shared" si="6"/>
        <v>846.43050686796198</v>
      </c>
      <c r="AA33" s="28">
        <f t="shared" si="7"/>
        <v>1500</v>
      </c>
      <c r="AB33" s="26">
        <f t="shared" si="8"/>
        <v>1377.9569522297188</v>
      </c>
      <c r="AC33" s="26">
        <f t="shared" si="8"/>
        <v>1441.8138410643749</v>
      </c>
      <c r="AD33" s="26">
        <f t="shared" si="8"/>
        <v>1530.970629757096</v>
      </c>
    </row>
    <row r="34" spans="1:30" x14ac:dyDescent="0.25">
      <c r="A34" s="273"/>
      <c r="C34" s="28">
        <f t="shared" si="5"/>
        <v>2250</v>
      </c>
      <c r="D34" s="26">
        <f t="shared" si="6"/>
        <v>757.73074400050564</v>
      </c>
      <c r="E34" s="26">
        <f t="shared" si="6"/>
        <v>811.00815012466933</v>
      </c>
      <c r="F34" s="26">
        <f t="shared" si="6"/>
        <v>887.38426174174776</v>
      </c>
      <c r="AA34" s="28">
        <f t="shared" si="7"/>
        <v>1750</v>
      </c>
      <c r="AB34" s="26">
        <f t="shared" si="8"/>
        <v>1419.4960763112781</v>
      </c>
      <c r="AC34" s="26">
        <f t="shared" si="8"/>
        <v>1496.5342470193143</v>
      </c>
      <c r="AD34" s="26">
        <f t="shared" si="8"/>
        <v>1605.0452234553331</v>
      </c>
    </row>
    <row r="35" spans="1:30" x14ac:dyDescent="0.25">
      <c r="A35" s="273"/>
      <c r="C35" s="28">
        <f t="shared" si="5"/>
        <v>2500</v>
      </c>
      <c r="D35" s="26">
        <f t="shared" si="6"/>
        <v>780.57287367989659</v>
      </c>
      <c r="E35" s="26">
        <f t="shared" si="6"/>
        <v>841.78791790302887</v>
      </c>
      <c r="F35" s="26">
        <f t="shared" si="6"/>
        <v>930.31952605387846</v>
      </c>
      <c r="AA35" s="28">
        <f t="shared" si="7"/>
        <v>2000</v>
      </c>
      <c r="AB35" s="26">
        <f t="shared" si="8"/>
        <v>1462.2874157299505</v>
      </c>
      <c r="AC35" s="26">
        <f t="shared" si="8"/>
        <v>1553.3314278966411</v>
      </c>
      <c r="AD35" s="26">
        <f t="shared" si="8"/>
        <v>1682.7038476535083</v>
      </c>
    </row>
    <row r="36" spans="1:30" x14ac:dyDescent="0.25">
      <c r="A36" s="273"/>
      <c r="C36" s="28">
        <f t="shared" si="5"/>
        <v>2750</v>
      </c>
      <c r="D36" s="26">
        <f t="shared" si="6"/>
        <v>804.10358949944521</v>
      </c>
      <c r="E36" s="26">
        <f t="shared" si="6"/>
        <v>873.73585409541022</v>
      </c>
      <c r="F36" s="26">
        <f t="shared" si="6"/>
        <v>975.33217330035848</v>
      </c>
      <c r="AA36" s="28">
        <f t="shared" si="7"/>
        <v>2250</v>
      </c>
      <c r="AB36" s="26">
        <f t="shared" si="8"/>
        <v>1506.3687190730052</v>
      </c>
      <c r="AC36" s="26">
        <f t="shared" si="8"/>
        <v>1612.2842024478425</v>
      </c>
      <c r="AD36" s="26">
        <f t="shared" si="8"/>
        <v>1764.1199123425945</v>
      </c>
    </row>
    <row r="37" spans="1:30" x14ac:dyDescent="0.25">
      <c r="A37" s="273"/>
      <c r="C37" s="28">
        <f t="shared" si="5"/>
        <v>3000</v>
      </c>
      <c r="D37" s="26">
        <f t="shared" si="6"/>
        <v>828.3436491940505</v>
      </c>
      <c r="E37" s="26">
        <f t="shared" si="6"/>
        <v>906.8962935861224</v>
      </c>
      <c r="F37" s="26">
        <f t="shared" si="6"/>
        <v>1022.5227157273583</v>
      </c>
      <c r="AA37" s="28">
        <f t="shared" si="7"/>
        <v>2500</v>
      </c>
      <c r="AB37" s="26">
        <f t="shared" si="8"/>
        <v>1551.7788728756343</v>
      </c>
      <c r="AC37" s="26">
        <f t="shared" si="8"/>
        <v>1673.4743807912214</v>
      </c>
      <c r="AD37" s="26">
        <f t="shared" si="8"/>
        <v>1849.4752177951104</v>
      </c>
    </row>
    <row r="38" spans="1:30" x14ac:dyDescent="0.25">
      <c r="A38" s="273"/>
      <c r="C38" s="28">
        <f t="shared" si="5"/>
        <v>3250</v>
      </c>
      <c r="D38" s="26">
        <f t="shared" si="6"/>
        <v>853.314436249746</v>
      </c>
      <c r="E38" s="26">
        <f t="shared" si="6"/>
        <v>941.31525387813053</v>
      </c>
      <c r="F38" s="26">
        <f t="shared" si="6"/>
        <v>1071.9965287728376</v>
      </c>
      <c r="AA38" s="28">
        <f t="shared" si="7"/>
        <v>2750</v>
      </c>
      <c r="AB38" s="26">
        <f t="shared" si="8"/>
        <v>1598.557935924897</v>
      </c>
      <c r="AC38" s="26">
        <f t="shared" si="8"/>
        <v>1736.9868779416754</v>
      </c>
      <c r="AD38" s="26">
        <f t="shared" si="8"/>
        <v>1938.9603605211125</v>
      </c>
    </row>
    <row r="39" spans="1:30" x14ac:dyDescent="0.25">
      <c r="A39" s="273"/>
      <c r="C39" s="28">
        <f t="shared" si="5"/>
        <v>3500</v>
      </c>
      <c r="D39" s="26">
        <f t="shared" si="6"/>
        <v>879.03797876724479</v>
      </c>
      <c r="E39" s="26">
        <f t="shared" si="6"/>
        <v>977.04049895260096</v>
      </c>
      <c r="F39" s="26">
        <f t="shared" si="6"/>
        <v>1123.8640863675691</v>
      </c>
      <c r="AA39" s="28">
        <f t="shared" si="7"/>
        <v>3000</v>
      </c>
      <c r="AB39" s="26">
        <f t="shared" si="8"/>
        <v>1646.7471745977723</v>
      </c>
      <c r="AC39" s="26">
        <f t="shared" si="8"/>
        <v>1802.9098316492114</v>
      </c>
      <c r="AD39" s="26">
        <f t="shared" si="8"/>
        <v>2032.7751588659883</v>
      </c>
    </row>
    <row r="40" spans="1:30" x14ac:dyDescent="0.25">
      <c r="A40" s="273"/>
      <c r="C40" s="28">
        <f t="shared" si="5"/>
        <v>3750</v>
      </c>
      <c r="D40" s="26">
        <f t="shared" si="6"/>
        <v>905.53696889413561</v>
      </c>
      <c r="E40" s="26">
        <f t="shared" si="6"/>
        <v>1014.1216055520733</v>
      </c>
      <c r="F40" s="26">
        <f t="shared" si="6"/>
        <v>1178.2412076209839</v>
      </c>
      <c r="AA40" s="28">
        <f t="shared" si="7"/>
        <v>3250</v>
      </c>
      <c r="AB40" s="26">
        <f t="shared" si="8"/>
        <v>1696.3890992644949</v>
      </c>
      <c r="AC40" s="26">
        <f t="shared" si="8"/>
        <v>1871.3347247097236</v>
      </c>
      <c r="AD40" s="26">
        <f t="shared" si="8"/>
        <v>2131.129099200401</v>
      </c>
    </row>
    <row r="41" spans="1:30" x14ac:dyDescent="0.25">
      <c r="A41" s="273"/>
      <c r="C41" s="28">
        <f t="shared" si="5"/>
        <v>4000</v>
      </c>
      <c r="D41" s="26">
        <f t="shared" si="6"/>
        <v>932.83478284287071</v>
      </c>
      <c r="E41" s="26">
        <f t="shared" si="6"/>
        <v>1052.6100319792452</v>
      </c>
      <c r="F41" s="26">
        <f t="shared" si="6"/>
        <v>1235.2493154426813</v>
      </c>
      <c r="AA41" s="28">
        <f t="shared" si="7"/>
        <v>3500</v>
      </c>
      <c r="AB41" s="26">
        <f t="shared" si="8"/>
        <v>1747.5275017892827</v>
      </c>
      <c r="AC41" s="26">
        <f t="shared" si="8"/>
        <v>1942.3565119177706</v>
      </c>
      <c r="AD41" s="26">
        <f t="shared" si="8"/>
        <v>2234.2418036987274</v>
      </c>
    </row>
    <row r="42" spans="1:30" x14ac:dyDescent="0.25">
      <c r="A42" s="273"/>
      <c r="C42" s="28">
        <f t="shared" si="5"/>
        <v>4250</v>
      </c>
      <c r="D42" s="26">
        <f t="shared" si="6"/>
        <v>960.95550151220459</v>
      </c>
      <c r="E42" s="26">
        <f t="shared" si="6"/>
        <v>1092.5591895068392</v>
      </c>
      <c r="F42" s="26">
        <f t="shared" si="6"/>
        <v>1295.0157076771031</v>
      </c>
      <c r="AA42" s="28">
        <f t="shared" si="7"/>
        <v>3750</v>
      </c>
      <c r="AB42" s="26">
        <f t="shared" si="8"/>
        <v>1800.2074941615415</v>
      </c>
      <c r="AC42" s="26">
        <f t="shared" si="8"/>
        <v>2016.0737518375217</v>
      </c>
      <c r="AD42" s="26">
        <f t="shared" si="8"/>
        <v>2342.3435207505158</v>
      </c>
    </row>
    <row r="43" spans="1:30" x14ac:dyDescent="0.25">
      <c r="A43" s="273"/>
      <c r="C43" s="28">
        <f t="shared" si="5"/>
        <v>4500</v>
      </c>
      <c r="D43" s="26">
        <f t="shared" si="6"/>
        <v>989.92393173027585</v>
      </c>
      <c r="E43" s="26">
        <f t="shared" si="6"/>
        <v>1134.0245164976518</v>
      </c>
      <c r="F43" s="26">
        <f t="shared" si="6"/>
        <v>1357.6738413568044</v>
      </c>
      <c r="AA43" s="28">
        <f t="shared" si="7"/>
        <v>4000</v>
      </c>
      <c r="AB43" s="26">
        <f t="shared" si="8"/>
        <v>1854.4755482916269</v>
      </c>
      <c r="AC43" s="26">
        <f t="shared" si="8"/>
        <v>2092.5887435747395</v>
      </c>
      <c r="AD43" s="26">
        <f t="shared" si="8"/>
        <v>2455.6756391000504</v>
      </c>
    </row>
    <row r="44" spans="1:30" x14ac:dyDescent="0.25">
      <c r="A44" s="273"/>
      <c r="C44" s="28">
        <f t="shared" si="5"/>
        <v>4750</v>
      </c>
      <c r="D44" s="26">
        <f t="shared" si="6"/>
        <v>1019.7656281380704</v>
      </c>
      <c r="E44" s="26">
        <f t="shared" si="6"/>
        <v>1177.0635553376421</v>
      </c>
      <c r="F44" s="26">
        <f t="shared" si="6"/>
        <v>1423.3636307090578</v>
      </c>
      <c r="AA44" s="28">
        <f t="shared" si="7"/>
        <v>4250</v>
      </c>
      <c r="AB44" s="26">
        <f t="shared" si="8"/>
        <v>1910.3795370062628</v>
      </c>
      <c r="AC44" s="26">
        <f t="shared" si="8"/>
        <v>2172.0076687395963</v>
      </c>
      <c r="AD44" s="26">
        <f t="shared" si="8"/>
        <v>2574.491226862081</v>
      </c>
    </row>
    <row r="45" spans="1:30" x14ac:dyDescent="0.25">
      <c r="A45" s="273"/>
      <c r="C45" s="28">
        <f t="shared" si="5"/>
        <v>5000</v>
      </c>
      <c r="D45" s="26">
        <f t="shared" si="6"/>
        <v>1050.5069157325722</v>
      </c>
      <c r="E45" s="26">
        <f t="shared" si="6"/>
        <v>1221.7360322888219</v>
      </c>
      <c r="F45" s="26">
        <f t="shared" si="6"/>
        <v>1492.2317595812292</v>
      </c>
      <c r="AA45" s="28">
        <f t="shared" si="7"/>
        <v>4500</v>
      </c>
      <c r="AB45" s="26">
        <f t="shared" si="8"/>
        <v>1967.9687762797885</v>
      </c>
      <c r="AC45" s="26">
        <f t="shared" si="8"/>
        <v>2254.440738797332</v>
      </c>
      <c r="AD45" s="26">
        <f t="shared" si="8"/>
        <v>2699.055596617327</v>
      </c>
    </row>
    <row r="46" spans="1:30" x14ac:dyDescent="0.25">
      <c r="A46" s="273"/>
      <c r="C46" s="28">
        <f t="shared" si="5"/>
        <v>5250</v>
      </c>
      <c r="D46" s="26">
        <f t="shared" si="6"/>
        <v>1082.1749130894859</v>
      </c>
      <c r="E46" s="26">
        <f t="shared" si="6"/>
        <v>1268.1039403727589</v>
      </c>
      <c r="F46" s="26">
        <f t="shared" si="6"/>
        <v>1564.4320089825667</v>
      </c>
      <c r="AA46" s="28">
        <f t="shared" si="7"/>
        <v>4750</v>
      </c>
      <c r="AB46" s="26">
        <f t="shared" si="8"/>
        <v>2027.2940687384839</v>
      </c>
      <c r="AC46" s="26">
        <f t="shared" si="8"/>
        <v>2340.0023480112327</v>
      </c>
      <c r="AD46" s="26">
        <f t="shared" si="8"/>
        <v>2829.6468978496068</v>
      </c>
    </row>
    <row r="47" spans="1:30" x14ac:dyDescent="0.25">
      <c r="A47" s="273"/>
      <c r="C47" s="28">
        <f t="shared" si="5"/>
        <v>5500</v>
      </c>
      <c r="D47" s="26">
        <f t="shared" si="6"/>
        <v>1114.7975562860211</v>
      </c>
      <c r="E47" s="26">
        <f t="shared" si="6"/>
        <v>1316.2316253997171</v>
      </c>
      <c r="F47" s="26">
        <f t="shared" si="6"/>
        <v>1640.1256004737941</v>
      </c>
      <c r="AA47" s="28">
        <f t="shared" si="7"/>
        <v>5000</v>
      </c>
      <c r="AB47" s="26">
        <f t="shared" si="8"/>
        <v>2088.4077484763534</v>
      </c>
      <c r="AC47" s="26">
        <f t="shared" si="8"/>
        <v>2428.8112321901781</v>
      </c>
      <c r="AD47" s="26">
        <f t="shared" si="8"/>
        <v>2966.5567380474836</v>
      </c>
    </row>
    <row r="48" spans="1:30" x14ac:dyDescent="0.25">
      <c r="A48" s="273"/>
      <c r="C48" s="28">
        <f t="shared" si="5"/>
        <v>5750</v>
      </c>
      <c r="D48" s="26">
        <f t="shared" si="6"/>
        <v>1148.4036235448366</v>
      </c>
      <c r="E48" s="26">
        <f t="shared" si="6"/>
        <v>1366.1858752628148</v>
      </c>
      <c r="F48" s="26">
        <f t="shared" si="6"/>
        <v>1719.4815561712915</v>
      </c>
      <c r="AA48" s="28">
        <f t="shared" si="7"/>
        <v>5250</v>
      </c>
      <c r="AB48" s="26">
        <f t="shared" si="8"/>
        <v>2151.363727221898</v>
      </c>
      <c r="AC48" s="26">
        <f t="shared" si="8"/>
        <v>2520.9906334610446</v>
      </c>
      <c r="AD48" s="26">
        <f t="shared" si="8"/>
        <v>3110.0908338573427</v>
      </c>
    </row>
    <row r="49" spans="1:31" x14ac:dyDescent="0.25">
      <c r="A49" s="273"/>
      <c r="C49" s="28">
        <f t="shared" si="5"/>
        <v>6000</v>
      </c>
      <c r="D49" s="26">
        <f t="shared" si="6"/>
        <v>1183.02276062089</v>
      </c>
      <c r="E49" s="26">
        <f t="shared" si="6"/>
        <v>1418.0360126211144</v>
      </c>
      <c r="F49" s="26">
        <f t="shared" si="6"/>
        <v>1802.6770761697446</v>
      </c>
      <c r="AA49" s="28">
        <f t="shared" si="7"/>
        <v>5500</v>
      </c>
      <c r="AB49" s="26">
        <f t="shared" si="8"/>
        <v>2216.2175418966099</v>
      </c>
      <c r="AC49" s="26">
        <f t="shared" si="8"/>
        <v>2616.6684712946376</v>
      </c>
      <c r="AD49" s="26">
        <f t="shared" si="8"/>
        <v>3260.5696937419025</v>
      </c>
    </row>
    <row r="50" spans="1:31" x14ac:dyDescent="0.25">
      <c r="A50" s="273"/>
      <c r="C50" s="28">
        <f t="shared" si="5"/>
        <v>6250</v>
      </c>
      <c r="D50" s="26">
        <f t="shared" si="6"/>
        <v>1218.6855069535839</v>
      </c>
      <c r="E50" s="26">
        <f t="shared" si="6"/>
        <v>1471.8539911002697</v>
      </c>
      <c r="F50" s="26">
        <f t="shared" si="6"/>
        <v>1889.8979342260398</v>
      </c>
      <c r="AA50" s="28">
        <f t="shared" si="7"/>
        <v>5750</v>
      </c>
      <c r="AB50" s="26">
        <f t="shared" si="8"/>
        <v>2283.0264036071353</v>
      </c>
      <c r="AC50" s="26">
        <f t="shared" si="8"/>
        <v>2715.9775200224758</v>
      </c>
      <c r="AD50" s="26">
        <f t="shared" si="8"/>
        <v>3418.3293336685274</v>
      </c>
    </row>
    <row r="51" spans="1:31" x14ac:dyDescent="0.25">
      <c r="C51" s="28">
        <f t="shared" si="5"/>
        <v>6500</v>
      </c>
      <c r="D51" s="26">
        <f t="shared" si="6"/>
        <v>1255.423322607279</v>
      </c>
      <c r="E51" s="26">
        <f t="shared" si="6"/>
        <v>1527.7144951442233</v>
      </c>
      <c r="F51" s="26">
        <f t="shared" si="6"/>
        <v>1981.3388925879538</v>
      </c>
      <c r="AA51" s="28">
        <f t="shared" si="7"/>
        <v>6000</v>
      </c>
      <c r="AB51" s="26">
        <f t="shared" si="8"/>
        <v>2351.8492481143294</v>
      </c>
      <c r="AC51" s="26">
        <f t="shared" si="8"/>
        <v>2819.0555930907753</v>
      </c>
      <c r="AD51" s="26">
        <f t="shared" si="8"/>
        <v>3583.7220274254523</v>
      </c>
    </row>
    <row r="52" spans="1:31" x14ac:dyDescent="0.25">
      <c r="C52" s="28">
        <f>C51+250</f>
        <v>6750</v>
      </c>
      <c r="D52" s="26">
        <f t="shared" si="6"/>
        <v>1293.2686160239446</v>
      </c>
      <c r="E52" s="26">
        <f t="shared" si="6"/>
        <v>1585.6950436565221</v>
      </c>
      <c r="F52" s="26">
        <f t="shared" si="6"/>
        <v>2077.2041368939495</v>
      </c>
      <c r="AA52" s="28">
        <f t="shared" si="7"/>
        <v>6250</v>
      </c>
      <c r="AB52" s="26">
        <f t="shared" si="8"/>
        <v>2422.7467878237248</v>
      </c>
      <c r="AC52" s="26">
        <f t="shared" si="8"/>
        <v>2926.0457343073363</v>
      </c>
      <c r="AD52" s="26">
        <f t="shared" si="8"/>
        <v>3757.117093241367</v>
      </c>
    </row>
    <row r="53" spans="1:31" x14ac:dyDescent="0.25">
      <c r="C53" s="28">
        <f t="shared" si="5"/>
        <v>7000</v>
      </c>
      <c r="D53" s="26">
        <f t="shared" si="6"/>
        <v>1332.2547726124192</v>
      </c>
      <c r="E53" s="26">
        <f t="shared" si="6"/>
        <v>1645.8760975750815</v>
      </c>
      <c r="F53" s="26">
        <f t="shared" si="6"/>
        <v>2177.707732115191</v>
      </c>
      <c r="AA53" s="28">
        <f t="shared" si="7"/>
        <v>6500</v>
      </c>
      <c r="AB53" s="26">
        <f t="shared" si="8"/>
        <v>2495.7815653432708</v>
      </c>
      <c r="AC53" s="26">
        <f t="shared" si="8"/>
        <v>3037.0964163467161</v>
      </c>
      <c r="AD53" s="26">
        <f t="shared" si="8"/>
        <v>3938.9017184648519</v>
      </c>
    </row>
    <row r="54" spans="1:31" x14ac:dyDescent="0.25">
      <c r="C54" s="28">
        <f t="shared" si="5"/>
        <v>7250</v>
      </c>
      <c r="D54" s="26">
        <f t="shared" si="6"/>
        <v>1372.4161841995146</v>
      </c>
      <c r="E54" s="26">
        <f t="shared" si="6"/>
        <v>1708.3411715296731</v>
      </c>
      <c r="F54" s="26">
        <f t="shared" si="6"/>
        <v>2283.0741005578934</v>
      </c>
      <c r="I54" s="1291" t="s">
        <v>20</v>
      </c>
      <c r="J54" s="1291"/>
      <c r="K54" s="1291"/>
      <c r="AA54" s="28">
        <f>AA53+250</f>
        <v>6750</v>
      </c>
      <c r="AB54" s="26">
        <f t="shared" si="8"/>
        <v>2571.018008655602</v>
      </c>
      <c r="AC54" s="26">
        <f t="shared" si="8"/>
        <v>3152.3617467891659</v>
      </c>
      <c r="AD54" s="26">
        <f t="shared" si="8"/>
        <v>4129.4818241451712</v>
      </c>
    </row>
    <row r="55" spans="1:31" x14ac:dyDescent="0.25">
      <c r="C55" s="28">
        <f t="shared" si="5"/>
        <v>7500</v>
      </c>
      <c r="D55" s="26">
        <f t="shared" si="6"/>
        <v>1413.7882793689291</v>
      </c>
      <c r="E55" s="26">
        <f t="shared" si="6"/>
        <v>1773.1769497370947</v>
      </c>
      <c r="F55" s="26">
        <f t="shared" si="6"/>
        <v>2393.5385229933695</v>
      </c>
      <c r="I55" t="s">
        <v>1</v>
      </c>
      <c r="J55" t="s">
        <v>21</v>
      </c>
      <c r="K55" t="s">
        <v>22</v>
      </c>
      <c r="L55" s="27">
        <v>1000</v>
      </c>
      <c r="N55" t="s">
        <v>10</v>
      </c>
      <c r="AA55" s="28">
        <f t="shared" si="7"/>
        <v>7000</v>
      </c>
      <c r="AB55" s="26">
        <f t="shared" si="8"/>
        <v>2648.5224879534894</v>
      </c>
      <c r="AC55" s="26">
        <f t="shared" si="8"/>
        <v>3272.0016819792622</v>
      </c>
      <c r="AD55" s="26">
        <f t="shared" si="8"/>
        <v>4329.2829714449999</v>
      </c>
    </row>
    <row r="56" spans="1:31" x14ac:dyDescent="0.25">
      <c r="C56" s="28">
        <f t="shared" si="5"/>
        <v>7750</v>
      </c>
      <c r="D56" s="26">
        <f t="shared" si="6"/>
        <v>1456.4075547147454</v>
      </c>
      <c r="E56" s="26">
        <f t="shared" si="6"/>
        <v>1840.4734062948471</v>
      </c>
      <c r="F56" s="26">
        <f t="shared" si="6"/>
        <v>2509.3476640347903</v>
      </c>
      <c r="I56">
        <v>1.5</v>
      </c>
      <c r="J56">
        <v>4</v>
      </c>
      <c r="K56">
        <v>2.2999999999999998</v>
      </c>
      <c r="L56" s="28">
        <f>K56*L$55</f>
        <v>2300</v>
      </c>
      <c r="M56" s="97">
        <f>L56*$W$12</f>
        <v>4572.3999999999996</v>
      </c>
      <c r="N56">
        <f>3.28083*I56*1000</f>
        <v>4921.2449999999999</v>
      </c>
      <c r="AA56" s="28">
        <f t="shared" si="7"/>
        <v>7250</v>
      </c>
      <c r="AB56" s="26">
        <f t="shared" si="8"/>
        <v>2728.3633741886351</v>
      </c>
      <c r="AC56" s="26">
        <f t="shared" si="8"/>
        <v>3396.1822490009904</v>
      </c>
      <c r="AD56" s="26">
        <f t="shared" si="8"/>
        <v>4538.7513119090918</v>
      </c>
    </row>
    <row r="57" spans="1:31" x14ac:dyDescent="0.25">
      <c r="C57" s="28">
        <f t="shared" si="5"/>
        <v>8000</v>
      </c>
      <c r="D57" s="26">
        <f t="shared" si="6"/>
        <v>1500.3116070370791</v>
      </c>
      <c r="E57" s="26">
        <f t="shared" si="6"/>
        <v>1910.3239300402545</v>
      </c>
      <c r="F57" s="26">
        <f t="shared" si="6"/>
        <v>2630.7601229338152</v>
      </c>
      <c r="I57">
        <v>2.5</v>
      </c>
      <c r="J57">
        <v>4</v>
      </c>
      <c r="K57">
        <v>3.4</v>
      </c>
      <c r="L57" s="28">
        <f t="shared" ref="L57:L65" si="9">K57*L$55</f>
        <v>3400</v>
      </c>
      <c r="M57" s="97">
        <f t="shared" ref="M57:M65" si="10">L57*$W$12</f>
        <v>6759.2</v>
      </c>
      <c r="N57">
        <f t="shared" ref="N57:N65" si="11">3.28083*I57*1000</f>
        <v>8202.0750000000007</v>
      </c>
      <c r="AA57" s="28">
        <f t="shared" si="7"/>
        <v>7500</v>
      </c>
      <c r="AB57" s="26">
        <f t="shared" si="8"/>
        <v>2810.6110993854309</v>
      </c>
      <c r="AC57" s="26">
        <f t="shared" si="8"/>
        <v>3525.075776077344</v>
      </c>
      <c r="AD57" s="26">
        <f t="shared" si="8"/>
        <v>4758.3545837108186</v>
      </c>
    </row>
    <row r="58" spans="1:31" x14ac:dyDescent="0.25">
      <c r="C58" s="28">
        <f t="shared" si="5"/>
        <v>8250</v>
      </c>
      <c r="D58" s="26">
        <f t="shared" si="6"/>
        <v>1545.5391665082745</v>
      </c>
      <c r="E58" s="26">
        <f t="shared" si="6"/>
        <v>1982.8254541482968</v>
      </c>
      <c r="F58" s="26">
        <f t="shared" si="6"/>
        <v>2758.0470110270021</v>
      </c>
      <c r="I58">
        <v>3</v>
      </c>
      <c r="J58">
        <v>4</v>
      </c>
      <c r="K58">
        <v>4</v>
      </c>
      <c r="L58" s="28">
        <f t="shared" si="9"/>
        <v>4000</v>
      </c>
      <c r="M58" s="97">
        <f t="shared" si="10"/>
        <v>7952</v>
      </c>
      <c r="N58">
        <f t="shared" si="11"/>
        <v>9842.49</v>
      </c>
      <c r="AA58" s="28">
        <f t="shared" si="7"/>
        <v>7750</v>
      </c>
      <c r="AB58" s="26">
        <f t="shared" si="8"/>
        <v>2895.3382187729139</v>
      </c>
      <c r="AC58" s="26">
        <f t="shared" si="8"/>
        <v>3658.8611317141558</v>
      </c>
      <c r="AD58" s="26">
        <f t="shared" si="8"/>
        <v>4988.5831561011628</v>
      </c>
    </row>
    <row r="59" spans="1:31" x14ac:dyDescent="0.25">
      <c r="C59" s="28">
        <f t="shared" si="5"/>
        <v>8500</v>
      </c>
      <c r="D59" s="26">
        <f t="shared" si="6"/>
        <v>1592.1301308389184</v>
      </c>
      <c r="E59" s="26">
        <f t="shared" si="6"/>
        <v>2058.0785906480023</v>
      </c>
      <c r="F59" s="26">
        <f t="shared" si="6"/>
        <v>2891.4925571214276</v>
      </c>
      <c r="I59">
        <v>4</v>
      </c>
      <c r="J59">
        <v>4</v>
      </c>
      <c r="K59">
        <v>5.2</v>
      </c>
      <c r="L59" s="28">
        <f t="shared" si="9"/>
        <v>5200</v>
      </c>
      <c r="M59" s="97">
        <f t="shared" si="10"/>
        <v>10337.6</v>
      </c>
      <c r="N59">
        <f t="shared" si="11"/>
        <v>13123.32</v>
      </c>
      <c r="AA59" s="28">
        <f t="shared" si="7"/>
        <v>8000</v>
      </c>
      <c r="AB59" s="26">
        <f t="shared" si="8"/>
        <v>2982.619474789713</v>
      </c>
      <c r="AC59" s="26">
        <f t="shared" si="8"/>
        <v>3797.723972920026</v>
      </c>
      <c r="AD59" s="26">
        <f t="shared" si="8"/>
        <v>5229.9511243924244</v>
      </c>
      <c r="AE59" s="52">
        <v>3903</v>
      </c>
    </row>
    <row r="60" spans="1:31" x14ac:dyDescent="0.25">
      <c r="C60" s="28">
        <f t="shared" si="5"/>
        <v>8750</v>
      </c>
      <c r="D60" s="26">
        <f t="shared" si="6"/>
        <v>1640.1256004737941</v>
      </c>
      <c r="E60" s="26">
        <f t="shared" si="6"/>
        <v>2136.1877700440682</v>
      </c>
      <c r="F60" s="26">
        <f t="shared" si="6"/>
        <v>3031.3947421713328</v>
      </c>
      <c r="I60">
        <v>5</v>
      </c>
      <c r="J60">
        <v>4</v>
      </c>
      <c r="K60">
        <v>7</v>
      </c>
      <c r="L60" s="28">
        <f t="shared" si="9"/>
        <v>7000</v>
      </c>
      <c r="M60" s="97">
        <f t="shared" si="10"/>
        <v>13916</v>
      </c>
      <c r="N60">
        <f t="shared" si="11"/>
        <v>16404.150000000001</v>
      </c>
      <c r="AA60" s="28">
        <f t="shared" si="7"/>
        <v>8250</v>
      </c>
      <c r="AB60" s="26">
        <f t="shared" si="8"/>
        <v>3072.5318630184497</v>
      </c>
      <c r="AC60" s="26">
        <f t="shared" si="8"/>
        <v>3941.8570028468139</v>
      </c>
      <c r="AD60" s="26">
        <f t="shared" si="8"/>
        <v>5482.9974579216805</v>
      </c>
    </row>
    <row r="61" spans="1:31" x14ac:dyDescent="0.25">
      <c r="C61" s="28">
        <f t="shared" si="5"/>
        <v>9000</v>
      </c>
      <c r="D61" s="26">
        <f t="shared" si="6"/>
        <v>1689.5679148488407</v>
      </c>
      <c r="E61" s="26">
        <f t="shared" si="6"/>
        <v>2217.2613862374701</v>
      </c>
      <c r="F61" s="26">
        <f t="shared" si="6"/>
        <v>3178.0659646630024</v>
      </c>
      <c r="I61">
        <v>5</v>
      </c>
      <c r="J61">
        <v>5</v>
      </c>
      <c r="K61">
        <v>8.3000000000000007</v>
      </c>
      <c r="L61" s="28">
        <f t="shared" si="9"/>
        <v>8300</v>
      </c>
      <c r="M61" s="97">
        <f t="shared" si="10"/>
        <v>16500.400000000001</v>
      </c>
      <c r="N61">
        <f t="shared" si="11"/>
        <v>16404.150000000001</v>
      </c>
      <c r="AA61" s="28">
        <f t="shared" si="7"/>
        <v>8500</v>
      </c>
      <c r="AB61" s="26">
        <f t="shared" si="8"/>
        <v>3165.1547001077697</v>
      </c>
      <c r="AC61" s="26">
        <f t="shared" si="8"/>
        <v>4091.4602382082285</v>
      </c>
      <c r="AD61" s="26">
        <f t="shared" si="8"/>
        <v>5748.2872035573982</v>
      </c>
    </row>
    <row r="62" spans="1:31" x14ac:dyDescent="0.25">
      <c r="C62" s="28">
        <f t="shared" si="5"/>
        <v>9250</v>
      </c>
      <c r="D62" s="26">
        <f t="shared" si="6"/>
        <v>1740.5006897410915</v>
      </c>
      <c r="E62" s="26">
        <f t="shared" si="6"/>
        <v>2301.4119469461662</v>
      </c>
      <c r="F62" s="26">
        <f t="shared" si="6"/>
        <v>3331.8337381936799</v>
      </c>
      <c r="I62">
        <v>6</v>
      </c>
      <c r="J62">
        <v>5</v>
      </c>
      <c r="K62">
        <v>9.6999999999999993</v>
      </c>
      <c r="L62" s="28">
        <f t="shared" si="9"/>
        <v>9700</v>
      </c>
      <c r="M62" s="97">
        <f t="shared" si="10"/>
        <v>19283.599999999999</v>
      </c>
      <c r="N62">
        <f t="shared" si="11"/>
        <v>19684.98</v>
      </c>
      <c r="AA62" s="28">
        <f t="shared" si="7"/>
        <v>8750</v>
      </c>
      <c r="AB62" s="26">
        <f t="shared" si="8"/>
        <v>3260.5696937419025</v>
      </c>
      <c r="AC62" s="26">
        <f t="shared" si="8"/>
        <v>4246.7412868476076</v>
      </c>
      <c r="AD62" s="26">
        <f t="shared" si="8"/>
        <v>6026.4127474366096</v>
      </c>
    </row>
    <row r="63" spans="1:31" x14ac:dyDescent="0.25">
      <c r="C63" s="28">
        <f t="shared" si="5"/>
        <v>9500</v>
      </c>
      <c r="D63" s="26">
        <f t="shared" si="6"/>
        <v>1792.9688557445402</v>
      </c>
      <c r="E63" s="26">
        <f t="shared" si="6"/>
        <v>2388.7562298346388</v>
      </c>
      <c r="F63" s="26">
        <f t="shared" si="6"/>
        <v>3493.0414228021909</v>
      </c>
      <c r="I63">
        <v>6</v>
      </c>
      <c r="J63">
        <v>6</v>
      </c>
      <c r="K63">
        <v>12.3</v>
      </c>
      <c r="L63" s="28">
        <f t="shared" si="9"/>
        <v>12300</v>
      </c>
      <c r="M63" s="97">
        <f t="shared" si="10"/>
        <v>24452.400000000001</v>
      </c>
      <c r="N63">
        <f t="shared" si="11"/>
        <v>19684.98</v>
      </c>
      <c r="AA63" s="28">
        <f t="shared" si="7"/>
        <v>9000</v>
      </c>
      <c r="AB63" s="26">
        <f t="shared" si="8"/>
        <v>3358.8610147194954</v>
      </c>
      <c r="AC63" s="26">
        <f t="shared" si="8"/>
        <v>4407.9156358400905</v>
      </c>
      <c r="AD63" s="26">
        <f t="shared" si="8"/>
        <v>6317.9951377500493</v>
      </c>
    </row>
    <row r="64" spans="1:31" x14ac:dyDescent="0.25">
      <c r="C64" s="28">
        <f t="shared" si="5"/>
        <v>9750</v>
      </c>
      <c r="D64" s="26">
        <f t="shared" si="6"/>
        <v>1847.0186979058853</v>
      </c>
      <c r="E64" s="26">
        <f t="shared" si="6"/>
        <v>2479.4154445689396</v>
      </c>
      <c r="F64" s="26">
        <f t="shared" si="6"/>
        <v>3662.0489916843176</v>
      </c>
      <c r="I64">
        <v>7.5</v>
      </c>
      <c r="J64">
        <v>6</v>
      </c>
      <c r="K64">
        <v>14.4</v>
      </c>
      <c r="L64" s="28">
        <f t="shared" si="9"/>
        <v>14400</v>
      </c>
      <c r="M64" s="97">
        <f t="shared" si="10"/>
        <v>28627.200000000001</v>
      </c>
      <c r="N64">
        <f t="shared" si="11"/>
        <v>24606.224999999999</v>
      </c>
      <c r="AA64" s="28">
        <f t="shared" si="7"/>
        <v>9250</v>
      </c>
      <c r="AB64" s="26">
        <f t="shared" si="8"/>
        <v>3460.1153712052896</v>
      </c>
      <c r="AC64" s="26">
        <f t="shared" si="8"/>
        <v>4575.2069505289783</v>
      </c>
      <c r="AD64" s="26">
        <f t="shared" si="8"/>
        <v>6623.6854715290356</v>
      </c>
    </row>
    <row r="65" spans="2:30" x14ac:dyDescent="0.25">
      <c r="C65" s="28">
        <f t="shared" si="5"/>
        <v>10000</v>
      </c>
      <c r="D65" s="26">
        <f t="shared" si="6"/>
        <v>1902.6978965551057</v>
      </c>
      <c r="E65" s="26">
        <f t="shared" si="6"/>
        <v>2573.5154010221254</v>
      </c>
      <c r="F65" s="26">
        <f t="shared" si="6"/>
        <v>3839.2338350049854</v>
      </c>
      <c r="I65">
        <v>10</v>
      </c>
      <c r="J65">
        <v>6</v>
      </c>
      <c r="K65">
        <v>20</v>
      </c>
      <c r="L65" s="28">
        <f t="shared" si="9"/>
        <v>20000</v>
      </c>
      <c r="M65" s="97">
        <f t="shared" si="10"/>
        <v>39760</v>
      </c>
      <c r="N65">
        <f t="shared" si="11"/>
        <v>32808.300000000003</v>
      </c>
      <c r="AA65" s="28">
        <f t="shared" si="7"/>
        <v>9500</v>
      </c>
      <c r="AB65" s="26">
        <f t="shared" si="8"/>
        <v>3564.4220852201461</v>
      </c>
      <c r="AC65" s="26">
        <f t="shared" si="8"/>
        <v>4748.8473849112615</v>
      </c>
      <c r="AD65" s="26">
        <f t="shared" si="8"/>
        <v>6944.1663485307554</v>
      </c>
    </row>
    <row r="66" spans="2:30" x14ac:dyDescent="0.25">
      <c r="AA66" s="28">
        <f t="shared" si="7"/>
        <v>9750</v>
      </c>
      <c r="AB66" s="26">
        <f t="shared" si="8"/>
        <v>3671.8731714369001</v>
      </c>
      <c r="AC66" s="26">
        <f t="shared" si="8"/>
        <v>4929.0779038030523</v>
      </c>
      <c r="AD66" s="26">
        <f t="shared" si="8"/>
        <v>7280.1533954684237</v>
      </c>
    </row>
    <row r="67" spans="2:30" x14ac:dyDescent="0.25">
      <c r="AA67" s="28">
        <f t="shared" si="7"/>
        <v>10000</v>
      </c>
      <c r="AB67" s="26">
        <f t="shared" si="8"/>
        <v>3782.5634183515499</v>
      </c>
      <c r="AC67" s="26">
        <f t="shared" si="8"/>
        <v>5116.1486172319856</v>
      </c>
      <c r="AD67" s="26">
        <f t="shared" si="8"/>
        <v>7632.3968639899113</v>
      </c>
    </row>
    <row r="68" spans="2:30" x14ac:dyDescent="0.25">
      <c r="B68" t="s">
        <v>24</v>
      </c>
      <c r="AA68" s="28">
        <f t="shared" si="7"/>
        <v>10250</v>
      </c>
      <c r="AB68" s="26">
        <f t="shared" si="8"/>
        <v>3896.5904719013906</v>
      </c>
      <c r="AC68" s="26">
        <f t="shared" si="8"/>
        <v>5310.3191275206545</v>
      </c>
      <c r="AD68" s="26">
        <f t="shared" si="8"/>
        <v>8001.6833059730952</v>
      </c>
    </row>
    <row r="69" spans="2:30" x14ac:dyDescent="0.25">
      <c r="B69" t="s">
        <v>25</v>
      </c>
      <c r="C69" t="s">
        <v>28</v>
      </c>
      <c r="D69" t="s">
        <v>26</v>
      </c>
      <c r="E69" s="14" t="s">
        <v>27</v>
      </c>
      <c r="AA69" s="28">
        <f t="shared" si="7"/>
        <v>10500</v>
      </c>
      <c r="AB69" s="26">
        <f t="shared" si="8"/>
        <v>4014.0549216038448</v>
      </c>
      <c r="AC69" s="26">
        <f t="shared" si="8"/>
        <v>5511.8588895427038</v>
      </c>
      <c r="AD69" s="26">
        <f t="shared" si="8"/>
        <v>8388.8373298788101</v>
      </c>
    </row>
    <row r="70" spans="2:30" x14ac:dyDescent="0.25">
      <c r="B70">
        <v>549</v>
      </c>
      <c r="C70">
        <f>B70/1000</f>
        <v>0.54900000000000004</v>
      </c>
      <c r="D70">
        <v>0.30399999999999999</v>
      </c>
      <c r="E70">
        <f>D70*1000000</f>
        <v>304000</v>
      </c>
      <c r="AA70" s="28">
        <f t="shared" si="7"/>
        <v>10750</v>
      </c>
      <c r="AB70" s="26">
        <f t="shared" si="8"/>
        <v>4135.0603892919953</v>
      </c>
      <c r="AC70" s="26">
        <f t="shared" si="8"/>
        <v>5721.0475846515401</v>
      </c>
      <c r="AD70" s="26">
        <f t="shared" si="8"/>
        <v>8794.7234420833065</v>
      </c>
    </row>
    <row r="71" spans="2:30" x14ac:dyDescent="0.25">
      <c r="B71">
        <v>965</v>
      </c>
      <c r="C71">
        <f t="shared" ref="C71:C78" si="12">B71/1000</f>
        <v>0.96499999999999997</v>
      </c>
      <c r="D71">
        <v>0.36399999999999999</v>
      </c>
      <c r="E71">
        <f t="shared" ref="E71:E78" si="13">D71*1000000</f>
        <v>364000</v>
      </c>
      <c r="AA71" s="28">
        <f t="shared" si="7"/>
        <v>11000</v>
      </c>
      <c r="AB71" s="26">
        <f t="shared" si="8"/>
        <v>4259.7136205250918</v>
      </c>
      <c r="AC71" s="26">
        <f t="shared" si="8"/>
        <v>5938.1755088005775</v>
      </c>
      <c r="AD71" s="26">
        <f t="shared" si="8"/>
        <v>9220.247977301884</v>
      </c>
    </row>
    <row r="72" spans="2:30" x14ac:dyDescent="0.25">
      <c r="B72">
        <v>1331</v>
      </c>
      <c r="C72">
        <f t="shared" si="12"/>
        <v>1.331</v>
      </c>
      <c r="D72">
        <v>0.41599999999999998</v>
      </c>
      <c r="E72">
        <f t="shared" si="13"/>
        <v>416000</v>
      </c>
      <c r="AA72" s="28">
        <f t="shared" si="7"/>
        <v>11250</v>
      </c>
      <c r="AB72" s="26">
        <f t="shared" si="8"/>
        <v>4388.1245787546504</v>
      </c>
      <c r="AC72" s="26">
        <f t="shared" si="8"/>
        <v>6163.5439753935807</v>
      </c>
      <c r="AD72" s="26">
        <f t="shared" si="8"/>
        <v>9666.3611224142733</v>
      </c>
    </row>
    <row r="73" spans="2:30" x14ac:dyDescent="0.25">
      <c r="B73">
        <v>1913</v>
      </c>
      <c r="C73">
        <f t="shared" si="12"/>
        <v>1.913</v>
      </c>
      <c r="D73">
        <v>8.6800000000000002E-2</v>
      </c>
      <c r="E73">
        <f t="shared" si="13"/>
        <v>86800</v>
      </c>
      <c r="AA73" s="28">
        <f t="shared" si="7"/>
        <v>11500</v>
      </c>
      <c r="AB73" s="26">
        <f t="shared" si="8"/>
        <v>4520.4065423292595</v>
      </c>
      <c r="AC73" s="26">
        <f t="shared" si="8"/>
        <v>6397.4657334241992</v>
      </c>
      <c r="AD73" s="26">
        <f t="shared" si="8"/>
        <v>10134.05903821092</v>
      </c>
    </row>
    <row r="74" spans="2:30" x14ac:dyDescent="0.25">
      <c r="B74">
        <v>2636</v>
      </c>
      <c r="C74">
        <f t="shared" si="12"/>
        <v>2.6360000000000001</v>
      </c>
      <c r="D74">
        <v>1.9750000000000001</v>
      </c>
      <c r="E74">
        <f t="shared" si="13"/>
        <v>1975000</v>
      </c>
      <c r="AA74" s="28">
        <f t="shared" si="7"/>
        <v>11750</v>
      </c>
      <c r="AB74" s="26">
        <f t="shared" si="8"/>
        <v>4656.676204423612</v>
      </c>
      <c r="AC74" s="26">
        <f t="shared" si="8"/>
        <v>6640.2654014849213</v>
      </c>
      <c r="AD74" s="26">
        <f t="shared" si="8"/>
        <v>10624.386083798023</v>
      </c>
    </row>
    <row r="75" spans="2:30" x14ac:dyDescent="0.25">
      <c r="B75">
        <v>3375</v>
      </c>
      <c r="C75">
        <f t="shared" si="12"/>
        <v>3.375</v>
      </c>
      <c r="D75">
        <v>3.4119999999999999</v>
      </c>
      <c r="E75">
        <f t="shared" si="13"/>
        <v>3412000</v>
      </c>
      <c r="AA75" s="28">
        <f t="shared" si="7"/>
        <v>12000</v>
      </c>
      <c r="AB75" s="26">
        <f t="shared" si="8"/>
        <v>4797.0537759799636</v>
      </c>
      <c r="AC75" s="26">
        <f t="shared" si="8"/>
        <v>6892.2799182477484</v>
      </c>
      <c r="AD75" s="26">
        <f t="shared" si="8"/>
        <v>11138.437148628318</v>
      </c>
    </row>
    <row r="76" spans="2:30" x14ac:dyDescent="0.25">
      <c r="B76">
        <v>4103</v>
      </c>
      <c r="C76">
        <f t="shared" si="12"/>
        <v>4.1029999999999998</v>
      </c>
      <c r="D76">
        <v>5.5270000000000001</v>
      </c>
      <c r="E76">
        <f t="shared" si="13"/>
        <v>5527000</v>
      </c>
      <c r="AA76" s="28">
        <f t="shared" si="7"/>
        <v>12250</v>
      </c>
      <c r="AB76" s="26">
        <f t="shared" si="8"/>
        <v>4941.6630917527864</v>
      </c>
      <c r="AC76" s="26">
        <f t="shared" si="8"/>
        <v>7153.8590100417168</v>
      </c>
      <c r="AD76" s="26">
        <f t="shared" si="8"/>
        <v>11677.360097365032</v>
      </c>
    </row>
    <row r="77" spans="2:30" x14ac:dyDescent="0.25">
      <c r="B77">
        <v>4842</v>
      </c>
      <c r="C77">
        <f t="shared" si="12"/>
        <v>4.8419999999999996</v>
      </c>
      <c r="D77">
        <v>7.57</v>
      </c>
      <c r="E77">
        <f t="shared" si="13"/>
        <v>7570000</v>
      </c>
      <c r="AA77" s="28">
        <f t="shared" si="7"/>
        <v>12500</v>
      </c>
      <c r="AB77" s="26">
        <f t="shared" si="8"/>
        <v>5090.6317195502115</v>
      </c>
      <c r="AC77" s="26">
        <f t="shared" si="8"/>
        <v>7425.3656761761604</v>
      </c>
      <c r="AD77" s="26">
        <f t="shared" si="8"/>
        <v>12242.358333038281</v>
      </c>
    </row>
    <row r="78" spans="2:30" x14ac:dyDescent="0.25">
      <c r="B78">
        <v>5629</v>
      </c>
      <c r="C78">
        <f t="shared" si="12"/>
        <v>5.6289999999999996</v>
      </c>
      <c r="D78">
        <v>9.4139999999999997</v>
      </c>
      <c r="E78">
        <f t="shared" si="13"/>
        <v>9414000</v>
      </c>
      <c r="AA78" s="28">
        <f t="shared" si="7"/>
        <v>12750</v>
      </c>
      <c r="AB78" s="26">
        <f t="shared" si="8"/>
        <v>5244.0910727685732</v>
      </c>
      <c r="AC78" s="26">
        <f t="shared" si="8"/>
        <v>7707.1766926831733</v>
      </c>
      <c r="AD78" s="26">
        <f t="shared" si="8"/>
        <v>12834.693484217452</v>
      </c>
    </row>
    <row r="79" spans="2:30" x14ac:dyDescent="0.25">
      <c r="AA79" s="28">
        <f t="shared" si="7"/>
        <v>13000</v>
      </c>
      <c r="AB79" s="26">
        <f t="shared" si="8"/>
        <v>5402.1765263193874</v>
      </c>
      <c r="AC79" s="26">
        <f t="shared" si="8"/>
        <v>7999.6831351783667</v>
      </c>
      <c r="AD79" s="26">
        <f t="shared" si="8"/>
        <v>13455.688222199893</v>
      </c>
    </row>
    <row r="80" spans="2:30" x14ac:dyDescent="0.25">
      <c r="AA80" s="28">
        <f t="shared" si="7"/>
        <v>13250</v>
      </c>
      <c r="AB80" s="26">
        <f t="shared" si="8"/>
        <v>5565.027536050975</v>
      </c>
      <c r="AC80" s="26">
        <f t="shared" si="8"/>
        <v>8303.290921565469</v>
      </c>
      <c r="AD80" s="26">
        <f t="shared" si="8"/>
        <v>14106.729214506682</v>
      </c>
    </row>
    <row r="81" spans="27:30" x14ac:dyDescent="0.25">
      <c r="AA81" s="28">
        <f t="shared" si="7"/>
        <v>13500</v>
      </c>
      <c r="AB81" s="26">
        <f t="shared" si="8"/>
        <v>5732.787761770116</v>
      </c>
      <c r="AC81" s="26">
        <f t="shared" si="8"/>
        <v>8618.4213753379263</v>
      </c>
      <c r="AD81" s="26">
        <f t="shared" si="8"/>
        <v>14789.270221280554</v>
      </c>
    </row>
    <row r="82" spans="27:30" x14ac:dyDescent="0.25">
      <c r="AA82" s="28">
        <f t="shared" si="7"/>
        <v>13750</v>
      </c>
      <c r="AB82" s="26">
        <f t="shared" si="8"/>
        <v>5905.6051939722465</v>
      </c>
      <c r="AC82" s="26">
        <f t="shared" si="8"/>
        <v>8945.5118102591732</v>
      </c>
      <c r="AD82" s="26">
        <f t="shared" si="8"/>
        <v>15504.835341500146</v>
      </c>
    </row>
    <row r="83" spans="27:30" x14ac:dyDescent="0.25">
      <c r="AA83" s="28">
        <f t="shared" si="7"/>
        <v>14000</v>
      </c>
      <c r="AB83" s="26">
        <f t="shared" si="8"/>
        <v>6083.6322843919916</v>
      </c>
      <c r="AC83" s="26">
        <f t="shared" si="8"/>
        <v>9285.0161372329821</v>
      </c>
      <c r="AD83" s="26">
        <f t="shared" si="8"/>
        <v>16255.022416259322</v>
      </c>
    </row>
    <row r="84" spans="27:30" x14ac:dyDescent="0.25">
      <c r="AA84" s="28">
        <f t="shared" si="7"/>
        <v>14250</v>
      </c>
      <c r="AB84" s="26">
        <f t="shared" si="8"/>
        <v>6267.026080489195</v>
      </c>
      <c r="AC84" s="26">
        <f t="shared" si="8"/>
        <v>9637.4054942060538</v>
      </c>
      <c r="AD84" s="26">
        <f t="shared" si="8"/>
        <v>17041.506596711035</v>
      </c>
    </row>
    <row r="85" spans="27:30" x14ac:dyDescent="0.25">
      <c r="AA85" s="28">
        <f t="shared" si="7"/>
        <v>14500</v>
      </c>
      <c r="AB85" s="26">
        <f t="shared" si="8"/>
        <v>6455.9483639891005</v>
      </c>
      <c r="AC85" s="26">
        <f t="shared" si="8"/>
        <v>10003.16889997695</v>
      </c>
      <c r="AD85" s="26">
        <f t="shared" si="8"/>
        <v>17866.044084642777</v>
      </c>
    </row>
    <row r="86" spans="27:30" x14ac:dyDescent="0.25">
      <c r="AA86" s="28">
        <f t="shared" si="7"/>
        <v>14750</v>
      </c>
      <c r="AB86" s="26">
        <f t="shared" si="8"/>
        <v>6650.5657935988884</v>
      </c>
      <c r="AC86" s="26">
        <f t="shared" si="8"/>
        <v>10382.81393281869</v>
      </c>
      <c r="AD86" s="26">
        <f t="shared" si="8"/>
        <v>18730.476054036393</v>
      </c>
    </row>
    <row r="87" spans="27:30" x14ac:dyDescent="0.25">
      <c r="AA87" s="28">
        <f t="shared" si="7"/>
        <v>15000</v>
      </c>
      <c r="AB87" s="26">
        <f t="shared" si="8"/>
        <v>6851.0500520264513</v>
      </c>
      <c r="AC87" s="26">
        <f t="shared" si="8"/>
        <v>10776.867434856804</v>
      </c>
      <c r="AD87" s="26">
        <f t="shared" si="8"/>
        <v>19636.732762368832</v>
      </c>
    </row>
    <row r="88" spans="27:30" x14ac:dyDescent="0.25">
      <c r="AA88" s="28">
        <f t="shared" si="7"/>
        <v>15250</v>
      </c>
      <c r="AB88" s="26">
        <f t="shared" si="8"/>
        <v>7057.5779974311345</v>
      </c>
      <c r="AC88" s="26">
        <f t="shared" si="8"/>
        <v>11185.876243180206</v>
      </c>
      <c r="AD88" s="26">
        <f t="shared" si="8"/>
        <v>20586.837860834454</v>
      </c>
    </row>
    <row r="89" spans="27:30" x14ac:dyDescent="0.25">
      <c r="AA89" s="28">
        <f t="shared" si="7"/>
        <v>15500</v>
      </c>
      <c r="AB89" s="26">
        <f t="shared" si="8"/>
        <v>7270.3318194400099</v>
      </c>
      <c r="AC89" s="26">
        <f t="shared" si="8"/>
        <v>11610.407948699607</v>
      </c>
      <c r="AD89" s="26">
        <f t="shared" si="8"/>
        <v>21582.912913113367</v>
      </c>
    </row>
    <row r="90" spans="27:30" x14ac:dyDescent="0.25">
      <c r="AA90" s="28">
        <f t="shared" si="7"/>
        <v>15750</v>
      </c>
      <c r="AB90" s="26">
        <f t="shared" si="8"/>
        <v>7489.4991998673504</v>
      </c>
      <c r="AC90" s="26">
        <f t="shared" si="8"/>
        <v>12051.05168380641</v>
      </c>
      <c r="AD90" s="26">
        <f t="shared" si="8"/>
        <v>22627.182132776299</v>
      </c>
    </row>
    <row r="91" spans="27:30" x14ac:dyDescent="0.25">
      <c r="AA91" s="28">
        <f t="shared" si="7"/>
        <v>16000</v>
      </c>
      <c r="AB91" s="26">
        <f t="shared" si="8"/>
        <v>7715.2734782790376</v>
      </c>
      <c r="AC91" s="26">
        <f t="shared" si="8"/>
        <v>12508.418939925297</v>
      </c>
      <c r="AD91" s="26">
        <f t="shared" si="8"/>
        <v>23721.977349904242</v>
      </c>
    </row>
    <row r="92" spans="27:30" x14ac:dyDescent="0.25">
      <c r="AA92" s="28">
        <f t="shared" si="7"/>
        <v>16250</v>
      </c>
      <c r="AB92" s="26">
        <f t="shared" si="8"/>
        <v>7947.8538225480006</v>
      </c>
      <c r="AC92" s="26">
        <f t="shared" si="8"/>
        <v>12983.144416094867</v>
      </c>
      <c r="AD92" s="26">
        <f t="shared" si="8"/>
        <v>24869.743218013504</v>
      </c>
    </row>
    <row r="93" spans="27:30" x14ac:dyDescent="0.25">
      <c r="AA93" s="28">
        <f t="shared" ref="AA93:AA127" si="14">AA92+250</f>
        <v>16500</v>
      </c>
      <c r="AB93" s="26">
        <f t="shared" ref="AB93:AD127" si="15">580*EXP($AA93*E$10)*$W$12</f>
        <v>8187.445404551122</v>
      </c>
      <c r="AC93" s="26">
        <f t="shared" si="15"/>
        <v>13475.886899754099</v>
      </c>
      <c r="AD93" s="26">
        <f t="shared" si="15"/>
        <v>26073.042672912998</v>
      </c>
    </row>
    <row r="94" spans="27:30" x14ac:dyDescent="0.25">
      <c r="AA94" s="28">
        <f t="shared" si="14"/>
        <v>16750</v>
      </c>
      <c r="AB94" s="26">
        <f t="shared" si="15"/>
        <v>8434.2595811626015</v>
      </c>
      <c r="AC94" s="26">
        <f t="shared" si="15"/>
        <v>13987.330180956771</v>
      </c>
      <c r="AD94" s="26">
        <f t="shared" si="15"/>
        <v>27334.562655683178</v>
      </c>
    </row>
    <row r="95" spans="27:30" x14ac:dyDescent="0.25">
      <c r="AA95" s="28">
        <f t="shared" si="14"/>
        <v>17000</v>
      </c>
      <c r="AB95" s="26">
        <f t="shared" si="15"/>
        <v>8688.5140807034477</v>
      </c>
      <c r="AC95" s="26">
        <f t="shared" si="15"/>
        <v>14518.184001282636</v>
      </c>
      <c r="AD95" s="26">
        <f t="shared" si="15"/>
        <v>28657.120112556138</v>
      </c>
    </row>
    <row r="96" spans="27:30" x14ac:dyDescent="0.25">
      <c r="AA96" s="28">
        <f t="shared" si="14"/>
        <v>17250</v>
      </c>
      <c r="AB96" s="26">
        <f t="shared" si="15"/>
        <v>8950.4331950115647</v>
      </c>
      <c r="AC96" s="26">
        <f t="shared" si="15"/>
        <v>15069.185038762076</v>
      </c>
      <c r="AD96" s="26">
        <f t="shared" si="15"/>
        <v>30043.668285094223</v>
      </c>
    </row>
    <row r="97" spans="27:30" x14ac:dyDescent="0.25">
      <c r="AA97" s="28">
        <f t="shared" si="14"/>
        <v>17500</v>
      </c>
      <c r="AB97" s="26">
        <f t="shared" si="15"/>
        <v>9220.247977301884</v>
      </c>
      <c r="AC97" s="26">
        <f t="shared" si="15"/>
        <v>15641.097930181149</v>
      </c>
      <c r="AD97" s="26">
        <f t="shared" si="15"/>
        <v>31497.303304713158</v>
      </c>
    </row>
    <row r="98" spans="27:30" x14ac:dyDescent="0.25">
      <c r="AA98" s="28">
        <f t="shared" si="14"/>
        <v>17750</v>
      </c>
      <c r="AB98" s="26">
        <f t="shared" si="15"/>
        <v>9498.1964459910851</v>
      </c>
      <c r="AC98" s="26">
        <f t="shared" si="15"/>
        <v>16234.716332185555</v>
      </c>
      <c r="AD98" s="26">
        <f t="shared" si="15"/>
        <v>33021.271106275068</v>
      </c>
    </row>
    <row r="99" spans="27:30" x14ac:dyDescent="0.25">
      <c r="AA99" s="28">
        <f t="shared" si="14"/>
        <v>18000</v>
      </c>
      <c r="AB99" s="26">
        <f t="shared" si="15"/>
        <v>9784.5237946666894</v>
      </c>
      <c r="AC99" s="26">
        <f t="shared" si="15"/>
        <v>16850.864022656242</v>
      </c>
      <c r="AD99" s="26">
        <f t="shared" si="15"/>
        <v>34618.974676189238</v>
      </c>
    </row>
    <row r="100" spans="27:30" x14ac:dyDescent="0.25">
      <c r="AA100" s="28">
        <f t="shared" si="14"/>
        <v>18250</v>
      </c>
      <c r="AB100" s="26">
        <f t="shared" si="15"/>
        <v>10079.482608385768</v>
      </c>
      <c r="AC100" s="26">
        <f t="shared" si="15"/>
        <v>17490.396043884808</v>
      </c>
      <c r="AD100" s="26">
        <f t="shared" si="15"/>
        <v>36293.981651205584</v>
      </c>
    </row>
    <row r="101" spans="27:30" x14ac:dyDescent="0.25">
      <c r="AA101" s="28">
        <f t="shared" si="14"/>
        <v>18500</v>
      </c>
      <c r="AB101" s="26">
        <f t="shared" si="15"/>
        <v>10383.333086494067</v>
      </c>
      <c r="AC101" s="26">
        <f t="shared" si="15"/>
        <v>18154.199889135394</v>
      </c>
      <c r="AD101" s="26">
        <f t="shared" si="15"/>
        <v>38050.032284868539</v>
      </c>
    </row>
    <row r="102" spans="27:30" x14ac:dyDescent="0.25">
      <c r="AA102" s="28">
        <f t="shared" si="14"/>
        <v>18750</v>
      </c>
      <c r="AB102" s="26">
        <f t="shared" si="15"/>
        <v>10696.343272162145</v>
      </c>
      <c r="AC102" s="26">
        <f t="shared" si="15"/>
        <v>18843.196734239369</v>
      </c>
      <c r="AD102" s="26">
        <f t="shared" si="15"/>
        <v>39891.047799420659</v>
      </c>
    </row>
    <row r="103" spans="27:30" x14ac:dyDescent="0.25">
      <c r="AA103" s="28">
        <f t="shared" si="14"/>
        <v>19000</v>
      </c>
      <c r="AB103" s="26">
        <f t="shared" si="15"/>
        <v>11018.789288840921</v>
      </c>
      <c r="AC103" s="26">
        <f t="shared" si="15"/>
        <v>19558.342715932253</v>
      </c>
      <c r="AD103" s="26">
        <f t="shared" si="15"/>
        <v>41821.139141805113</v>
      </c>
    </row>
    <row r="104" spans="27:30" x14ac:dyDescent="0.25">
      <c r="AA104" s="28">
        <f t="shared" si="14"/>
        <v>19250</v>
      </c>
      <c r="AB104" s="26">
        <f t="shared" si="15"/>
        <v>11350.955583845336</v>
      </c>
      <c r="AC104" s="26">
        <f t="shared" si="15"/>
        <v>20300.630258706551</v>
      </c>
      <c r="AD104" s="26">
        <f t="shared" si="15"/>
        <v>43844.616163319355</v>
      </c>
    </row>
    <row r="105" spans="27:30" x14ac:dyDescent="0.25">
      <c r="AA105" s="28">
        <f t="shared" si="14"/>
        <v>19500</v>
      </c>
      <c r="AB105" s="26">
        <f t="shared" si="15"/>
        <v>11693.135179280926</v>
      </c>
      <c r="AC105" s="26">
        <f t="shared" si="15"/>
        <v>21071.089452022028</v>
      </c>
      <c r="AD105" s="26">
        <f t="shared" si="15"/>
        <v>45965.997243417762</v>
      </c>
    </row>
    <row r="106" spans="27:30" x14ac:dyDescent="0.25">
      <c r="AA106" s="28">
        <f t="shared" si="14"/>
        <v>19750</v>
      </c>
      <c r="AB106" s="26">
        <f t="shared" si="15"/>
        <v>12045.629930534678</v>
      </c>
      <c r="AC106" s="26">
        <f t="shared" si="15"/>
        <v>21870.789479784489</v>
      </c>
      <c r="AD106" s="26">
        <f t="shared" si="15"/>
        <v>48190.019379153106</v>
      </c>
    </row>
    <row r="107" spans="27:30" x14ac:dyDescent="0.25">
      <c r="AA107" s="28">
        <f t="shared" si="14"/>
        <v>20000</v>
      </c>
      <c r="AB107" s="26">
        <f t="shared" si="15"/>
        <v>12408.750792558249</v>
      </c>
      <c r="AC107" s="26">
        <f t="shared" si="15"/>
        <v>22700.84010407684</v>
      </c>
      <c r="AD107" s="26">
        <f t="shared" si="15"/>
        <v>50521.64876278623</v>
      </c>
    </row>
    <row r="108" spans="27:30" x14ac:dyDescent="0.25">
      <c r="AA108" s="28">
        <f t="shared" si="14"/>
        <v>20250</v>
      </c>
      <c r="AB108" s="26">
        <f t="shared" si="15"/>
        <v>12782.818094178348</v>
      </c>
      <c r="AC108" s="26">
        <f t="shared" si="15"/>
        <v>23562.393205201344</v>
      </c>
      <c r="AD108" s="26">
        <f t="shared" si="15"/>
        <v>52966.09187118354</v>
      </c>
    </row>
    <row r="109" spans="27:30" x14ac:dyDescent="0.25">
      <c r="AA109" s="28">
        <f t="shared" si="14"/>
        <v>20500</v>
      </c>
      <c r="AB109" s="26">
        <f t="shared" si="15"/>
        <v>13168.161820676389</v>
      </c>
      <c r="AC109" s="26">
        <f t="shared" si="15"/>
        <v>24456.644380170444</v>
      </c>
      <c r="AD109" s="26">
        <f t="shared" si="15"/>
        <v>55528.807091764829</v>
      </c>
    </row>
    <row r="110" spans="27:30" x14ac:dyDescent="0.25">
      <c r="AA110" s="28">
        <f t="shared" si="14"/>
        <v>20750</v>
      </c>
      <c r="AB110" s="26">
        <f t="shared" si="15"/>
        <v>13565.121904886584</v>
      </c>
      <c r="AC110" s="26">
        <f t="shared" si="15"/>
        <v>25384.834601864088</v>
      </c>
      <c r="AD110" s="26">
        <f t="shared" si="15"/>
        <v>58215.516910961611</v>
      </c>
    </row>
    <row r="111" spans="27:30" x14ac:dyDescent="0.25">
      <c r="AA111" s="28">
        <f t="shared" si="14"/>
        <v>21000</v>
      </c>
      <c r="AB111" s="26">
        <f t="shared" si="15"/>
        <v>13974.048527069355</v>
      </c>
      <c r="AC111" s="26">
        <f t="shared" si="15"/>
        <v>26348.251941156352</v>
      </c>
      <c r="AD111" s="26">
        <f t="shared" si="15"/>
        <v>61032.220692402894</v>
      </c>
    </row>
    <row r="112" spans="27:30" x14ac:dyDescent="0.25">
      <c r="AA112" s="28">
        <f t="shared" si="14"/>
        <v>21250</v>
      </c>
      <c r="AB112" s="26">
        <f t="shared" si="15"/>
        <v>14395.302423824542</v>
      </c>
      <c r="AC112" s="26">
        <f t="shared" si="15"/>
        <v>27348.233354400887</v>
      </c>
      <c r="AD112" s="26">
        <f t="shared" si="15"/>
        <v>63985.208073361457</v>
      </c>
    </row>
    <row r="113" spans="27:30" x14ac:dyDescent="0.25">
      <c r="AA113" s="28">
        <f t="shared" si="14"/>
        <v>21500</v>
      </c>
      <c r="AB113" s="26">
        <f t="shared" si="15"/>
        <v>14829.25520631693</v>
      </c>
      <c r="AC113" s="26">
        <f t="shared" si="15"/>
        <v>28386.166538755999</v>
      </c>
      <c r="AD113" s="26">
        <f t="shared" si="15"/>
        <v>67081.073009374901</v>
      </c>
    </row>
    <row r="114" spans="27:30" x14ac:dyDescent="0.25">
      <c r="AA114" s="28">
        <f t="shared" si="14"/>
        <v>21750</v>
      </c>
      <c r="AB114" s="26">
        <f t="shared" si="15"/>
        <v>15276.289688094861</v>
      </c>
      <c r="AC114" s="26">
        <f t="shared" si="15"/>
        <v>29463.491857923815</v>
      </c>
      <c r="AD114" s="26">
        <f t="shared" si="15"/>
        <v>70326.728498402561</v>
      </c>
    </row>
    <row r="115" spans="27:30" x14ac:dyDescent="0.25">
      <c r="AA115" s="28">
        <f t="shared" si="14"/>
        <v>22000</v>
      </c>
      <c r="AB115" s="26">
        <f t="shared" si="15"/>
        <v>15736.800222791038</v>
      </c>
      <c r="AC115" s="26">
        <f t="shared" si="15"/>
        <v>30581.704340976019</v>
      </c>
      <c r="AD115" s="26">
        <f t="shared" si="15"/>
        <v>73729.422017397068</v>
      </c>
    </row>
    <row r="116" spans="27:30" x14ac:dyDescent="0.25">
      <c r="AA116" s="28">
        <f t="shared" si="14"/>
        <v>22250</v>
      </c>
      <c r="AB116" s="26">
        <f t="shared" si="15"/>
        <v>16211.193052003498</v>
      </c>
      <c r="AC116" s="26">
        <f t="shared" si="15"/>
        <v>31742.355757040099</v>
      </c>
      <c r="AD116" s="26">
        <f t="shared" si="15"/>
        <v>77296.751705760238</v>
      </c>
    </row>
    <row r="117" spans="27:30" x14ac:dyDescent="0.25">
      <c r="AA117" s="28">
        <f t="shared" si="14"/>
        <v>22500</v>
      </c>
      <c r="AB117" s="26">
        <f t="shared" si="15"/>
        <v>16699.886663663601</v>
      </c>
      <c r="AC117" s="26">
        <f t="shared" si="15"/>
        <v>32947.056768724848</v>
      </c>
      <c r="AD117" s="26">
        <f t="shared" si="15"/>
        <v>81036.683331820328</v>
      </c>
    </row>
    <row r="118" spans="27:30" x14ac:dyDescent="0.25">
      <c r="AA118" s="28">
        <f t="shared" si="14"/>
        <v>22750</v>
      </c>
      <c r="AB118" s="26">
        <f t="shared" si="15"/>
        <v>17203.312161207199</v>
      </c>
      <c r="AC118" s="26">
        <f t="shared" si="15"/>
        <v>34197.479167273988</v>
      </c>
      <c r="AD118" s="26">
        <f t="shared" si="15"/>
        <v>84957.568080216661</v>
      </c>
    </row>
    <row r="119" spans="27:30" x14ac:dyDescent="0.25">
      <c r="AA119" s="28">
        <f t="shared" si="14"/>
        <v>23000</v>
      </c>
      <c r="AB119" s="26">
        <f t="shared" si="15"/>
        <v>17721.913643874603</v>
      </c>
      <c r="AC119" s="26">
        <f t="shared" si="15"/>
        <v>35495.358192549109</v>
      </c>
      <c r="AD119" s="26">
        <f t="shared" si="15"/>
        <v>89068.161199910188</v>
      </c>
    </row>
    <row r="120" spans="27:30" x14ac:dyDescent="0.25">
      <c r="AA120" s="28">
        <f t="shared" si="14"/>
        <v>23250</v>
      </c>
      <c r="AB120" s="26">
        <f t="shared" si="15"/>
        <v>18256.148598474887</v>
      </c>
      <c r="AC120" s="26">
        <f t="shared" si="15"/>
        <v>36842.494941061952</v>
      </c>
      <c r="AD120" s="26">
        <f t="shared" si="15"/>
        <v>93377.641554460977</v>
      </c>
    </row>
    <row r="121" spans="27:30" x14ac:dyDescent="0.25">
      <c r="AA121" s="28">
        <f t="shared" si="14"/>
        <v>23500</v>
      </c>
      <c r="AB121" s="26">
        <f t="shared" si="15"/>
        <v>18806.488302960086</v>
      </c>
      <c r="AC121" s="26">
        <f t="shared" si="15"/>
        <v>38240.7588653973</v>
      </c>
      <c r="AD121" s="26">
        <f t="shared" si="15"/>
        <v>97895.632118227542</v>
      </c>
    </row>
    <row r="122" spans="27:30" x14ac:dyDescent="0.25">
      <c r="AA122" s="28">
        <f t="shared" si="14"/>
        <v>23750</v>
      </c>
      <c r="AB122" s="26">
        <f t="shared" si="15"/>
        <v>19373.418242165346</v>
      </c>
      <c r="AC122" s="26">
        <f t="shared" si="15"/>
        <v>39692.09036849533</v>
      </c>
      <c r="AD122" s="26">
        <f t="shared" si="15"/>
        <v>102632.22146425591</v>
      </c>
    </row>
    <row r="123" spans="27:30" x14ac:dyDescent="0.25">
      <c r="AA123" s="28">
        <f t="shared" si="14"/>
        <v>24000</v>
      </c>
      <c r="AB123" s="26">
        <f t="shared" si="15"/>
        <v>19957.438536081678</v>
      </c>
      <c r="AC123" s="26">
        <f t="shared" si="15"/>
        <v>41198.503496393183</v>
      </c>
      <c r="AD123" s="26">
        <f t="shared" si="15"/>
        <v>107597.98629184015</v>
      </c>
    </row>
    <row r="124" spans="27:30" x14ac:dyDescent="0.25">
      <c r="AA124" s="28">
        <f t="shared" si="14"/>
        <v>24250</v>
      </c>
      <c r="AB124" s="26">
        <f t="shared" si="15"/>
        <v>20559.064381039272</v>
      </c>
      <c r="AC124" s="26">
        <f t="shared" si="15"/>
        <v>42762.088733162993</v>
      </c>
      <c r="AD124" s="26">
        <f t="shared" si="15"/>
        <v>112804.01504405803</v>
      </c>
    </row>
    <row r="125" spans="27:30" x14ac:dyDescent="0.25">
      <c r="AA125" s="28">
        <f t="shared" si="14"/>
        <v>24500</v>
      </c>
      <c r="AB125" s="26">
        <f t="shared" si="15"/>
        <v>21178.826504190412</v>
      </c>
      <c r="AC125" s="26">
        <f t="shared" si="15"/>
        <v>44385.015901924533</v>
      </c>
      <c r="AD125" s="26">
        <f t="shared" si="15"/>
        <v>118261.93266801936</v>
      </c>
    </row>
    <row r="126" spans="27:30" x14ac:dyDescent="0.25">
      <c r="AA126" s="28">
        <f t="shared" si="14"/>
        <v>24750</v>
      </c>
      <c r="AB126" s="26">
        <f t="shared" si="15"/>
        <v>21817.271631693009</v>
      </c>
      <c r="AC126" s="26">
        <f t="shared" si="15"/>
        <v>46069.537175958634</v>
      </c>
      <c r="AD126" s="26">
        <f t="shared" si="15"/>
        <v>123983.92657311584</v>
      </c>
    </row>
    <row r="127" spans="27:30" x14ac:dyDescent="0.25">
      <c r="AA127" s="28">
        <f t="shared" si="14"/>
        <v>25000</v>
      </c>
      <c r="AB127" s="26">
        <f t="shared" si="15"/>
        <v>22474.962971007724</v>
      </c>
      <c r="AC127" s="26">
        <f t="shared" si="15"/>
        <v>47817.990204099631</v>
      </c>
      <c r="AD127" s="26">
        <f t="shared" si="15"/>
        <v>129982.77384523678</v>
      </c>
    </row>
  </sheetData>
  <sheetProtection password="DFD3" sheet="1" objects="1" scenarios="1"/>
  <mergeCells count="6">
    <mergeCell ref="B3:G3"/>
    <mergeCell ref="AB25:AD25"/>
    <mergeCell ref="I54:K54"/>
    <mergeCell ref="D23:F23"/>
    <mergeCell ref="B4:B21"/>
    <mergeCell ref="D4:F4"/>
  </mergeCell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P66"/>
  <sheetViews>
    <sheetView workbookViewId="0">
      <selection activeCell="I1" sqref="I1"/>
    </sheetView>
  </sheetViews>
  <sheetFormatPr defaultRowHeight="15" x14ac:dyDescent="0.25"/>
  <cols>
    <col min="1" max="1" width="139.28515625" customWidth="1"/>
    <col min="2" max="2" width="20" style="57" customWidth="1"/>
    <col min="3" max="256" width="8" style="57" customWidth="1"/>
    <col min="257" max="257" width="9.140625" style="57"/>
    <col min="258" max="258" width="20" style="57" customWidth="1"/>
    <col min="259" max="512" width="8" style="57" customWidth="1"/>
    <col min="513" max="513" width="9.140625" style="57"/>
    <col min="514" max="514" width="20" style="57" customWidth="1"/>
    <col min="515" max="768" width="8" style="57" customWidth="1"/>
    <col min="769" max="769" width="9.140625" style="57"/>
    <col min="770" max="770" width="20" style="57" customWidth="1"/>
    <col min="771" max="1024" width="8" style="57" customWidth="1"/>
    <col min="1025" max="1025" width="9.140625" style="57"/>
    <col min="1026" max="1026" width="20" style="57" customWidth="1"/>
    <col min="1027" max="1280" width="8" style="57" customWidth="1"/>
    <col min="1281" max="1281" width="9.140625" style="57"/>
    <col min="1282" max="1282" width="20" style="57" customWidth="1"/>
    <col min="1283" max="1536" width="8" style="57" customWidth="1"/>
    <col min="1537" max="1537" width="9.140625" style="57"/>
    <col min="1538" max="1538" width="20" style="57" customWidth="1"/>
    <col min="1539" max="1792" width="8" style="57" customWidth="1"/>
    <col min="1793" max="1793" width="9.140625" style="57"/>
    <col min="1794" max="1794" width="20" style="57" customWidth="1"/>
    <col min="1795" max="2048" width="8" style="57" customWidth="1"/>
    <col min="2049" max="2049" width="9.140625" style="57"/>
    <col min="2050" max="2050" width="20" style="57" customWidth="1"/>
    <col min="2051" max="2304" width="8" style="57" customWidth="1"/>
    <col min="2305" max="2305" width="9.140625" style="57"/>
    <col min="2306" max="2306" width="20" style="57" customWidth="1"/>
    <col min="2307" max="2560" width="8" style="57" customWidth="1"/>
    <col min="2561" max="2561" width="9.140625" style="57"/>
    <col min="2562" max="2562" width="20" style="57" customWidth="1"/>
    <col min="2563" max="2816" width="8" style="57" customWidth="1"/>
    <col min="2817" max="2817" width="9.140625" style="57"/>
    <col min="2818" max="2818" width="20" style="57" customWidth="1"/>
    <col min="2819" max="3072" width="8" style="57" customWidth="1"/>
    <col min="3073" max="3073" width="9.140625" style="57"/>
    <col min="3074" max="3074" width="20" style="57" customWidth="1"/>
    <col min="3075" max="3328" width="8" style="57" customWidth="1"/>
    <col min="3329" max="3329" width="9.140625" style="57"/>
    <col min="3330" max="3330" width="20" style="57" customWidth="1"/>
    <col min="3331" max="3584" width="8" style="57" customWidth="1"/>
    <col min="3585" max="3585" width="9.140625" style="57"/>
    <col min="3586" max="3586" width="20" style="57" customWidth="1"/>
    <col min="3587" max="3840" width="8" style="57" customWidth="1"/>
    <col min="3841" max="3841" width="9.140625" style="57"/>
    <col min="3842" max="3842" width="20" style="57" customWidth="1"/>
    <col min="3843" max="4096" width="8" style="57" customWidth="1"/>
    <col min="4097" max="4097" width="9.140625" style="57"/>
    <col min="4098" max="4098" width="20" style="57" customWidth="1"/>
    <col min="4099" max="4352" width="8" style="57" customWidth="1"/>
    <col min="4353" max="4353" width="9.140625" style="57"/>
    <col min="4354" max="4354" width="20" style="57" customWidth="1"/>
    <col min="4355" max="4608" width="8" style="57" customWidth="1"/>
    <col min="4609" max="4609" width="9.140625" style="57"/>
    <col min="4610" max="4610" width="20" style="57" customWidth="1"/>
    <col min="4611" max="4864" width="8" style="57" customWidth="1"/>
    <col min="4865" max="4865" width="9.140625" style="57"/>
    <col min="4866" max="4866" width="20" style="57" customWidth="1"/>
    <col min="4867" max="5120" width="8" style="57" customWidth="1"/>
    <col min="5121" max="5121" width="9.140625" style="57"/>
    <col min="5122" max="5122" width="20" style="57" customWidth="1"/>
    <col min="5123" max="5376" width="8" style="57" customWidth="1"/>
    <col min="5377" max="5377" width="9.140625" style="57"/>
    <col min="5378" max="5378" width="20" style="57" customWidth="1"/>
    <col min="5379" max="5632" width="8" style="57" customWidth="1"/>
    <col min="5633" max="5633" width="9.140625" style="57"/>
    <col min="5634" max="5634" width="20" style="57" customWidth="1"/>
    <col min="5635" max="5888" width="8" style="57" customWidth="1"/>
    <col min="5889" max="5889" width="9.140625" style="57"/>
    <col min="5890" max="5890" width="20" style="57" customWidth="1"/>
    <col min="5891" max="6144" width="8" style="57" customWidth="1"/>
    <col min="6145" max="6145" width="9.140625" style="57"/>
    <col min="6146" max="6146" width="20" style="57" customWidth="1"/>
    <col min="6147" max="6400" width="8" style="57" customWidth="1"/>
    <col min="6401" max="6401" width="9.140625" style="57"/>
    <col min="6402" max="6402" width="20" style="57" customWidth="1"/>
    <col min="6403" max="6656" width="8" style="57" customWidth="1"/>
    <col min="6657" max="6657" width="9.140625" style="57"/>
    <col min="6658" max="6658" width="20" style="57" customWidth="1"/>
    <col min="6659" max="6912" width="8" style="57" customWidth="1"/>
    <col min="6913" max="6913" width="9.140625" style="57"/>
    <col min="6914" max="6914" width="20" style="57" customWidth="1"/>
    <col min="6915" max="7168" width="8" style="57" customWidth="1"/>
    <col min="7169" max="7169" width="9.140625" style="57"/>
    <col min="7170" max="7170" width="20" style="57" customWidth="1"/>
    <col min="7171" max="7424" width="8" style="57" customWidth="1"/>
    <col min="7425" max="7425" width="9.140625" style="57"/>
    <col min="7426" max="7426" width="20" style="57" customWidth="1"/>
    <col min="7427" max="7680" width="8" style="57" customWidth="1"/>
    <col min="7681" max="7681" width="9.140625" style="57"/>
    <col min="7682" max="7682" width="20" style="57" customWidth="1"/>
    <col min="7683" max="7936" width="8" style="57" customWidth="1"/>
    <col min="7937" max="7937" width="9.140625" style="57"/>
    <col min="7938" max="7938" width="20" style="57" customWidth="1"/>
    <col min="7939" max="8192" width="8" style="57" customWidth="1"/>
    <col min="8193" max="8193" width="9.140625" style="57"/>
    <col min="8194" max="8194" width="20" style="57" customWidth="1"/>
    <col min="8195" max="8448" width="8" style="57" customWidth="1"/>
    <col min="8449" max="8449" width="9.140625" style="57"/>
    <col min="8450" max="8450" width="20" style="57" customWidth="1"/>
    <col min="8451" max="8704" width="8" style="57" customWidth="1"/>
    <col min="8705" max="8705" width="9.140625" style="57"/>
    <col min="8706" max="8706" width="20" style="57" customWidth="1"/>
    <col min="8707" max="8960" width="8" style="57" customWidth="1"/>
    <col min="8961" max="8961" width="9.140625" style="57"/>
    <col min="8962" max="8962" width="20" style="57" customWidth="1"/>
    <col min="8963" max="9216" width="8" style="57" customWidth="1"/>
    <col min="9217" max="9217" width="9.140625" style="57"/>
    <col min="9218" max="9218" width="20" style="57" customWidth="1"/>
    <col min="9219" max="9472" width="8" style="57" customWidth="1"/>
    <col min="9473" max="9473" width="9.140625" style="57"/>
    <col min="9474" max="9474" width="20" style="57" customWidth="1"/>
    <col min="9475" max="9728" width="8" style="57" customWidth="1"/>
    <col min="9729" max="9729" width="9.140625" style="57"/>
    <col min="9730" max="9730" width="20" style="57" customWidth="1"/>
    <col min="9731" max="9984" width="8" style="57" customWidth="1"/>
    <col min="9985" max="9985" width="9.140625" style="57"/>
    <col min="9986" max="9986" width="20" style="57" customWidth="1"/>
    <col min="9987" max="10240" width="8" style="57" customWidth="1"/>
    <col min="10241" max="10241" width="9.140625" style="57"/>
    <col min="10242" max="10242" width="20" style="57" customWidth="1"/>
    <col min="10243" max="10496" width="8" style="57" customWidth="1"/>
    <col min="10497" max="10497" width="9.140625" style="57"/>
    <col min="10498" max="10498" width="20" style="57" customWidth="1"/>
    <col min="10499" max="10752" width="8" style="57" customWidth="1"/>
    <col min="10753" max="10753" width="9.140625" style="57"/>
    <col min="10754" max="10754" width="20" style="57" customWidth="1"/>
    <col min="10755" max="11008" width="8" style="57" customWidth="1"/>
    <col min="11009" max="11009" width="9.140625" style="57"/>
    <col min="11010" max="11010" width="20" style="57" customWidth="1"/>
    <col min="11011" max="11264" width="8" style="57" customWidth="1"/>
    <col min="11265" max="11265" width="9.140625" style="57"/>
    <col min="11266" max="11266" width="20" style="57" customWidth="1"/>
    <col min="11267" max="11520" width="8" style="57" customWidth="1"/>
    <col min="11521" max="11521" width="9.140625" style="57"/>
    <col min="11522" max="11522" width="20" style="57" customWidth="1"/>
    <col min="11523" max="11776" width="8" style="57" customWidth="1"/>
    <col min="11777" max="11777" width="9.140625" style="57"/>
    <col min="11778" max="11778" width="20" style="57" customWidth="1"/>
    <col min="11779" max="12032" width="8" style="57" customWidth="1"/>
    <col min="12033" max="12033" width="9.140625" style="57"/>
    <col min="12034" max="12034" width="20" style="57" customWidth="1"/>
    <col min="12035" max="12288" width="8" style="57" customWidth="1"/>
    <col min="12289" max="12289" width="9.140625" style="57"/>
    <col min="12290" max="12290" width="20" style="57" customWidth="1"/>
    <col min="12291" max="12544" width="8" style="57" customWidth="1"/>
    <col min="12545" max="12545" width="9.140625" style="57"/>
    <col min="12546" max="12546" width="20" style="57" customWidth="1"/>
    <col min="12547" max="12800" width="8" style="57" customWidth="1"/>
    <col min="12801" max="12801" width="9.140625" style="57"/>
    <col min="12802" max="12802" width="20" style="57" customWidth="1"/>
    <col min="12803" max="13056" width="8" style="57" customWidth="1"/>
    <col min="13057" max="13057" width="9.140625" style="57"/>
    <col min="13058" max="13058" width="20" style="57" customWidth="1"/>
    <col min="13059" max="13312" width="8" style="57" customWidth="1"/>
    <col min="13313" max="13313" width="9.140625" style="57"/>
    <col min="13314" max="13314" width="20" style="57" customWidth="1"/>
    <col min="13315" max="13568" width="8" style="57" customWidth="1"/>
    <col min="13569" max="13569" width="9.140625" style="57"/>
    <col min="13570" max="13570" width="20" style="57" customWidth="1"/>
    <col min="13571" max="13824" width="8" style="57" customWidth="1"/>
    <col min="13825" max="13825" width="9.140625" style="57"/>
    <col min="13826" max="13826" width="20" style="57" customWidth="1"/>
    <col min="13827" max="14080" width="8" style="57" customWidth="1"/>
    <col min="14081" max="14081" width="9.140625" style="57"/>
    <col min="14082" max="14082" width="20" style="57" customWidth="1"/>
    <col min="14083" max="14336" width="8" style="57" customWidth="1"/>
    <col min="14337" max="14337" width="9.140625" style="57"/>
    <col min="14338" max="14338" width="20" style="57" customWidth="1"/>
    <col min="14339" max="14592" width="8" style="57" customWidth="1"/>
    <col min="14593" max="14593" width="9.140625" style="57"/>
    <col min="14594" max="14594" width="20" style="57" customWidth="1"/>
    <col min="14595" max="14848" width="8" style="57" customWidth="1"/>
    <col min="14849" max="14849" width="9.140625" style="57"/>
    <col min="14850" max="14850" width="20" style="57" customWidth="1"/>
    <col min="14851" max="15104" width="8" style="57" customWidth="1"/>
    <col min="15105" max="15105" width="9.140625" style="57"/>
    <col min="15106" max="15106" width="20" style="57" customWidth="1"/>
    <col min="15107" max="15360" width="8" style="57" customWidth="1"/>
    <col min="15361" max="15361" width="9.140625" style="57"/>
    <col min="15362" max="15362" width="20" style="57" customWidth="1"/>
    <col min="15363" max="15616" width="8" style="57" customWidth="1"/>
    <col min="15617" max="15617" width="9.140625" style="57"/>
    <col min="15618" max="15618" width="20" style="57" customWidth="1"/>
    <col min="15619" max="15872" width="8" style="57" customWidth="1"/>
    <col min="15873" max="15873" width="9.140625" style="57"/>
    <col min="15874" max="15874" width="20" style="57" customWidth="1"/>
    <col min="15875" max="16128" width="8" style="57" customWidth="1"/>
    <col min="16129" max="16129" width="9.140625" style="57"/>
    <col min="16130" max="16130" width="20" style="57" customWidth="1"/>
    <col min="16131" max="16384" width="8" style="57" customWidth="1"/>
  </cols>
  <sheetData>
    <row r="1" spans="1:16" ht="15.75" x14ac:dyDescent="0.25">
      <c r="A1" s="273"/>
      <c r="B1" s="1319" t="s">
        <v>49</v>
      </c>
      <c r="C1" s="1318"/>
      <c r="D1" s="1318"/>
      <c r="E1" s="1318"/>
      <c r="F1" s="1318"/>
      <c r="G1" s="1318"/>
      <c r="H1" s="65" t="s">
        <v>75</v>
      </c>
      <c r="I1" s="64"/>
      <c r="J1" s="64"/>
      <c r="K1" s="64"/>
      <c r="L1" s="64"/>
      <c r="M1" s="64"/>
      <c r="N1" s="64"/>
    </row>
    <row r="2" spans="1:16" ht="15.75" x14ac:dyDescent="0.25">
      <c r="A2" s="273"/>
      <c r="B2" s="1319" t="s">
        <v>50</v>
      </c>
      <c r="C2" s="1318"/>
      <c r="D2" s="1318"/>
      <c r="E2" s="1318"/>
      <c r="F2" s="1318"/>
      <c r="G2" s="1318"/>
      <c r="H2" s="64" t="s">
        <v>76</v>
      </c>
      <c r="I2" s="64"/>
      <c r="J2" s="64"/>
      <c r="K2" s="64"/>
      <c r="L2" s="64"/>
      <c r="M2" s="64"/>
      <c r="N2" s="64"/>
    </row>
    <row r="3" spans="1:16" ht="12.75" x14ac:dyDescent="0.2">
      <c r="A3" s="273"/>
      <c r="B3" s="1318"/>
      <c r="C3" s="1318"/>
      <c r="D3" s="1318"/>
      <c r="E3" s="1318"/>
      <c r="F3" s="1318"/>
      <c r="G3" s="1318"/>
    </row>
    <row r="4" spans="1:16" ht="12.75" x14ac:dyDescent="0.2">
      <c r="A4" s="273"/>
      <c r="B4" s="58" t="s">
        <v>51</v>
      </c>
      <c r="C4" s="1320" t="s">
        <v>52</v>
      </c>
      <c r="D4" s="1321"/>
      <c r="E4" s="1321"/>
      <c r="F4" s="1321"/>
      <c r="G4" s="1321"/>
    </row>
    <row r="5" spans="1:16" ht="23.25" x14ac:dyDescent="0.35">
      <c r="A5" s="274" t="s">
        <v>591</v>
      </c>
      <c r="B5" s="58" t="s">
        <v>53</v>
      </c>
      <c r="C5" s="1317" t="s">
        <v>54</v>
      </c>
      <c r="D5" s="1318"/>
      <c r="E5" s="1318"/>
      <c r="F5" s="1318"/>
      <c r="G5" s="1318"/>
    </row>
    <row r="6" spans="1:16" ht="12.75" x14ac:dyDescent="0.2">
      <c r="A6" s="273"/>
      <c r="B6" s="58" t="s">
        <v>55</v>
      </c>
      <c r="C6" s="1317" t="s">
        <v>56</v>
      </c>
      <c r="D6" s="1318"/>
      <c r="E6" s="1318"/>
      <c r="F6" s="1318"/>
      <c r="G6" s="1318"/>
    </row>
    <row r="7" spans="1:16" ht="15.75" x14ac:dyDescent="0.25">
      <c r="A7" s="275" t="s">
        <v>594</v>
      </c>
      <c r="B7" s="58" t="s">
        <v>57</v>
      </c>
      <c r="C7" s="1317" t="s">
        <v>58</v>
      </c>
      <c r="D7" s="1318"/>
      <c r="E7" s="1318"/>
      <c r="F7" s="1318"/>
      <c r="G7" s="1318"/>
    </row>
    <row r="8" spans="1:16" x14ac:dyDescent="0.2">
      <c r="A8" s="276"/>
      <c r="B8" s="58" t="s">
        <v>59</v>
      </c>
      <c r="C8" s="1322" t="s">
        <v>73</v>
      </c>
      <c r="D8" s="1318"/>
      <c r="E8" s="1318"/>
      <c r="F8" s="1318"/>
      <c r="G8" s="1318"/>
    </row>
    <row r="9" spans="1:16" ht="15.75" x14ac:dyDescent="0.25">
      <c r="A9" s="275" t="s">
        <v>597</v>
      </c>
    </row>
    <row r="10" spans="1:16" ht="16.5" thickBot="1" x14ac:dyDescent="0.3">
      <c r="A10" s="275"/>
      <c r="B10" s="59" t="s">
        <v>30</v>
      </c>
      <c r="C10" s="59" t="s">
        <v>60</v>
      </c>
      <c r="D10" s="59" t="s">
        <v>61</v>
      </c>
      <c r="E10" s="59" t="s">
        <v>62</v>
      </c>
      <c r="F10" s="59" t="s">
        <v>63</v>
      </c>
      <c r="G10" s="59" t="s">
        <v>64</v>
      </c>
      <c r="H10" s="59" t="s">
        <v>65</v>
      </c>
      <c r="I10" s="59" t="s">
        <v>66</v>
      </c>
      <c r="J10" s="59" t="s">
        <v>67</v>
      </c>
      <c r="K10" s="59" t="s">
        <v>68</v>
      </c>
      <c r="L10" s="59" t="s">
        <v>69</v>
      </c>
      <c r="M10" s="59" t="s">
        <v>70</v>
      </c>
      <c r="N10" s="59" t="s">
        <v>71</v>
      </c>
      <c r="O10" s="59" t="s">
        <v>72</v>
      </c>
      <c r="P10" s="57" t="s">
        <v>74</v>
      </c>
    </row>
    <row r="11" spans="1:16" ht="16.5" thickTop="1" x14ac:dyDescent="0.25">
      <c r="A11" s="275" t="s">
        <v>600</v>
      </c>
      <c r="B11" s="60">
        <v>1985</v>
      </c>
      <c r="N11" s="61">
        <v>100</v>
      </c>
    </row>
    <row r="12" spans="1:16" ht="12.75" x14ac:dyDescent="0.2">
      <c r="A12" s="273"/>
      <c r="B12" s="60">
        <v>1986</v>
      </c>
      <c r="C12" s="61">
        <v>100.2</v>
      </c>
      <c r="D12" s="61">
        <v>97.9</v>
      </c>
      <c r="E12" s="61">
        <v>96</v>
      </c>
      <c r="F12" s="61">
        <v>94.9</v>
      </c>
      <c r="G12" s="61">
        <v>94.1</v>
      </c>
      <c r="H12" s="61">
        <v>93.6</v>
      </c>
      <c r="I12" s="61">
        <v>92.6</v>
      </c>
      <c r="J12" s="61">
        <v>91.5</v>
      </c>
      <c r="K12" s="61">
        <v>91.2</v>
      </c>
      <c r="L12" s="61">
        <v>88.8</v>
      </c>
      <c r="M12" s="61">
        <v>87.8</v>
      </c>
      <c r="N12" s="61">
        <v>87.7</v>
      </c>
      <c r="O12" s="61">
        <v>93</v>
      </c>
      <c r="P12" s="57">
        <f>O12/$O$30</f>
        <v>0.58898036732108927</v>
      </c>
    </row>
    <row r="13" spans="1:16" ht="12.75" x14ac:dyDescent="0.2">
      <c r="A13" s="273"/>
      <c r="B13" s="60">
        <v>1987</v>
      </c>
      <c r="C13" s="61">
        <v>88.1</v>
      </c>
      <c r="D13" s="61">
        <v>87.8</v>
      </c>
      <c r="E13" s="61">
        <v>87.9</v>
      </c>
      <c r="F13" s="61">
        <v>87.7</v>
      </c>
      <c r="G13" s="61">
        <v>87.3</v>
      </c>
      <c r="H13" s="61">
        <v>86.9</v>
      </c>
      <c r="I13" s="61">
        <v>87.4</v>
      </c>
      <c r="J13" s="61">
        <v>87.4</v>
      </c>
      <c r="K13" s="61">
        <v>87.6</v>
      </c>
      <c r="L13" s="61">
        <v>87.7</v>
      </c>
      <c r="M13" s="61">
        <v>87.6</v>
      </c>
      <c r="N13" s="61">
        <v>88.1</v>
      </c>
      <c r="O13" s="61">
        <v>87.6</v>
      </c>
      <c r="P13" s="57">
        <f t="shared" ref="P13:P36" si="0">O13/$O$30</f>
        <v>0.5547815072830905</v>
      </c>
    </row>
    <row r="14" spans="1:16" ht="12.75" x14ac:dyDescent="0.2">
      <c r="A14" s="273"/>
      <c r="B14" s="60">
        <v>1988</v>
      </c>
      <c r="C14" s="61">
        <v>89.2</v>
      </c>
      <c r="D14" s="61">
        <v>90.9</v>
      </c>
      <c r="E14" s="61">
        <v>91.4</v>
      </c>
      <c r="F14" s="61">
        <v>91.1</v>
      </c>
      <c r="G14" s="61">
        <v>90.9</v>
      </c>
      <c r="H14" s="61">
        <v>90.9</v>
      </c>
      <c r="I14" s="61">
        <v>90.9</v>
      </c>
      <c r="J14" s="61">
        <v>88.2</v>
      </c>
      <c r="K14" s="61">
        <v>88.2</v>
      </c>
      <c r="L14" s="61">
        <v>88.3</v>
      </c>
      <c r="M14" s="61">
        <v>88.3</v>
      </c>
      <c r="N14" s="61">
        <v>88.3</v>
      </c>
      <c r="O14" s="61">
        <v>89.7</v>
      </c>
      <c r="P14" s="57">
        <f t="shared" si="0"/>
        <v>0.56808106396453451</v>
      </c>
    </row>
    <row r="15" spans="1:16" ht="12.75" x14ac:dyDescent="0.2">
      <c r="A15" s="273"/>
      <c r="B15" s="60">
        <v>1989</v>
      </c>
      <c r="C15" s="61">
        <v>88.3</v>
      </c>
      <c r="D15" s="61">
        <v>88.3</v>
      </c>
      <c r="E15" s="61">
        <v>88.2</v>
      </c>
      <c r="F15" s="61">
        <v>88.2</v>
      </c>
      <c r="G15" s="61">
        <v>88.1</v>
      </c>
      <c r="H15" s="61">
        <v>88.3</v>
      </c>
      <c r="I15" s="61">
        <v>88.6</v>
      </c>
      <c r="J15" s="61">
        <v>88.5</v>
      </c>
      <c r="K15" s="61">
        <v>88.8</v>
      </c>
      <c r="L15" s="61">
        <v>88.8</v>
      </c>
      <c r="M15" s="61">
        <v>89</v>
      </c>
      <c r="N15" s="61">
        <v>89.2</v>
      </c>
      <c r="O15" s="61">
        <v>88.5</v>
      </c>
      <c r="P15" s="57">
        <f t="shared" si="0"/>
        <v>0.56048131728942363</v>
      </c>
    </row>
    <row r="16" spans="1:16" ht="12.75" x14ac:dyDescent="0.2">
      <c r="A16" s="273"/>
      <c r="B16" s="60">
        <v>1990</v>
      </c>
      <c r="C16" s="61">
        <v>89.8</v>
      </c>
      <c r="D16" s="61">
        <v>89.6</v>
      </c>
      <c r="E16" s="61">
        <v>89.6</v>
      </c>
      <c r="F16" s="61">
        <v>89.7</v>
      </c>
      <c r="G16" s="61">
        <v>89.7</v>
      </c>
      <c r="H16" s="61">
        <v>90</v>
      </c>
      <c r="I16" s="61">
        <v>90.4</v>
      </c>
      <c r="J16" s="61">
        <v>90.6</v>
      </c>
      <c r="K16" s="61">
        <v>90.4</v>
      </c>
      <c r="L16" s="61">
        <v>92</v>
      </c>
      <c r="M16" s="61">
        <v>92.2</v>
      </c>
      <c r="N16" s="61">
        <v>91.8</v>
      </c>
      <c r="O16" s="61">
        <v>90.5</v>
      </c>
      <c r="P16" s="57">
        <f t="shared" si="0"/>
        <v>0.57314756174794168</v>
      </c>
    </row>
    <row r="17" spans="1:16" ht="12.75" x14ac:dyDescent="0.2">
      <c r="A17" s="273"/>
      <c r="B17" s="60">
        <v>1991</v>
      </c>
      <c r="C17" s="61">
        <v>91.8</v>
      </c>
      <c r="D17" s="61">
        <v>91.8</v>
      </c>
      <c r="E17" s="61">
        <v>91.9</v>
      </c>
      <c r="F17" s="61">
        <v>92.3</v>
      </c>
      <c r="G17" s="61">
        <v>92.2</v>
      </c>
      <c r="H17" s="61">
        <v>92.2</v>
      </c>
      <c r="I17" s="61">
        <v>92</v>
      </c>
      <c r="J17" s="61">
        <v>91.4</v>
      </c>
      <c r="K17" s="61">
        <v>91.6</v>
      </c>
      <c r="L17" s="61">
        <v>90.9</v>
      </c>
      <c r="M17" s="61">
        <v>90.6</v>
      </c>
      <c r="N17" s="61">
        <v>90.6</v>
      </c>
      <c r="O17" s="61">
        <v>91.6</v>
      </c>
      <c r="P17" s="57">
        <f t="shared" si="0"/>
        <v>0.5801139962001266</v>
      </c>
    </row>
    <row r="18" spans="1:16" ht="15.75" x14ac:dyDescent="0.25">
      <c r="A18" s="275" t="s">
        <v>608</v>
      </c>
      <c r="B18" s="60">
        <v>1992</v>
      </c>
      <c r="C18" s="61">
        <v>90.6</v>
      </c>
      <c r="D18" s="61">
        <v>89.9</v>
      </c>
      <c r="E18" s="61">
        <v>89.9</v>
      </c>
      <c r="F18" s="61">
        <v>89.9</v>
      </c>
      <c r="G18" s="61">
        <v>90</v>
      </c>
      <c r="H18" s="61">
        <v>90</v>
      </c>
      <c r="I18" s="61">
        <v>89.8</v>
      </c>
      <c r="J18" s="61">
        <v>89.8</v>
      </c>
      <c r="K18" s="61">
        <v>89.8</v>
      </c>
      <c r="L18" s="61">
        <v>91</v>
      </c>
      <c r="M18" s="61">
        <v>91.6</v>
      </c>
      <c r="N18" s="61">
        <v>91.6</v>
      </c>
      <c r="O18" s="61">
        <v>90.3</v>
      </c>
      <c r="P18" s="57">
        <f t="shared" si="0"/>
        <v>0.57188093730208989</v>
      </c>
    </row>
    <row r="19" spans="1:16" ht="12.75" x14ac:dyDescent="0.2">
      <c r="A19" s="273"/>
      <c r="B19" s="60">
        <v>1993</v>
      </c>
      <c r="C19" s="61">
        <v>91.6</v>
      </c>
      <c r="D19" s="61">
        <v>91.7</v>
      </c>
      <c r="E19" s="61">
        <v>91.1</v>
      </c>
      <c r="F19" s="61">
        <v>91.2</v>
      </c>
      <c r="G19" s="61">
        <v>91.2</v>
      </c>
      <c r="H19" s="61">
        <v>91.8</v>
      </c>
      <c r="I19" s="61">
        <v>91.8</v>
      </c>
      <c r="J19" s="61">
        <v>92.3</v>
      </c>
      <c r="K19" s="61">
        <v>93.1</v>
      </c>
      <c r="L19" s="61">
        <v>90</v>
      </c>
      <c r="M19" s="61">
        <v>90.2</v>
      </c>
      <c r="N19" s="61">
        <v>90.5</v>
      </c>
      <c r="O19" s="61">
        <v>91.4</v>
      </c>
      <c r="P19" s="57">
        <f t="shared" si="0"/>
        <v>0.57884737175427492</v>
      </c>
    </row>
    <row r="20" spans="1:16" ht="12.75" x14ac:dyDescent="0.2">
      <c r="A20" s="273"/>
      <c r="B20" s="60">
        <v>1994</v>
      </c>
      <c r="C20" s="61">
        <v>90.8</v>
      </c>
      <c r="D20" s="61">
        <v>91.6</v>
      </c>
      <c r="E20" s="61">
        <v>90.9</v>
      </c>
      <c r="F20" s="61">
        <v>92.2</v>
      </c>
      <c r="G20" s="61">
        <v>92.6</v>
      </c>
      <c r="H20" s="61">
        <v>92.9</v>
      </c>
      <c r="I20" s="61">
        <v>92.8</v>
      </c>
      <c r="J20" s="61">
        <v>92.6</v>
      </c>
      <c r="K20" s="61">
        <v>92.5</v>
      </c>
      <c r="L20" s="61">
        <v>92.8</v>
      </c>
      <c r="M20" s="61">
        <v>97</v>
      </c>
      <c r="N20" s="61">
        <v>97</v>
      </c>
      <c r="O20" s="61">
        <v>93</v>
      </c>
      <c r="P20" s="57">
        <f t="shared" si="0"/>
        <v>0.58898036732108927</v>
      </c>
    </row>
    <row r="21" spans="1:16" ht="12.75" x14ac:dyDescent="0.2">
      <c r="A21" s="273"/>
      <c r="B21" s="60">
        <v>1995</v>
      </c>
      <c r="C21" s="61">
        <v>96.6</v>
      </c>
      <c r="D21" s="61">
        <v>96.5</v>
      </c>
      <c r="E21" s="61">
        <v>96.6</v>
      </c>
      <c r="F21" s="61">
        <v>96.1</v>
      </c>
      <c r="G21" s="61">
        <v>96.2</v>
      </c>
      <c r="H21" s="61">
        <v>96.1</v>
      </c>
      <c r="I21" s="61">
        <v>96.4</v>
      </c>
      <c r="J21" s="61">
        <v>96.9</v>
      </c>
      <c r="K21" s="61">
        <v>96.9</v>
      </c>
      <c r="L21" s="61">
        <v>97.2</v>
      </c>
      <c r="M21" s="61">
        <v>97.5</v>
      </c>
      <c r="N21" s="61">
        <v>97.5</v>
      </c>
      <c r="O21" s="61">
        <v>96.7</v>
      </c>
      <c r="P21" s="57">
        <f t="shared" si="0"/>
        <v>0.61241291956934774</v>
      </c>
    </row>
    <row r="22" spans="1:16" ht="12.75" x14ac:dyDescent="0.2">
      <c r="A22" s="273"/>
      <c r="B22" s="60">
        <v>1996</v>
      </c>
      <c r="C22" s="61">
        <v>97.5</v>
      </c>
      <c r="D22" s="61">
        <v>97.6</v>
      </c>
      <c r="E22" s="61">
        <v>97.4</v>
      </c>
      <c r="F22" s="61">
        <v>97.7</v>
      </c>
      <c r="G22" s="61">
        <v>98.7</v>
      </c>
      <c r="H22" s="61">
        <v>99</v>
      </c>
      <c r="I22" s="61">
        <v>98.8</v>
      </c>
      <c r="J22" s="61">
        <v>98.3</v>
      </c>
      <c r="K22" s="61">
        <v>99.1</v>
      </c>
      <c r="L22" s="61">
        <v>99.5</v>
      </c>
      <c r="M22" s="61">
        <v>99.7</v>
      </c>
      <c r="N22" s="61">
        <v>100.7</v>
      </c>
      <c r="O22" s="61">
        <v>98.7</v>
      </c>
      <c r="P22" s="57">
        <f t="shared" si="0"/>
        <v>0.62507916402786579</v>
      </c>
    </row>
    <row r="23" spans="1:16" ht="12.75" x14ac:dyDescent="0.2">
      <c r="A23" s="273"/>
      <c r="B23" s="60">
        <v>1997</v>
      </c>
      <c r="C23" s="61">
        <v>102.4</v>
      </c>
      <c r="D23" s="61">
        <v>102.6</v>
      </c>
      <c r="E23" s="61">
        <v>103.1</v>
      </c>
      <c r="F23" s="61">
        <v>107.3</v>
      </c>
      <c r="G23" s="61">
        <v>111.4</v>
      </c>
      <c r="H23" s="61">
        <v>112.7</v>
      </c>
      <c r="I23" s="61">
        <v>113.5</v>
      </c>
      <c r="J23" s="61">
        <v>114.2</v>
      </c>
      <c r="K23" s="61">
        <v>114.4</v>
      </c>
      <c r="L23" s="61">
        <v>116.1</v>
      </c>
      <c r="M23" s="61">
        <v>117.8</v>
      </c>
      <c r="N23" s="61">
        <v>118.2</v>
      </c>
      <c r="O23" s="61">
        <v>111.1</v>
      </c>
      <c r="P23" s="57">
        <f t="shared" si="0"/>
        <v>0.70360987967067756</v>
      </c>
    </row>
    <row r="24" spans="1:16" ht="12.75" x14ac:dyDescent="0.2">
      <c r="A24" s="273"/>
      <c r="B24" s="60">
        <v>1998</v>
      </c>
      <c r="C24" s="61">
        <v>119</v>
      </c>
      <c r="D24" s="61">
        <v>120.2</v>
      </c>
      <c r="E24" s="61">
        <v>120.2</v>
      </c>
      <c r="F24" s="61">
        <v>120.2</v>
      </c>
      <c r="G24" s="61">
        <v>119.2</v>
      </c>
      <c r="H24" s="61">
        <v>118.2</v>
      </c>
      <c r="I24" s="61">
        <v>118</v>
      </c>
      <c r="J24" s="61">
        <v>119</v>
      </c>
      <c r="K24" s="61">
        <v>118.6</v>
      </c>
      <c r="L24" s="61">
        <v>120.5</v>
      </c>
      <c r="M24" s="61">
        <v>120.6</v>
      </c>
      <c r="N24" s="61">
        <v>119.7</v>
      </c>
      <c r="O24" s="61">
        <v>119.5</v>
      </c>
      <c r="P24" s="57">
        <f t="shared" si="0"/>
        <v>0.75680810639645346</v>
      </c>
    </row>
    <row r="25" spans="1:16" ht="12.75" x14ac:dyDescent="0.2">
      <c r="A25" s="273"/>
      <c r="B25" s="60">
        <v>1999</v>
      </c>
      <c r="C25" s="61">
        <v>119.2</v>
      </c>
      <c r="D25" s="61">
        <v>119.1</v>
      </c>
      <c r="E25" s="61">
        <v>119</v>
      </c>
      <c r="F25" s="61">
        <v>116</v>
      </c>
      <c r="G25" s="61">
        <v>114.7</v>
      </c>
      <c r="H25" s="61">
        <v>114.3</v>
      </c>
      <c r="I25" s="61">
        <v>114.3</v>
      </c>
      <c r="J25" s="61">
        <v>114.5</v>
      </c>
      <c r="K25" s="61">
        <v>114.7</v>
      </c>
      <c r="L25" s="61">
        <v>114.9</v>
      </c>
      <c r="M25" s="61">
        <v>119.2</v>
      </c>
      <c r="N25" s="61">
        <v>119.2</v>
      </c>
      <c r="O25" s="61">
        <v>116.6</v>
      </c>
      <c r="P25" s="57">
        <f t="shared" si="0"/>
        <v>0.73844205193160217</v>
      </c>
    </row>
    <row r="26" spans="1:16" ht="12.75" x14ac:dyDescent="0.2">
      <c r="A26" s="273"/>
      <c r="B26" s="60">
        <v>2000</v>
      </c>
      <c r="C26" s="61">
        <v>119.2</v>
      </c>
      <c r="D26" s="61">
        <v>120.1</v>
      </c>
      <c r="E26" s="61">
        <v>119</v>
      </c>
      <c r="F26" s="61">
        <v>120.9</v>
      </c>
      <c r="G26" s="61">
        <v>120.9</v>
      </c>
      <c r="H26" s="61">
        <v>121.7</v>
      </c>
      <c r="I26" s="61">
        <v>122</v>
      </c>
      <c r="J26" s="61">
        <v>123.8</v>
      </c>
      <c r="K26" s="61">
        <v>131.4</v>
      </c>
      <c r="L26" s="61">
        <v>132.6</v>
      </c>
      <c r="M26" s="61">
        <v>133.30000000000001</v>
      </c>
      <c r="N26" s="61">
        <v>137.80000000000001</v>
      </c>
      <c r="O26" s="61">
        <v>125.2</v>
      </c>
      <c r="P26" s="57">
        <f t="shared" si="0"/>
        <v>0.79290690310322987</v>
      </c>
    </row>
    <row r="27" spans="1:16" ht="12.75" x14ac:dyDescent="0.2">
      <c r="A27" s="273"/>
      <c r="B27" s="60">
        <v>2001</v>
      </c>
      <c r="C27" s="61">
        <v>144.80000000000001</v>
      </c>
      <c r="D27" s="61">
        <v>148.30000000000001</v>
      </c>
      <c r="E27" s="61">
        <v>152.6</v>
      </c>
      <c r="F27" s="61">
        <v>156.1</v>
      </c>
      <c r="G27" s="61">
        <v>158.1</v>
      </c>
      <c r="H27" s="61">
        <v>160.69999999999999</v>
      </c>
      <c r="I27" s="61">
        <v>162.19999999999999</v>
      </c>
      <c r="J27" s="61">
        <v>161.9</v>
      </c>
      <c r="K27" s="61">
        <v>160.6</v>
      </c>
      <c r="L27" s="61">
        <v>158.80000000000001</v>
      </c>
      <c r="M27" s="61">
        <v>154.19999999999999</v>
      </c>
      <c r="N27" s="61">
        <v>153.6</v>
      </c>
      <c r="O27" s="61">
        <v>156</v>
      </c>
      <c r="P27" s="57">
        <f t="shared" si="0"/>
        <v>0.98796706776440779</v>
      </c>
    </row>
    <row r="28" spans="1:16" ht="12.75" x14ac:dyDescent="0.2">
      <c r="A28" s="273"/>
      <c r="B28" s="60">
        <v>2002</v>
      </c>
      <c r="C28" s="61">
        <v>152.1</v>
      </c>
      <c r="D28" s="61">
        <v>151.19999999999999</v>
      </c>
      <c r="E28" s="61">
        <v>149.4</v>
      </c>
      <c r="F28" s="61">
        <v>148.80000000000001</v>
      </c>
      <c r="G28" s="61">
        <v>145.9</v>
      </c>
      <c r="H28" s="61">
        <v>145.9</v>
      </c>
      <c r="I28" s="61">
        <v>145.6</v>
      </c>
      <c r="J28" s="61">
        <v>145.6</v>
      </c>
      <c r="K28" s="61">
        <v>146.69999999999999</v>
      </c>
      <c r="L28" s="61">
        <v>146.1</v>
      </c>
      <c r="M28" s="61">
        <v>146.1</v>
      </c>
      <c r="N28" s="61">
        <v>145.30000000000001</v>
      </c>
      <c r="O28" s="61">
        <v>147.4</v>
      </c>
      <c r="P28" s="57">
        <f t="shared" si="0"/>
        <v>0.93350221659278021</v>
      </c>
    </row>
    <row r="29" spans="1:16" ht="12.75" x14ac:dyDescent="0.2">
      <c r="A29" s="273"/>
      <c r="B29" s="60">
        <v>2003</v>
      </c>
      <c r="C29" s="61">
        <v>144.5</v>
      </c>
      <c r="D29" s="61">
        <v>144.69999999999999</v>
      </c>
      <c r="E29" s="61">
        <v>142.69999999999999</v>
      </c>
      <c r="F29" s="61">
        <v>144.19999999999999</v>
      </c>
      <c r="G29" s="61">
        <v>144.19999999999999</v>
      </c>
      <c r="H29" s="61">
        <v>144.19999999999999</v>
      </c>
      <c r="I29" s="61">
        <v>144.30000000000001</v>
      </c>
      <c r="J29" s="61">
        <v>144.30000000000001</v>
      </c>
      <c r="K29" s="61">
        <v>144.6</v>
      </c>
      <c r="L29" s="61">
        <v>143.6</v>
      </c>
      <c r="M29" s="61">
        <v>143.6</v>
      </c>
      <c r="N29" s="61">
        <v>143.6</v>
      </c>
      <c r="O29" s="61">
        <v>144</v>
      </c>
      <c r="P29" s="57">
        <f t="shared" si="0"/>
        <v>0.91196960101329949</v>
      </c>
    </row>
    <row r="30" spans="1:16" ht="12.75" x14ac:dyDescent="0.2">
      <c r="A30" s="273"/>
      <c r="B30" s="60">
        <v>2004</v>
      </c>
      <c r="C30" s="61">
        <v>144.80000000000001</v>
      </c>
      <c r="D30" s="61">
        <v>145.4</v>
      </c>
      <c r="E30" s="61">
        <v>145</v>
      </c>
      <c r="F30" s="61">
        <v>146</v>
      </c>
      <c r="G30" s="61">
        <v>146.69999999999999</v>
      </c>
      <c r="H30" s="61">
        <v>150.4</v>
      </c>
      <c r="I30" s="61">
        <v>152.5</v>
      </c>
      <c r="J30" s="61">
        <v>157.30000000000001</v>
      </c>
      <c r="K30" s="61">
        <v>162</v>
      </c>
      <c r="L30" s="61">
        <v>174.8</v>
      </c>
      <c r="M30" s="61">
        <v>176</v>
      </c>
      <c r="N30" s="61">
        <v>193.8</v>
      </c>
      <c r="O30" s="63">
        <v>157.9</v>
      </c>
      <c r="P30" s="64">
        <f t="shared" si="0"/>
        <v>1</v>
      </c>
    </row>
    <row r="31" spans="1:16" ht="12.75" x14ac:dyDescent="0.2">
      <c r="A31" s="273"/>
      <c r="B31" s="60">
        <v>2005</v>
      </c>
      <c r="C31" s="61">
        <v>195.1</v>
      </c>
      <c r="D31" s="61">
        <v>205.5</v>
      </c>
      <c r="E31" s="61">
        <v>217.3</v>
      </c>
      <c r="F31" s="61">
        <v>221.7</v>
      </c>
      <c r="G31" s="61">
        <v>224.2</v>
      </c>
      <c r="H31" s="61">
        <v>231</v>
      </c>
      <c r="I31" s="61">
        <v>244.1</v>
      </c>
      <c r="J31" s="61">
        <v>255.5</v>
      </c>
      <c r="K31" s="61">
        <v>260.10000000000002</v>
      </c>
      <c r="L31" s="61">
        <v>282.39999999999998</v>
      </c>
      <c r="M31" s="61">
        <v>324</v>
      </c>
      <c r="N31" s="61">
        <v>326.7</v>
      </c>
      <c r="O31" s="61">
        <v>249</v>
      </c>
      <c r="P31" s="57">
        <f t="shared" si="0"/>
        <v>1.5769474350854971</v>
      </c>
    </row>
    <row r="32" spans="1:16" ht="12.75" x14ac:dyDescent="0.2">
      <c r="A32" s="273"/>
      <c r="B32" s="60">
        <v>2006</v>
      </c>
      <c r="C32" s="61">
        <v>339.8</v>
      </c>
      <c r="D32" s="61">
        <v>349.8</v>
      </c>
      <c r="E32" s="61">
        <v>358.4</v>
      </c>
      <c r="F32" s="61">
        <v>385.1</v>
      </c>
      <c r="G32" s="61">
        <v>389.8</v>
      </c>
      <c r="H32" s="61">
        <v>394.1</v>
      </c>
      <c r="I32" s="61">
        <v>374</v>
      </c>
      <c r="J32" s="61">
        <v>380.9</v>
      </c>
      <c r="K32" s="61">
        <v>365.7</v>
      </c>
      <c r="L32" s="61">
        <v>365.9</v>
      </c>
      <c r="M32" s="61">
        <v>380.3</v>
      </c>
      <c r="N32" s="61">
        <v>380.3</v>
      </c>
      <c r="O32" s="61">
        <v>372</v>
      </c>
      <c r="P32" s="57">
        <f t="shared" si="0"/>
        <v>2.3559214692843571</v>
      </c>
    </row>
    <row r="33" spans="1:16" ht="12.75" x14ac:dyDescent="0.2">
      <c r="A33" s="273"/>
      <c r="B33" s="60">
        <v>2007</v>
      </c>
      <c r="C33" s="61">
        <v>359.2</v>
      </c>
      <c r="D33" s="61">
        <v>387.3</v>
      </c>
      <c r="E33" s="61">
        <v>375.1</v>
      </c>
      <c r="F33" s="61">
        <v>371.2</v>
      </c>
      <c r="G33" s="61">
        <v>373.2</v>
      </c>
      <c r="H33" s="61">
        <v>363.8</v>
      </c>
      <c r="I33" s="61">
        <v>353.8</v>
      </c>
      <c r="J33" s="61">
        <v>352</v>
      </c>
      <c r="K33" s="61">
        <v>357.3</v>
      </c>
      <c r="L33" s="61">
        <v>360</v>
      </c>
      <c r="M33" s="61">
        <v>361.3</v>
      </c>
      <c r="N33" s="61">
        <v>342.1</v>
      </c>
      <c r="O33" s="61">
        <v>363</v>
      </c>
      <c r="P33" s="57">
        <f t="shared" si="0"/>
        <v>2.298923369221026</v>
      </c>
    </row>
    <row r="34" spans="1:16" ht="12.75" x14ac:dyDescent="0.2">
      <c r="A34" s="273"/>
      <c r="B34" s="60">
        <v>2008</v>
      </c>
      <c r="C34" s="61">
        <v>345.6</v>
      </c>
      <c r="D34" s="61">
        <v>349.1</v>
      </c>
      <c r="E34" s="61">
        <v>354.5</v>
      </c>
      <c r="F34" s="61">
        <v>355.6</v>
      </c>
      <c r="G34" s="61">
        <v>358.8</v>
      </c>
      <c r="H34" s="61">
        <v>366.4</v>
      </c>
      <c r="I34" s="61">
        <v>378.3</v>
      </c>
      <c r="J34" s="61">
        <v>382.1</v>
      </c>
      <c r="K34" s="61">
        <v>383.5</v>
      </c>
      <c r="L34" s="61">
        <v>389.7</v>
      </c>
      <c r="M34" s="61">
        <v>390.6</v>
      </c>
      <c r="N34" s="61">
        <v>378.7</v>
      </c>
      <c r="O34" s="61">
        <v>369.4</v>
      </c>
      <c r="P34" s="57">
        <f t="shared" si="0"/>
        <v>2.3394553514882834</v>
      </c>
    </row>
    <row r="35" spans="1:16" ht="12.75" x14ac:dyDescent="0.2">
      <c r="A35" s="273"/>
      <c r="B35" s="60">
        <v>2009</v>
      </c>
      <c r="C35" s="61">
        <v>367.9</v>
      </c>
      <c r="D35" s="61">
        <v>361.2</v>
      </c>
      <c r="E35" s="61">
        <v>355.9</v>
      </c>
      <c r="F35" s="61">
        <v>334.9</v>
      </c>
      <c r="G35" s="61">
        <v>306.8</v>
      </c>
      <c r="H35" s="61">
        <v>304.2</v>
      </c>
      <c r="I35" s="61">
        <v>313.60000000000002</v>
      </c>
      <c r="J35" s="61">
        <v>308.8</v>
      </c>
      <c r="K35" s="61">
        <v>297.89999999999998</v>
      </c>
      <c r="L35" s="61">
        <v>301.7</v>
      </c>
      <c r="M35" s="61">
        <v>302.8</v>
      </c>
      <c r="N35" s="61">
        <v>302.5</v>
      </c>
      <c r="O35" s="61">
        <v>321.5</v>
      </c>
      <c r="P35" s="57">
        <f t="shared" si="0"/>
        <v>2.0360987967067765</v>
      </c>
    </row>
    <row r="36" spans="1:16" ht="12.75" x14ac:dyDescent="0.2">
      <c r="A36" s="273"/>
      <c r="B36" s="60">
        <v>2010</v>
      </c>
      <c r="C36" s="61">
        <v>303.3</v>
      </c>
      <c r="D36" s="61">
        <v>308.89999999999998</v>
      </c>
      <c r="E36" s="61">
        <v>309.3</v>
      </c>
      <c r="F36" s="61">
        <v>309.7</v>
      </c>
      <c r="G36" s="61">
        <v>309.89999999999998</v>
      </c>
      <c r="H36" s="61">
        <v>312.10000000000002</v>
      </c>
      <c r="I36" s="61">
        <v>318</v>
      </c>
      <c r="J36" s="61">
        <v>311.2</v>
      </c>
      <c r="K36" s="61">
        <v>320.5</v>
      </c>
      <c r="L36" s="61">
        <v>326.3</v>
      </c>
      <c r="M36" s="61">
        <v>324.39999999999998</v>
      </c>
      <c r="O36" s="62">
        <f>AVERAGE(C36:M36)</f>
        <v>313.96363636363634</v>
      </c>
      <c r="P36" s="57">
        <f t="shared" si="0"/>
        <v>1.9883700846335424</v>
      </c>
    </row>
    <row r="37" spans="1:16" ht="12.75" x14ac:dyDescent="0.2">
      <c r="A37" s="273"/>
    </row>
    <row r="38" spans="1:16" ht="12.75" x14ac:dyDescent="0.2">
      <c r="A38" s="273"/>
    </row>
    <row r="39" spans="1:16" ht="12.75" x14ac:dyDescent="0.2">
      <c r="A39" s="273"/>
    </row>
    <row r="40" spans="1:16" ht="12.75" x14ac:dyDescent="0.2">
      <c r="A40" s="273"/>
    </row>
    <row r="41" spans="1:16" ht="12.75" x14ac:dyDescent="0.2">
      <c r="A41" s="273"/>
    </row>
    <row r="42" spans="1:16" ht="12.75" x14ac:dyDescent="0.2">
      <c r="A42" s="273"/>
    </row>
    <row r="43" spans="1:16" ht="13.5" thickBot="1" x14ac:dyDescent="0.25">
      <c r="A43" s="273"/>
      <c r="C43" s="57" t="s">
        <v>88</v>
      </c>
    </row>
    <row r="44" spans="1:16" ht="12.75" x14ac:dyDescent="0.2">
      <c r="A44" s="273"/>
      <c r="C44" s="1323" t="s">
        <v>77</v>
      </c>
      <c r="D44" s="1324"/>
      <c r="E44" s="1324"/>
      <c r="F44" s="1324"/>
      <c r="G44" s="1324"/>
      <c r="H44" s="1324"/>
      <c r="I44" s="1325"/>
      <c r="J44" s="1326"/>
      <c r="K44" s="1326"/>
      <c r="L44" s="1326"/>
      <c r="M44" s="1326"/>
      <c r="N44" s="1327"/>
    </row>
    <row r="45" spans="1:16" ht="12.75" x14ac:dyDescent="0.2">
      <c r="A45" s="273"/>
      <c r="C45" s="1328"/>
      <c r="D45" s="1329"/>
      <c r="E45" s="1329"/>
      <c r="F45" s="1329"/>
      <c r="G45" s="1329"/>
      <c r="H45" s="1329"/>
      <c r="I45" s="1330"/>
      <c r="J45" s="1331"/>
      <c r="K45" s="1331"/>
      <c r="L45" s="1331"/>
      <c r="M45" s="1331"/>
      <c r="N45" s="1332"/>
    </row>
    <row r="46" spans="1:16" ht="13.5" thickBot="1" x14ac:dyDescent="0.25">
      <c r="A46" s="273"/>
      <c r="C46" s="1333"/>
      <c r="D46" s="1329"/>
      <c r="E46" s="1329"/>
      <c r="F46" s="1329"/>
      <c r="G46" s="1329"/>
      <c r="H46" s="1334"/>
      <c r="I46" s="1335"/>
      <c r="J46" s="1336"/>
      <c r="K46" s="1336"/>
      <c r="L46" s="1336"/>
      <c r="M46" s="1336"/>
      <c r="N46" s="1337"/>
    </row>
    <row r="47" spans="1:16" ht="12.75" x14ac:dyDescent="0.2">
      <c r="A47" s="273"/>
      <c r="C47" s="1338" t="s">
        <v>30</v>
      </c>
      <c r="D47" s="1340" t="s">
        <v>78</v>
      </c>
      <c r="E47" s="1342" t="s">
        <v>79</v>
      </c>
      <c r="F47" s="1344" t="s">
        <v>80</v>
      </c>
      <c r="G47" s="1346" t="s">
        <v>81</v>
      </c>
      <c r="H47" s="1344" t="s">
        <v>82</v>
      </c>
      <c r="I47" s="1344" t="s">
        <v>83</v>
      </c>
      <c r="J47" s="1344" t="s">
        <v>84</v>
      </c>
      <c r="K47" s="1344" t="s">
        <v>85</v>
      </c>
      <c r="L47" s="1344" t="s">
        <v>86</v>
      </c>
      <c r="M47" s="1344" t="s">
        <v>87</v>
      </c>
      <c r="N47" s="1346" t="s">
        <v>31</v>
      </c>
    </row>
    <row r="48" spans="1:16" ht="13.5" thickBot="1" x14ac:dyDescent="0.25">
      <c r="A48" s="273"/>
      <c r="C48" s="1339"/>
      <c r="D48" s="1341"/>
      <c r="E48" s="1343"/>
      <c r="F48" s="1345"/>
      <c r="G48" s="1347"/>
      <c r="H48" s="1345"/>
      <c r="I48" s="1345"/>
      <c r="J48" s="1345"/>
      <c r="K48" s="1345"/>
      <c r="L48" s="1348"/>
      <c r="M48" s="1345"/>
      <c r="N48" s="1347"/>
    </row>
    <row r="49" spans="1:14" ht="12.75" x14ac:dyDescent="0.2">
      <c r="A49" s="273"/>
      <c r="C49" s="42">
        <v>1995</v>
      </c>
      <c r="D49" s="66">
        <v>0.80706344015696541</v>
      </c>
      <c r="E49" s="66">
        <v>0.79055555555555557</v>
      </c>
      <c r="F49" s="67">
        <v>0.77987962166809977</v>
      </c>
      <c r="G49" s="68">
        <v>1.128834355828221</v>
      </c>
      <c r="H49" s="68">
        <v>0.9394925178919975</v>
      </c>
      <c r="I49" s="69">
        <v>0.95780724269920203</v>
      </c>
      <c r="J49" s="68">
        <v>0.88285024154589364</v>
      </c>
      <c r="K49" s="68">
        <v>0.89066971951917573</v>
      </c>
      <c r="L49" s="68">
        <v>0.85339418140330847</v>
      </c>
      <c r="M49" s="68">
        <v>0.89044813225563002</v>
      </c>
      <c r="N49" s="43">
        <v>0.61241291956934774</v>
      </c>
    </row>
    <row r="50" spans="1:14" ht="12.75" x14ac:dyDescent="0.2">
      <c r="A50" s="273"/>
      <c r="C50" s="42">
        <v>1996</v>
      </c>
      <c r="D50" s="70">
        <v>0.83387835186396342</v>
      </c>
      <c r="E50" s="70">
        <v>0.81666666666666665</v>
      </c>
      <c r="F50" s="71">
        <v>0.81083404987102314</v>
      </c>
      <c r="G50" s="72">
        <v>1.1025416301489921</v>
      </c>
      <c r="H50" s="72">
        <v>0.96421600520494466</v>
      </c>
      <c r="I50" s="72">
        <v>0.96064432976263958</v>
      </c>
      <c r="J50" s="72">
        <v>0.89613526570048319</v>
      </c>
      <c r="K50" s="72">
        <v>0.9198626216370922</v>
      </c>
      <c r="L50" s="72">
        <v>0.87221905305191094</v>
      </c>
      <c r="M50" s="72">
        <v>0.91040227885934433</v>
      </c>
      <c r="N50" s="30">
        <v>0.62507916402786579</v>
      </c>
    </row>
    <row r="51" spans="1:14" x14ac:dyDescent="0.25">
      <c r="C51" s="42">
        <v>1997</v>
      </c>
      <c r="D51" s="73">
        <v>0.85938521909744936</v>
      </c>
      <c r="E51" s="73">
        <v>0.84222222222222221</v>
      </c>
      <c r="F51" s="74">
        <v>0.85941530524505572</v>
      </c>
      <c r="G51" s="74">
        <v>1.1086765994741457</v>
      </c>
      <c r="H51" s="74">
        <v>0.98633702016916069</v>
      </c>
      <c r="I51" s="75">
        <v>0.96169909395130715</v>
      </c>
      <c r="J51" s="74">
        <v>0.91787439613526578</v>
      </c>
      <c r="K51" s="74">
        <v>0.93875214653692052</v>
      </c>
      <c r="L51" s="74">
        <v>0.89960068454078712</v>
      </c>
      <c r="M51" s="74">
        <v>0.93115988338873235</v>
      </c>
      <c r="N51" s="29">
        <v>0.70360987967067756</v>
      </c>
    </row>
    <row r="52" spans="1:14" x14ac:dyDescent="0.25">
      <c r="C52" s="42">
        <v>1998</v>
      </c>
      <c r="D52" s="76">
        <v>0.87965990843688691</v>
      </c>
      <c r="E52" s="76">
        <v>0.87277777777777787</v>
      </c>
      <c r="F52" s="77">
        <v>0.88865004299226136</v>
      </c>
      <c r="G52" s="77">
        <v>1.0736196319018405</v>
      </c>
      <c r="H52" s="77">
        <v>0.97787898503578419</v>
      </c>
      <c r="I52" s="77">
        <v>0.96467594929516443</v>
      </c>
      <c r="J52" s="77">
        <v>0.93478260869565233</v>
      </c>
      <c r="K52" s="77">
        <v>0.95706926159129935</v>
      </c>
      <c r="L52" s="77">
        <v>0.9241300627495721</v>
      </c>
      <c r="M52" s="77">
        <v>0.94668035203617729</v>
      </c>
      <c r="N52" s="44">
        <v>0.75680810639645346</v>
      </c>
    </row>
    <row r="53" spans="1:14" x14ac:dyDescent="0.25">
      <c r="C53" s="42">
        <v>1999</v>
      </c>
      <c r="D53" s="73">
        <v>0.90582079790712888</v>
      </c>
      <c r="E53" s="73">
        <v>0.9094444444444445</v>
      </c>
      <c r="F53" s="74">
        <v>0.91358555460017188</v>
      </c>
      <c r="G53" s="74">
        <v>0.99912357581069244</v>
      </c>
      <c r="H53" s="74">
        <v>0.95120364346128827</v>
      </c>
      <c r="I53" s="75">
        <v>0.97591985295843298</v>
      </c>
      <c r="J53" s="74">
        <v>0.96014492753623193</v>
      </c>
      <c r="K53" s="74">
        <v>0.9639381797366916</v>
      </c>
      <c r="L53" s="74">
        <v>0.9366799771819736</v>
      </c>
      <c r="M53" s="74">
        <v>0.95836273001352756</v>
      </c>
      <c r="N53" s="29">
        <v>0.73844205193160217</v>
      </c>
    </row>
    <row r="54" spans="1:14" x14ac:dyDescent="0.25">
      <c r="C54" s="42">
        <v>2000</v>
      </c>
      <c r="D54" s="70">
        <v>0.93655984303466322</v>
      </c>
      <c r="E54" s="70">
        <v>0.93333333333333335</v>
      </c>
      <c r="F54" s="72">
        <v>0.95442820292347363</v>
      </c>
      <c r="G54" s="72">
        <v>1.0219106047326907</v>
      </c>
      <c r="H54" s="72">
        <v>0.98438516590761238</v>
      </c>
      <c r="I54" s="72">
        <v>1.0004194807158404</v>
      </c>
      <c r="J54" s="72">
        <v>0.96920289855072472</v>
      </c>
      <c r="K54" s="72">
        <v>0.97252432741843164</v>
      </c>
      <c r="L54" s="72">
        <v>0.9503707929264118</v>
      </c>
      <c r="M54" s="72">
        <v>0.96971592043486143</v>
      </c>
      <c r="N54" s="30">
        <v>0.79290690310322987</v>
      </c>
    </row>
    <row r="55" spans="1:14" x14ac:dyDescent="0.25">
      <c r="C55" s="42">
        <v>2001</v>
      </c>
      <c r="D55" s="73">
        <v>0.96533682145192945</v>
      </c>
      <c r="E55" s="73">
        <v>0.95777777777777773</v>
      </c>
      <c r="F55" s="74">
        <v>0.97592433361994835</v>
      </c>
      <c r="G55" s="74">
        <v>0.96143733567046463</v>
      </c>
      <c r="H55" s="74">
        <v>0.99479505530253753</v>
      </c>
      <c r="I55" s="75">
        <v>1.0041072039818877</v>
      </c>
      <c r="J55" s="74">
        <v>0.98007246376811608</v>
      </c>
      <c r="K55" s="74">
        <v>0.98340011448196918</v>
      </c>
      <c r="L55" s="74">
        <v>0.97604107244723326</v>
      </c>
      <c r="M55" s="74">
        <v>0.98570094602935976</v>
      </c>
      <c r="N55" s="29">
        <v>0.98796706776440779</v>
      </c>
    </row>
    <row r="56" spans="1:14" x14ac:dyDescent="0.25">
      <c r="C56" s="42">
        <v>2002</v>
      </c>
      <c r="D56" s="78">
        <v>1</v>
      </c>
      <c r="E56" s="78">
        <v>1</v>
      </c>
      <c r="F56" s="79">
        <v>1</v>
      </c>
      <c r="G56" s="79">
        <v>1</v>
      </c>
      <c r="H56" s="79">
        <v>1</v>
      </c>
      <c r="I56" s="79">
        <v>1</v>
      </c>
      <c r="J56" s="79">
        <v>1</v>
      </c>
      <c r="K56" s="79">
        <v>1</v>
      </c>
      <c r="L56" s="79">
        <v>1</v>
      </c>
      <c r="M56" s="79">
        <v>1</v>
      </c>
      <c r="N56" s="30">
        <v>0.93350221659278021</v>
      </c>
    </row>
    <row r="57" spans="1:14" x14ac:dyDescent="0.25">
      <c r="C57" s="42">
        <v>2003</v>
      </c>
      <c r="D57" s="73">
        <v>1.0294310006540224</v>
      </c>
      <c r="E57" s="73">
        <v>1.0388888888888888</v>
      </c>
      <c r="F57" s="74">
        <v>1.0485812553740326</v>
      </c>
      <c r="G57" s="74">
        <v>1.0648553900087643</v>
      </c>
      <c r="H57" s="74">
        <v>1.0143135979180222</v>
      </c>
      <c r="I57" s="75">
        <v>0.99860794395266939</v>
      </c>
      <c r="J57" s="74">
        <v>1.0132850241545894</v>
      </c>
      <c r="K57" s="74">
        <v>0.99885518030910136</v>
      </c>
      <c r="L57" s="74">
        <v>1.0108385624643468</v>
      </c>
      <c r="M57" s="74">
        <v>1.0176682140088897</v>
      </c>
      <c r="N57" s="29">
        <v>0.91196960101329949</v>
      </c>
    </row>
    <row r="58" spans="1:14" x14ac:dyDescent="0.25">
      <c r="C58" s="42">
        <v>2004</v>
      </c>
      <c r="D58" s="70">
        <v>1.0555918901242642</v>
      </c>
      <c r="E58" s="70">
        <v>1.0672222222222223</v>
      </c>
      <c r="F58" s="72">
        <v>1.0816852966466035</v>
      </c>
      <c r="G58" s="72">
        <v>1.423312883435583</v>
      </c>
      <c r="H58" s="72">
        <v>1.2192582953806117</v>
      </c>
      <c r="I58" s="72">
        <v>1.0424875340169317</v>
      </c>
      <c r="J58" s="72">
        <v>1.018719806763285</v>
      </c>
      <c r="K58" s="72">
        <v>1.0663995420721237</v>
      </c>
      <c r="L58" s="72">
        <v>1.0399315459212779</v>
      </c>
      <c r="M58" s="72">
        <v>1.0689451144879312</v>
      </c>
      <c r="N58" s="45">
        <v>1</v>
      </c>
    </row>
    <row r="59" spans="1:14" x14ac:dyDescent="0.25">
      <c r="C59" s="42">
        <v>2005</v>
      </c>
      <c r="D59" s="73">
        <v>1.0830608240680182</v>
      </c>
      <c r="E59" s="73">
        <v>1.088888888888889</v>
      </c>
      <c r="F59" s="74">
        <v>1.1027515047291485</v>
      </c>
      <c r="G59" s="74">
        <v>1.4995617879053462</v>
      </c>
      <c r="H59" s="74">
        <v>1.3409238776837997</v>
      </c>
      <c r="I59" s="75">
        <v>1.1025955645396102</v>
      </c>
      <c r="J59" s="74">
        <v>1.017512077294686</v>
      </c>
      <c r="K59" s="74">
        <v>1.2266742987979395</v>
      </c>
      <c r="L59" s="74">
        <v>1.0935539075869936</v>
      </c>
      <c r="M59" s="74">
        <v>1.1527282824358829</v>
      </c>
      <c r="N59" s="29">
        <v>1.5769474350854971</v>
      </c>
    </row>
    <row r="60" spans="1:14" x14ac:dyDescent="0.25">
      <c r="C60" s="42">
        <v>2006</v>
      </c>
      <c r="D60" s="70">
        <v>1.0994113799869196</v>
      </c>
      <c r="E60" s="70">
        <v>1.1294444444444443</v>
      </c>
      <c r="F60" s="72">
        <v>1.1362854686156492</v>
      </c>
      <c r="G60" s="72">
        <v>1.6345311130587206</v>
      </c>
      <c r="H60" s="72">
        <v>1.413793103448276</v>
      </c>
      <c r="I60" s="72">
        <v>1.2034726485483949</v>
      </c>
      <c r="J60" s="72">
        <v>1.05012077294686</v>
      </c>
      <c r="K60" s="72">
        <v>1.3331425300515169</v>
      </c>
      <c r="L60" s="72">
        <v>1.1420422133485453</v>
      </c>
      <c r="M60" s="72">
        <v>1.2109881790109167</v>
      </c>
      <c r="N60" s="30">
        <v>2.3559214692843571</v>
      </c>
    </row>
    <row r="61" spans="1:14" x14ac:dyDescent="0.25">
      <c r="C61" s="42">
        <v>2007</v>
      </c>
      <c r="D61" s="73">
        <v>1.128842380640942</v>
      </c>
      <c r="E61" s="73">
        <v>1.1694444444444445</v>
      </c>
      <c r="F61" s="74">
        <v>1.2102321582115219</v>
      </c>
      <c r="G61" s="74">
        <v>1.7624890446976338</v>
      </c>
      <c r="H61" s="74">
        <v>1.3942745608327913</v>
      </c>
      <c r="I61" s="75">
        <v>1.3031123152289494</v>
      </c>
      <c r="J61" s="74">
        <v>1.1068840579710146</v>
      </c>
      <c r="K61" s="74">
        <v>1.3777904979965656</v>
      </c>
      <c r="L61" s="74">
        <v>1.213348545350827</v>
      </c>
      <c r="M61" s="74">
        <v>1.2834035096794385</v>
      </c>
      <c r="N61" s="29">
        <v>2.298923369221026</v>
      </c>
    </row>
    <row r="62" spans="1:14" x14ac:dyDescent="0.25">
      <c r="C62" s="42">
        <v>2008</v>
      </c>
      <c r="D62" s="80">
        <v>1.1589274035317201</v>
      </c>
      <c r="E62" s="70">
        <v>1.215858585858586</v>
      </c>
      <c r="F62" s="72">
        <v>1.2713984210114904</v>
      </c>
      <c r="G62" s="72">
        <v>2.1630148992112184</v>
      </c>
      <c r="H62" s="72">
        <v>1.495120364346129</v>
      </c>
      <c r="I62" s="72">
        <v>1.3891963352624483</v>
      </c>
      <c r="J62" s="72">
        <v>1.2457729468599035</v>
      </c>
      <c r="K62" s="72">
        <v>1.44361763022324</v>
      </c>
      <c r="L62" s="72">
        <v>1.2800912721049629</v>
      </c>
      <c r="M62" s="72">
        <v>1.3616816492201325</v>
      </c>
      <c r="N62" s="30">
        <v>2.3432552248258389</v>
      </c>
    </row>
    <row r="63" spans="1:14" x14ac:dyDescent="0.25">
      <c r="C63" s="42">
        <v>2009</v>
      </c>
      <c r="D63" s="81"/>
      <c r="E63" s="82"/>
      <c r="F63" s="83"/>
      <c r="G63" s="83"/>
      <c r="H63" s="83"/>
      <c r="I63" s="84"/>
      <c r="J63" s="83"/>
      <c r="K63" s="83"/>
      <c r="L63" s="83"/>
      <c r="M63" s="83"/>
      <c r="N63" s="92">
        <v>2.036</v>
      </c>
    </row>
    <row r="64" spans="1:14" x14ac:dyDescent="0.25">
      <c r="C64" s="42">
        <v>2010</v>
      </c>
      <c r="D64" s="86"/>
      <c r="E64" s="87"/>
      <c r="F64" s="88"/>
      <c r="G64" s="88"/>
      <c r="H64" s="88"/>
      <c r="I64" s="88"/>
      <c r="J64" s="88"/>
      <c r="K64" s="88"/>
      <c r="L64" s="88"/>
      <c r="M64" s="88"/>
      <c r="N64" s="92">
        <v>1.988</v>
      </c>
    </row>
    <row r="65" spans="3:14" x14ac:dyDescent="0.25">
      <c r="C65" s="42">
        <v>2011</v>
      </c>
      <c r="D65" s="81"/>
      <c r="E65" s="82"/>
      <c r="F65" s="83"/>
      <c r="G65" s="83"/>
      <c r="H65" s="83"/>
      <c r="I65" s="84"/>
      <c r="J65" s="83"/>
      <c r="K65" s="83"/>
      <c r="L65" s="83"/>
      <c r="M65" s="83"/>
      <c r="N65" s="85"/>
    </row>
    <row r="66" spans="3:14" ht="15.75" thickBot="1" x14ac:dyDescent="0.3">
      <c r="C66" s="42">
        <v>2012</v>
      </c>
      <c r="D66" s="89"/>
      <c r="E66" s="89"/>
      <c r="F66" s="90"/>
      <c r="G66" s="90"/>
      <c r="H66" s="90"/>
      <c r="I66" s="90"/>
      <c r="J66" s="90"/>
      <c r="K66" s="90"/>
      <c r="L66" s="90"/>
      <c r="M66" s="90"/>
      <c r="N66" s="91"/>
    </row>
  </sheetData>
  <sheetProtection password="DFD3" sheet="1" objects="1" scenarios="1"/>
  <mergeCells count="21">
    <mergeCell ref="C7:G7"/>
    <mergeCell ref="C8:G8"/>
    <mergeCell ref="C44:N46"/>
    <mergeCell ref="C47:C48"/>
    <mergeCell ref="D47:D48"/>
    <mergeCell ref="E47:E48"/>
    <mergeCell ref="F47:F48"/>
    <mergeCell ref="G47:G48"/>
    <mergeCell ref="H47:H48"/>
    <mergeCell ref="I47:I48"/>
    <mergeCell ref="J47:J48"/>
    <mergeCell ref="K47:K48"/>
    <mergeCell ref="L47:L48"/>
    <mergeCell ref="M47:M48"/>
    <mergeCell ref="N47:N48"/>
    <mergeCell ref="C6:G6"/>
    <mergeCell ref="B1:G1"/>
    <mergeCell ref="B2:G2"/>
    <mergeCell ref="B3:G3"/>
    <mergeCell ref="C4:G4"/>
    <mergeCell ref="C5:G5"/>
  </mergeCells>
  <pageMargins left="0.75" right="0.75" top="1" bottom="1" header="0.5" footer="0.5"/>
  <pageSetup orientation="landscape" horizontalDpi="300" verticalDpi="300" r:id="rId1"/>
  <headerFooter alignWithMargins="0">
    <oddHeader>&amp;CBureau of Labor Statistics&amp;L&amp;R</oddHeader>
    <oddFooter>&amp;C&amp;LSource: Bureau of Labor Statistics&amp;RGenerated on: December 21, 2010 (12:47:43 PM)</oddFooter>
  </headerFooter>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S87"/>
  <sheetViews>
    <sheetView workbookViewId="0">
      <selection activeCell="S1" sqref="S1"/>
    </sheetView>
  </sheetViews>
  <sheetFormatPr defaultRowHeight="15" x14ac:dyDescent="0.25"/>
  <cols>
    <col min="1" max="1" width="139.28515625" customWidth="1"/>
    <col min="2" max="2" width="32" style="125" customWidth="1"/>
    <col min="3" max="3" width="7.28515625" style="125" customWidth="1"/>
    <col min="4" max="4" width="7.42578125" style="125" customWidth="1"/>
    <col min="5" max="5" width="7" style="125" customWidth="1"/>
    <col min="6" max="6" width="12.5703125" style="125" customWidth="1"/>
    <col min="7" max="7" width="11.7109375" style="125" customWidth="1"/>
    <col min="8" max="8" width="6.85546875" style="125" customWidth="1"/>
    <col min="9" max="9" width="7.42578125" style="125" customWidth="1"/>
    <col min="10" max="10" width="7.5703125" style="125" customWidth="1"/>
    <col min="11" max="11" width="8" style="125" customWidth="1"/>
    <col min="12" max="13" width="9.42578125" style="125" customWidth="1"/>
    <col min="14" max="15" width="9.28515625" style="125" customWidth="1"/>
    <col min="16" max="16" width="10.5703125" style="125" bestFit="1" customWidth="1"/>
    <col min="17" max="17" width="36.140625" style="125" customWidth="1"/>
    <col min="18" max="19" width="9.140625" style="125" customWidth="1"/>
    <col min="20" max="257" width="9.140625" style="125"/>
    <col min="258" max="258" width="32" style="125" customWidth="1"/>
    <col min="259" max="259" width="7.28515625" style="125" customWidth="1"/>
    <col min="260" max="260" width="7.42578125" style="125" customWidth="1"/>
    <col min="261" max="261" width="7" style="125" customWidth="1"/>
    <col min="262" max="262" width="7.140625" style="125" customWidth="1"/>
    <col min="263" max="263" width="7" style="125" customWidth="1"/>
    <col min="264" max="264" width="6.85546875" style="125" customWidth="1"/>
    <col min="265" max="265" width="7.42578125" style="125" customWidth="1"/>
    <col min="266" max="266" width="7.5703125" style="125" customWidth="1"/>
    <col min="267" max="267" width="8" style="125" customWidth="1"/>
    <col min="268" max="269" width="9.42578125" style="125" customWidth="1"/>
    <col min="270" max="271" width="9.28515625" style="125" customWidth="1"/>
    <col min="272" max="272" width="10.5703125" style="125" bestFit="1" customWidth="1"/>
    <col min="273" max="273" width="14.5703125" style="125" customWidth="1"/>
    <col min="274" max="275" width="9.140625" style="125" customWidth="1"/>
    <col min="276" max="513" width="9.140625" style="125"/>
    <col min="514" max="514" width="32" style="125" customWidth="1"/>
    <col min="515" max="515" width="7.28515625" style="125" customWidth="1"/>
    <col min="516" max="516" width="7.42578125" style="125" customWidth="1"/>
    <col min="517" max="517" width="7" style="125" customWidth="1"/>
    <col min="518" max="518" width="7.140625" style="125" customWidth="1"/>
    <col min="519" max="519" width="7" style="125" customWidth="1"/>
    <col min="520" max="520" width="6.85546875" style="125" customWidth="1"/>
    <col min="521" max="521" width="7.42578125" style="125" customWidth="1"/>
    <col min="522" max="522" width="7.5703125" style="125" customWidth="1"/>
    <col min="523" max="523" width="8" style="125" customWidth="1"/>
    <col min="524" max="525" width="9.42578125" style="125" customWidth="1"/>
    <col min="526" max="527" width="9.28515625" style="125" customWidth="1"/>
    <col min="528" max="528" width="10.5703125" style="125" bestFit="1" customWidth="1"/>
    <col min="529" max="529" width="14.5703125" style="125" customWidth="1"/>
    <col min="530" max="531" width="9.140625" style="125" customWidth="1"/>
    <col min="532" max="769" width="9.140625" style="125"/>
    <col min="770" max="770" width="32" style="125" customWidth="1"/>
    <col min="771" max="771" width="7.28515625" style="125" customWidth="1"/>
    <col min="772" max="772" width="7.42578125" style="125" customWidth="1"/>
    <col min="773" max="773" width="7" style="125" customWidth="1"/>
    <col min="774" max="774" width="7.140625" style="125" customWidth="1"/>
    <col min="775" max="775" width="7" style="125" customWidth="1"/>
    <col min="776" max="776" width="6.85546875" style="125" customWidth="1"/>
    <col min="777" max="777" width="7.42578125" style="125" customWidth="1"/>
    <col min="778" max="778" width="7.5703125" style="125" customWidth="1"/>
    <col min="779" max="779" width="8" style="125" customWidth="1"/>
    <col min="780" max="781" width="9.42578125" style="125" customWidth="1"/>
    <col min="782" max="783" width="9.28515625" style="125" customWidth="1"/>
    <col min="784" max="784" width="10.5703125" style="125" bestFit="1" customWidth="1"/>
    <col min="785" max="785" width="14.5703125" style="125" customWidth="1"/>
    <col min="786" max="787" width="9.140625" style="125" customWidth="1"/>
    <col min="788" max="1025" width="9.140625" style="125"/>
    <col min="1026" max="1026" width="32" style="125" customWidth="1"/>
    <col min="1027" max="1027" width="7.28515625" style="125" customWidth="1"/>
    <col min="1028" max="1028" width="7.42578125" style="125" customWidth="1"/>
    <col min="1029" max="1029" width="7" style="125" customWidth="1"/>
    <col min="1030" max="1030" width="7.140625" style="125" customWidth="1"/>
    <col min="1031" max="1031" width="7" style="125" customWidth="1"/>
    <col min="1032" max="1032" width="6.85546875" style="125" customWidth="1"/>
    <col min="1033" max="1033" width="7.42578125" style="125" customWidth="1"/>
    <col min="1034" max="1034" width="7.5703125" style="125" customWidth="1"/>
    <col min="1035" max="1035" width="8" style="125" customWidth="1"/>
    <col min="1036" max="1037" width="9.42578125" style="125" customWidth="1"/>
    <col min="1038" max="1039" width="9.28515625" style="125" customWidth="1"/>
    <col min="1040" max="1040" width="10.5703125" style="125" bestFit="1" customWidth="1"/>
    <col min="1041" max="1041" width="14.5703125" style="125" customWidth="1"/>
    <col min="1042" max="1043" width="9.140625" style="125" customWidth="1"/>
    <col min="1044" max="1281" width="9.140625" style="125"/>
    <col min="1282" max="1282" width="32" style="125" customWidth="1"/>
    <col min="1283" max="1283" width="7.28515625" style="125" customWidth="1"/>
    <col min="1284" max="1284" width="7.42578125" style="125" customWidth="1"/>
    <col min="1285" max="1285" width="7" style="125" customWidth="1"/>
    <col min="1286" max="1286" width="7.140625" style="125" customWidth="1"/>
    <col min="1287" max="1287" width="7" style="125" customWidth="1"/>
    <col min="1288" max="1288" width="6.85546875" style="125" customWidth="1"/>
    <col min="1289" max="1289" width="7.42578125" style="125" customWidth="1"/>
    <col min="1290" max="1290" width="7.5703125" style="125" customWidth="1"/>
    <col min="1291" max="1291" width="8" style="125" customWidth="1"/>
    <col min="1292" max="1293" width="9.42578125" style="125" customWidth="1"/>
    <col min="1294" max="1295" width="9.28515625" style="125" customWidth="1"/>
    <col min="1296" max="1296" width="10.5703125" style="125" bestFit="1" customWidth="1"/>
    <col min="1297" max="1297" width="14.5703125" style="125" customWidth="1"/>
    <col min="1298" max="1299" width="9.140625" style="125" customWidth="1"/>
    <col min="1300" max="1537" width="9.140625" style="125"/>
    <col min="1538" max="1538" width="32" style="125" customWidth="1"/>
    <col min="1539" max="1539" width="7.28515625" style="125" customWidth="1"/>
    <col min="1540" max="1540" width="7.42578125" style="125" customWidth="1"/>
    <col min="1541" max="1541" width="7" style="125" customWidth="1"/>
    <col min="1542" max="1542" width="7.140625" style="125" customWidth="1"/>
    <col min="1543" max="1543" width="7" style="125" customWidth="1"/>
    <col min="1544" max="1544" width="6.85546875" style="125" customWidth="1"/>
    <col min="1545" max="1545" width="7.42578125" style="125" customWidth="1"/>
    <col min="1546" max="1546" width="7.5703125" style="125" customWidth="1"/>
    <col min="1547" max="1547" width="8" style="125" customWidth="1"/>
    <col min="1548" max="1549" width="9.42578125" style="125" customWidth="1"/>
    <col min="1550" max="1551" width="9.28515625" style="125" customWidth="1"/>
    <col min="1552" max="1552" width="10.5703125" style="125" bestFit="1" customWidth="1"/>
    <col min="1553" max="1553" width="14.5703125" style="125" customWidth="1"/>
    <col min="1554" max="1555" width="9.140625" style="125" customWidth="1"/>
    <col min="1556" max="1793" width="9.140625" style="125"/>
    <col min="1794" max="1794" width="32" style="125" customWidth="1"/>
    <col min="1795" max="1795" width="7.28515625" style="125" customWidth="1"/>
    <col min="1796" max="1796" width="7.42578125" style="125" customWidth="1"/>
    <col min="1797" max="1797" width="7" style="125" customWidth="1"/>
    <col min="1798" max="1798" width="7.140625" style="125" customWidth="1"/>
    <col min="1799" max="1799" width="7" style="125" customWidth="1"/>
    <col min="1800" max="1800" width="6.85546875" style="125" customWidth="1"/>
    <col min="1801" max="1801" width="7.42578125" style="125" customWidth="1"/>
    <col min="1802" max="1802" width="7.5703125" style="125" customWidth="1"/>
    <col min="1803" max="1803" width="8" style="125" customWidth="1"/>
    <col min="1804" max="1805" width="9.42578125" style="125" customWidth="1"/>
    <col min="1806" max="1807" width="9.28515625" style="125" customWidth="1"/>
    <col min="1808" max="1808" width="10.5703125" style="125" bestFit="1" customWidth="1"/>
    <col min="1809" max="1809" width="14.5703125" style="125" customWidth="1"/>
    <col min="1810" max="1811" width="9.140625" style="125" customWidth="1"/>
    <col min="1812" max="2049" width="9.140625" style="125"/>
    <col min="2050" max="2050" width="32" style="125" customWidth="1"/>
    <col min="2051" max="2051" width="7.28515625" style="125" customWidth="1"/>
    <col min="2052" max="2052" width="7.42578125" style="125" customWidth="1"/>
    <col min="2053" max="2053" width="7" style="125" customWidth="1"/>
    <col min="2054" max="2054" width="7.140625" style="125" customWidth="1"/>
    <col min="2055" max="2055" width="7" style="125" customWidth="1"/>
    <col min="2056" max="2056" width="6.85546875" style="125" customWidth="1"/>
    <col min="2057" max="2057" width="7.42578125" style="125" customWidth="1"/>
    <col min="2058" max="2058" width="7.5703125" style="125" customWidth="1"/>
    <col min="2059" max="2059" width="8" style="125" customWidth="1"/>
    <col min="2060" max="2061" width="9.42578125" style="125" customWidth="1"/>
    <col min="2062" max="2063" width="9.28515625" style="125" customWidth="1"/>
    <col min="2064" max="2064" width="10.5703125" style="125" bestFit="1" customWidth="1"/>
    <col min="2065" max="2065" width="14.5703125" style="125" customWidth="1"/>
    <col min="2066" max="2067" width="9.140625" style="125" customWidth="1"/>
    <col min="2068" max="2305" width="9.140625" style="125"/>
    <col min="2306" max="2306" width="32" style="125" customWidth="1"/>
    <col min="2307" max="2307" width="7.28515625" style="125" customWidth="1"/>
    <col min="2308" max="2308" width="7.42578125" style="125" customWidth="1"/>
    <col min="2309" max="2309" width="7" style="125" customWidth="1"/>
    <col min="2310" max="2310" width="7.140625" style="125" customWidth="1"/>
    <col min="2311" max="2311" width="7" style="125" customWidth="1"/>
    <col min="2312" max="2312" width="6.85546875" style="125" customWidth="1"/>
    <col min="2313" max="2313" width="7.42578125" style="125" customWidth="1"/>
    <col min="2314" max="2314" width="7.5703125" style="125" customWidth="1"/>
    <col min="2315" max="2315" width="8" style="125" customWidth="1"/>
    <col min="2316" max="2317" width="9.42578125" style="125" customWidth="1"/>
    <col min="2318" max="2319" width="9.28515625" style="125" customWidth="1"/>
    <col min="2320" max="2320" width="10.5703125" style="125" bestFit="1" customWidth="1"/>
    <col min="2321" max="2321" width="14.5703125" style="125" customWidth="1"/>
    <col min="2322" max="2323" width="9.140625" style="125" customWidth="1"/>
    <col min="2324" max="2561" width="9.140625" style="125"/>
    <col min="2562" max="2562" width="32" style="125" customWidth="1"/>
    <col min="2563" max="2563" width="7.28515625" style="125" customWidth="1"/>
    <col min="2564" max="2564" width="7.42578125" style="125" customWidth="1"/>
    <col min="2565" max="2565" width="7" style="125" customWidth="1"/>
    <col min="2566" max="2566" width="7.140625" style="125" customWidth="1"/>
    <col min="2567" max="2567" width="7" style="125" customWidth="1"/>
    <col min="2568" max="2568" width="6.85546875" style="125" customWidth="1"/>
    <col min="2569" max="2569" width="7.42578125" style="125" customWidth="1"/>
    <col min="2570" max="2570" width="7.5703125" style="125" customWidth="1"/>
    <col min="2571" max="2571" width="8" style="125" customWidth="1"/>
    <col min="2572" max="2573" width="9.42578125" style="125" customWidth="1"/>
    <col min="2574" max="2575" width="9.28515625" style="125" customWidth="1"/>
    <col min="2576" max="2576" width="10.5703125" style="125" bestFit="1" customWidth="1"/>
    <col min="2577" max="2577" width="14.5703125" style="125" customWidth="1"/>
    <col min="2578" max="2579" width="9.140625" style="125" customWidth="1"/>
    <col min="2580" max="2817" width="9.140625" style="125"/>
    <col min="2818" max="2818" width="32" style="125" customWidth="1"/>
    <col min="2819" max="2819" width="7.28515625" style="125" customWidth="1"/>
    <col min="2820" max="2820" width="7.42578125" style="125" customWidth="1"/>
    <col min="2821" max="2821" width="7" style="125" customWidth="1"/>
    <col min="2822" max="2822" width="7.140625" style="125" customWidth="1"/>
    <col min="2823" max="2823" width="7" style="125" customWidth="1"/>
    <col min="2824" max="2824" width="6.85546875" style="125" customWidth="1"/>
    <col min="2825" max="2825" width="7.42578125" style="125" customWidth="1"/>
    <col min="2826" max="2826" width="7.5703125" style="125" customWidth="1"/>
    <col min="2827" max="2827" width="8" style="125" customWidth="1"/>
    <col min="2828" max="2829" width="9.42578125" style="125" customWidth="1"/>
    <col min="2830" max="2831" width="9.28515625" style="125" customWidth="1"/>
    <col min="2832" max="2832" width="10.5703125" style="125" bestFit="1" customWidth="1"/>
    <col min="2833" max="2833" width="14.5703125" style="125" customWidth="1"/>
    <col min="2834" max="2835" width="9.140625" style="125" customWidth="1"/>
    <col min="2836" max="3073" width="9.140625" style="125"/>
    <col min="3074" max="3074" width="32" style="125" customWidth="1"/>
    <col min="3075" max="3075" width="7.28515625" style="125" customWidth="1"/>
    <col min="3076" max="3076" width="7.42578125" style="125" customWidth="1"/>
    <col min="3077" max="3077" width="7" style="125" customWidth="1"/>
    <col min="3078" max="3078" width="7.140625" style="125" customWidth="1"/>
    <col min="3079" max="3079" width="7" style="125" customWidth="1"/>
    <col min="3080" max="3080" width="6.85546875" style="125" customWidth="1"/>
    <col min="3081" max="3081" width="7.42578125" style="125" customWidth="1"/>
    <col min="3082" max="3082" width="7.5703125" style="125" customWidth="1"/>
    <col min="3083" max="3083" width="8" style="125" customWidth="1"/>
    <col min="3084" max="3085" width="9.42578125" style="125" customWidth="1"/>
    <col min="3086" max="3087" width="9.28515625" style="125" customWidth="1"/>
    <col min="3088" max="3088" width="10.5703125" style="125" bestFit="1" customWidth="1"/>
    <col min="3089" max="3089" width="14.5703125" style="125" customWidth="1"/>
    <col min="3090" max="3091" width="9.140625" style="125" customWidth="1"/>
    <col min="3092" max="3329" width="9.140625" style="125"/>
    <col min="3330" max="3330" width="32" style="125" customWidth="1"/>
    <col min="3331" max="3331" width="7.28515625" style="125" customWidth="1"/>
    <col min="3332" max="3332" width="7.42578125" style="125" customWidth="1"/>
    <col min="3333" max="3333" width="7" style="125" customWidth="1"/>
    <col min="3334" max="3334" width="7.140625" style="125" customWidth="1"/>
    <col min="3335" max="3335" width="7" style="125" customWidth="1"/>
    <col min="3336" max="3336" width="6.85546875" style="125" customWidth="1"/>
    <col min="3337" max="3337" width="7.42578125" style="125" customWidth="1"/>
    <col min="3338" max="3338" width="7.5703125" style="125" customWidth="1"/>
    <col min="3339" max="3339" width="8" style="125" customWidth="1"/>
    <col min="3340" max="3341" width="9.42578125" style="125" customWidth="1"/>
    <col min="3342" max="3343" width="9.28515625" style="125" customWidth="1"/>
    <col min="3344" max="3344" width="10.5703125" style="125" bestFit="1" customWidth="1"/>
    <col min="3345" max="3345" width="14.5703125" style="125" customWidth="1"/>
    <col min="3346" max="3347" width="9.140625" style="125" customWidth="1"/>
    <col min="3348" max="3585" width="9.140625" style="125"/>
    <col min="3586" max="3586" width="32" style="125" customWidth="1"/>
    <col min="3587" max="3587" width="7.28515625" style="125" customWidth="1"/>
    <col min="3588" max="3588" width="7.42578125" style="125" customWidth="1"/>
    <col min="3589" max="3589" width="7" style="125" customWidth="1"/>
    <col min="3590" max="3590" width="7.140625" style="125" customWidth="1"/>
    <col min="3591" max="3591" width="7" style="125" customWidth="1"/>
    <col min="3592" max="3592" width="6.85546875" style="125" customWidth="1"/>
    <col min="3593" max="3593" width="7.42578125" style="125" customWidth="1"/>
    <col min="3594" max="3594" width="7.5703125" style="125" customWidth="1"/>
    <col min="3595" max="3595" width="8" style="125" customWidth="1"/>
    <col min="3596" max="3597" width="9.42578125" style="125" customWidth="1"/>
    <col min="3598" max="3599" width="9.28515625" style="125" customWidth="1"/>
    <col min="3600" max="3600" width="10.5703125" style="125" bestFit="1" customWidth="1"/>
    <col min="3601" max="3601" width="14.5703125" style="125" customWidth="1"/>
    <col min="3602" max="3603" width="9.140625" style="125" customWidth="1"/>
    <col min="3604" max="3841" width="9.140625" style="125"/>
    <col min="3842" max="3842" width="32" style="125" customWidth="1"/>
    <col min="3843" max="3843" width="7.28515625" style="125" customWidth="1"/>
    <col min="3844" max="3844" width="7.42578125" style="125" customWidth="1"/>
    <col min="3845" max="3845" width="7" style="125" customWidth="1"/>
    <col min="3846" max="3846" width="7.140625" style="125" customWidth="1"/>
    <col min="3847" max="3847" width="7" style="125" customWidth="1"/>
    <col min="3848" max="3848" width="6.85546875" style="125" customWidth="1"/>
    <col min="3849" max="3849" width="7.42578125" style="125" customWidth="1"/>
    <col min="3850" max="3850" width="7.5703125" style="125" customWidth="1"/>
    <col min="3851" max="3851" width="8" style="125" customWidth="1"/>
    <col min="3852" max="3853" width="9.42578125" style="125" customWidth="1"/>
    <col min="3854" max="3855" width="9.28515625" style="125" customWidth="1"/>
    <col min="3856" max="3856" width="10.5703125" style="125" bestFit="1" customWidth="1"/>
    <col min="3857" max="3857" width="14.5703125" style="125" customWidth="1"/>
    <col min="3858" max="3859" width="9.140625" style="125" customWidth="1"/>
    <col min="3860" max="4097" width="9.140625" style="125"/>
    <col min="4098" max="4098" width="32" style="125" customWidth="1"/>
    <col min="4099" max="4099" width="7.28515625" style="125" customWidth="1"/>
    <col min="4100" max="4100" width="7.42578125" style="125" customWidth="1"/>
    <col min="4101" max="4101" width="7" style="125" customWidth="1"/>
    <col min="4102" max="4102" width="7.140625" style="125" customWidth="1"/>
    <col min="4103" max="4103" width="7" style="125" customWidth="1"/>
    <col min="4104" max="4104" width="6.85546875" style="125" customWidth="1"/>
    <col min="4105" max="4105" width="7.42578125" style="125" customWidth="1"/>
    <col min="4106" max="4106" width="7.5703125" style="125" customWidth="1"/>
    <col min="4107" max="4107" width="8" style="125" customWidth="1"/>
    <col min="4108" max="4109" width="9.42578125" style="125" customWidth="1"/>
    <col min="4110" max="4111" width="9.28515625" style="125" customWidth="1"/>
    <col min="4112" max="4112" width="10.5703125" style="125" bestFit="1" customWidth="1"/>
    <col min="4113" max="4113" width="14.5703125" style="125" customWidth="1"/>
    <col min="4114" max="4115" width="9.140625" style="125" customWidth="1"/>
    <col min="4116" max="4353" width="9.140625" style="125"/>
    <col min="4354" max="4354" width="32" style="125" customWidth="1"/>
    <col min="4355" max="4355" width="7.28515625" style="125" customWidth="1"/>
    <col min="4356" max="4356" width="7.42578125" style="125" customWidth="1"/>
    <col min="4357" max="4357" width="7" style="125" customWidth="1"/>
    <col min="4358" max="4358" width="7.140625" style="125" customWidth="1"/>
    <col min="4359" max="4359" width="7" style="125" customWidth="1"/>
    <col min="4360" max="4360" width="6.85546875" style="125" customWidth="1"/>
    <col min="4361" max="4361" width="7.42578125" style="125" customWidth="1"/>
    <col min="4362" max="4362" width="7.5703125" style="125" customWidth="1"/>
    <col min="4363" max="4363" width="8" style="125" customWidth="1"/>
    <col min="4364" max="4365" width="9.42578125" style="125" customWidth="1"/>
    <col min="4366" max="4367" width="9.28515625" style="125" customWidth="1"/>
    <col min="4368" max="4368" width="10.5703125" style="125" bestFit="1" customWidth="1"/>
    <col min="4369" max="4369" width="14.5703125" style="125" customWidth="1"/>
    <col min="4370" max="4371" width="9.140625" style="125" customWidth="1"/>
    <col min="4372" max="4609" width="9.140625" style="125"/>
    <col min="4610" max="4610" width="32" style="125" customWidth="1"/>
    <col min="4611" max="4611" width="7.28515625" style="125" customWidth="1"/>
    <col min="4612" max="4612" width="7.42578125" style="125" customWidth="1"/>
    <col min="4613" max="4613" width="7" style="125" customWidth="1"/>
    <col min="4614" max="4614" width="7.140625" style="125" customWidth="1"/>
    <col min="4615" max="4615" width="7" style="125" customWidth="1"/>
    <col min="4616" max="4616" width="6.85546875" style="125" customWidth="1"/>
    <col min="4617" max="4617" width="7.42578125" style="125" customWidth="1"/>
    <col min="4618" max="4618" width="7.5703125" style="125" customWidth="1"/>
    <col min="4619" max="4619" width="8" style="125" customWidth="1"/>
    <col min="4620" max="4621" width="9.42578125" style="125" customWidth="1"/>
    <col min="4622" max="4623" width="9.28515625" style="125" customWidth="1"/>
    <col min="4624" max="4624" width="10.5703125" style="125" bestFit="1" customWidth="1"/>
    <col min="4625" max="4625" width="14.5703125" style="125" customWidth="1"/>
    <col min="4626" max="4627" width="9.140625" style="125" customWidth="1"/>
    <col min="4628" max="4865" width="9.140625" style="125"/>
    <col min="4866" max="4866" width="32" style="125" customWidth="1"/>
    <col min="4867" max="4867" width="7.28515625" style="125" customWidth="1"/>
    <col min="4868" max="4868" width="7.42578125" style="125" customWidth="1"/>
    <col min="4869" max="4869" width="7" style="125" customWidth="1"/>
    <col min="4870" max="4870" width="7.140625" style="125" customWidth="1"/>
    <col min="4871" max="4871" width="7" style="125" customWidth="1"/>
    <col min="4872" max="4872" width="6.85546875" style="125" customWidth="1"/>
    <col min="4873" max="4873" width="7.42578125" style="125" customWidth="1"/>
    <col min="4874" max="4874" width="7.5703125" style="125" customWidth="1"/>
    <col min="4875" max="4875" width="8" style="125" customWidth="1"/>
    <col min="4876" max="4877" width="9.42578125" style="125" customWidth="1"/>
    <col min="4878" max="4879" width="9.28515625" style="125" customWidth="1"/>
    <col min="4880" max="4880" width="10.5703125" style="125" bestFit="1" customWidth="1"/>
    <col min="4881" max="4881" width="14.5703125" style="125" customWidth="1"/>
    <col min="4882" max="4883" width="9.140625" style="125" customWidth="1"/>
    <col min="4884" max="5121" width="9.140625" style="125"/>
    <col min="5122" max="5122" width="32" style="125" customWidth="1"/>
    <col min="5123" max="5123" width="7.28515625" style="125" customWidth="1"/>
    <col min="5124" max="5124" width="7.42578125" style="125" customWidth="1"/>
    <col min="5125" max="5125" width="7" style="125" customWidth="1"/>
    <col min="5126" max="5126" width="7.140625" style="125" customWidth="1"/>
    <col min="5127" max="5127" width="7" style="125" customWidth="1"/>
    <col min="5128" max="5128" width="6.85546875" style="125" customWidth="1"/>
    <col min="5129" max="5129" width="7.42578125" style="125" customWidth="1"/>
    <col min="5130" max="5130" width="7.5703125" style="125" customWidth="1"/>
    <col min="5131" max="5131" width="8" style="125" customWidth="1"/>
    <col min="5132" max="5133" width="9.42578125" style="125" customWidth="1"/>
    <col min="5134" max="5135" width="9.28515625" style="125" customWidth="1"/>
    <col min="5136" max="5136" width="10.5703125" style="125" bestFit="1" customWidth="1"/>
    <col min="5137" max="5137" width="14.5703125" style="125" customWidth="1"/>
    <col min="5138" max="5139" width="9.140625" style="125" customWidth="1"/>
    <col min="5140" max="5377" width="9.140625" style="125"/>
    <col min="5378" max="5378" width="32" style="125" customWidth="1"/>
    <col min="5379" max="5379" width="7.28515625" style="125" customWidth="1"/>
    <col min="5380" max="5380" width="7.42578125" style="125" customWidth="1"/>
    <col min="5381" max="5381" width="7" style="125" customWidth="1"/>
    <col min="5382" max="5382" width="7.140625" style="125" customWidth="1"/>
    <col min="5383" max="5383" width="7" style="125" customWidth="1"/>
    <col min="5384" max="5384" width="6.85546875" style="125" customWidth="1"/>
    <col min="5385" max="5385" width="7.42578125" style="125" customWidth="1"/>
    <col min="5386" max="5386" width="7.5703125" style="125" customWidth="1"/>
    <col min="5387" max="5387" width="8" style="125" customWidth="1"/>
    <col min="5388" max="5389" width="9.42578125" style="125" customWidth="1"/>
    <col min="5390" max="5391" width="9.28515625" style="125" customWidth="1"/>
    <col min="5392" max="5392" width="10.5703125" style="125" bestFit="1" customWidth="1"/>
    <col min="5393" max="5393" width="14.5703125" style="125" customWidth="1"/>
    <col min="5394" max="5395" width="9.140625" style="125" customWidth="1"/>
    <col min="5396" max="5633" width="9.140625" style="125"/>
    <col min="5634" max="5634" width="32" style="125" customWidth="1"/>
    <col min="5635" max="5635" width="7.28515625" style="125" customWidth="1"/>
    <col min="5636" max="5636" width="7.42578125" style="125" customWidth="1"/>
    <col min="5637" max="5637" width="7" style="125" customWidth="1"/>
    <col min="5638" max="5638" width="7.140625" style="125" customWidth="1"/>
    <col min="5639" max="5639" width="7" style="125" customWidth="1"/>
    <col min="5640" max="5640" width="6.85546875" style="125" customWidth="1"/>
    <col min="5641" max="5641" width="7.42578125" style="125" customWidth="1"/>
    <col min="5642" max="5642" width="7.5703125" style="125" customWidth="1"/>
    <col min="5643" max="5643" width="8" style="125" customWidth="1"/>
    <col min="5644" max="5645" width="9.42578125" style="125" customWidth="1"/>
    <col min="5646" max="5647" width="9.28515625" style="125" customWidth="1"/>
    <col min="5648" max="5648" width="10.5703125" style="125" bestFit="1" customWidth="1"/>
    <col min="5649" max="5649" width="14.5703125" style="125" customWidth="1"/>
    <col min="5650" max="5651" width="9.140625" style="125" customWidth="1"/>
    <col min="5652" max="5889" width="9.140625" style="125"/>
    <col min="5890" max="5890" width="32" style="125" customWidth="1"/>
    <col min="5891" max="5891" width="7.28515625" style="125" customWidth="1"/>
    <col min="5892" max="5892" width="7.42578125" style="125" customWidth="1"/>
    <col min="5893" max="5893" width="7" style="125" customWidth="1"/>
    <col min="5894" max="5894" width="7.140625" style="125" customWidth="1"/>
    <col min="5895" max="5895" width="7" style="125" customWidth="1"/>
    <col min="5896" max="5896" width="6.85546875" style="125" customWidth="1"/>
    <col min="5897" max="5897" width="7.42578125" style="125" customWidth="1"/>
    <col min="5898" max="5898" width="7.5703125" style="125" customWidth="1"/>
    <col min="5899" max="5899" width="8" style="125" customWidth="1"/>
    <col min="5900" max="5901" width="9.42578125" style="125" customWidth="1"/>
    <col min="5902" max="5903" width="9.28515625" style="125" customWidth="1"/>
    <col min="5904" max="5904" width="10.5703125" style="125" bestFit="1" customWidth="1"/>
    <col min="5905" max="5905" width="14.5703125" style="125" customWidth="1"/>
    <col min="5906" max="5907" width="9.140625" style="125" customWidth="1"/>
    <col min="5908" max="6145" width="9.140625" style="125"/>
    <col min="6146" max="6146" width="32" style="125" customWidth="1"/>
    <col min="6147" max="6147" width="7.28515625" style="125" customWidth="1"/>
    <col min="6148" max="6148" width="7.42578125" style="125" customWidth="1"/>
    <col min="6149" max="6149" width="7" style="125" customWidth="1"/>
    <col min="6150" max="6150" width="7.140625" style="125" customWidth="1"/>
    <col min="6151" max="6151" width="7" style="125" customWidth="1"/>
    <col min="6152" max="6152" width="6.85546875" style="125" customWidth="1"/>
    <col min="6153" max="6153" width="7.42578125" style="125" customWidth="1"/>
    <col min="6154" max="6154" width="7.5703125" style="125" customWidth="1"/>
    <col min="6155" max="6155" width="8" style="125" customWidth="1"/>
    <col min="6156" max="6157" width="9.42578125" style="125" customWidth="1"/>
    <col min="6158" max="6159" width="9.28515625" style="125" customWidth="1"/>
    <col min="6160" max="6160" width="10.5703125" style="125" bestFit="1" customWidth="1"/>
    <col min="6161" max="6161" width="14.5703125" style="125" customWidth="1"/>
    <col min="6162" max="6163" width="9.140625" style="125" customWidth="1"/>
    <col min="6164" max="6401" width="9.140625" style="125"/>
    <col min="6402" max="6402" width="32" style="125" customWidth="1"/>
    <col min="6403" max="6403" width="7.28515625" style="125" customWidth="1"/>
    <col min="6404" max="6404" width="7.42578125" style="125" customWidth="1"/>
    <col min="6405" max="6405" width="7" style="125" customWidth="1"/>
    <col min="6406" max="6406" width="7.140625" style="125" customWidth="1"/>
    <col min="6407" max="6407" width="7" style="125" customWidth="1"/>
    <col min="6408" max="6408" width="6.85546875" style="125" customWidth="1"/>
    <col min="6409" max="6409" width="7.42578125" style="125" customWidth="1"/>
    <col min="6410" max="6410" width="7.5703125" style="125" customWidth="1"/>
    <col min="6411" max="6411" width="8" style="125" customWidth="1"/>
    <col min="6412" max="6413" width="9.42578125" style="125" customWidth="1"/>
    <col min="6414" max="6415" width="9.28515625" style="125" customWidth="1"/>
    <col min="6416" max="6416" width="10.5703125" style="125" bestFit="1" customWidth="1"/>
    <col min="6417" max="6417" width="14.5703125" style="125" customWidth="1"/>
    <col min="6418" max="6419" width="9.140625" style="125" customWidth="1"/>
    <col min="6420" max="6657" width="9.140625" style="125"/>
    <col min="6658" max="6658" width="32" style="125" customWidth="1"/>
    <col min="6659" max="6659" width="7.28515625" style="125" customWidth="1"/>
    <col min="6660" max="6660" width="7.42578125" style="125" customWidth="1"/>
    <col min="6661" max="6661" width="7" style="125" customWidth="1"/>
    <col min="6662" max="6662" width="7.140625" style="125" customWidth="1"/>
    <col min="6663" max="6663" width="7" style="125" customWidth="1"/>
    <col min="6664" max="6664" width="6.85546875" style="125" customWidth="1"/>
    <col min="6665" max="6665" width="7.42578125" style="125" customWidth="1"/>
    <col min="6666" max="6666" width="7.5703125" style="125" customWidth="1"/>
    <col min="6667" max="6667" width="8" style="125" customWidth="1"/>
    <col min="6668" max="6669" width="9.42578125" style="125" customWidth="1"/>
    <col min="6670" max="6671" width="9.28515625" style="125" customWidth="1"/>
    <col min="6672" max="6672" width="10.5703125" style="125" bestFit="1" customWidth="1"/>
    <col min="6673" max="6673" width="14.5703125" style="125" customWidth="1"/>
    <col min="6674" max="6675" width="9.140625" style="125" customWidth="1"/>
    <col min="6676" max="6913" width="9.140625" style="125"/>
    <col min="6914" max="6914" width="32" style="125" customWidth="1"/>
    <col min="6915" max="6915" width="7.28515625" style="125" customWidth="1"/>
    <col min="6916" max="6916" width="7.42578125" style="125" customWidth="1"/>
    <col min="6917" max="6917" width="7" style="125" customWidth="1"/>
    <col min="6918" max="6918" width="7.140625" style="125" customWidth="1"/>
    <col min="6919" max="6919" width="7" style="125" customWidth="1"/>
    <col min="6920" max="6920" width="6.85546875" style="125" customWidth="1"/>
    <col min="6921" max="6921" width="7.42578125" style="125" customWidth="1"/>
    <col min="6922" max="6922" width="7.5703125" style="125" customWidth="1"/>
    <col min="6923" max="6923" width="8" style="125" customWidth="1"/>
    <col min="6924" max="6925" width="9.42578125" style="125" customWidth="1"/>
    <col min="6926" max="6927" width="9.28515625" style="125" customWidth="1"/>
    <col min="6928" max="6928" width="10.5703125" style="125" bestFit="1" customWidth="1"/>
    <col min="6929" max="6929" width="14.5703125" style="125" customWidth="1"/>
    <col min="6930" max="6931" width="9.140625" style="125" customWidth="1"/>
    <col min="6932" max="7169" width="9.140625" style="125"/>
    <col min="7170" max="7170" width="32" style="125" customWidth="1"/>
    <col min="7171" max="7171" width="7.28515625" style="125" customWidth="1"/>
    <col min="7172" max="7172" width="7.42578125" style="125" customWidth="1"/>
    <col min="7173" max="7173" width="7" style="125" customWidth="1"/>
    <col min="7174" max="7174" width="7.140625" style="125" customWidth="1"/>
    <col min="7175" max="7175" width="7" style="125" customWidth="1"/>
    <col min="7176" max="7176" width="6.85546875" style="125" customWidth="1"/>
    <col min="7177" max="7177" width="7.42578125" style="125" customWidth="1"/>
    <col min="7178" max="7178" width="7.5703125" style="125" customWidth="1"/>
    <col min="7179" max="7179" width="8" style="125" customWidth="1"/>
    <col min="7180" max="7181" width="9.42578125" style="125" customWidth="1"/>
    <col min="7182" max="7183" width="9.28515625" style="125" customWidth="1"/>
    <col min="7184" max="7184" width="10.5703125" style="125" bestFit="1" customWidth="1"/>
    <col min="7185" max="7185" width="14.5703125" style="125" customWidth="1"/>
    <col min="7186" max="7187" width="9.140625" style="125" customWidth="1"/>
    <col min="7188" max="7425" width="9.140625" style="125"/>
    <col min="7426" max="7426" width="32" style="125" customWidth="1"/>
    <col min="7427" max="7427" width="7.28515625" style="125" customWidth="1"/>
    <col min="7428" max="7428" width="7.42578125" style="125" customWidth="1"/>
    <col min="7429" max="7429" width="7" style="125" customWidth="1"/>
    <col min="7430" max="7430" width="7.140625" style="125" customWidth="1"/>
    <col min="7431" max="7431" width="7" style="125" customWidth="1"/>
    <col min="7432" max="7432" width="6.85546875" style="125" customWidth="1"/>
    <col min="7433" max="7433" width="7.42578125" style="125" customWidth="1"/>
    <col min="7434" max="7434" width="7.5703125" style="125" customWidth="1"/>
    <col min="7435" max="7435" width="8" style="125" customWidth="1"/>
    <col min="7436" max="7437" width="9.42578125" style="125" customWidth="1"/>
    <col min="7438" max="7439" width="9.28515625" style="125" customWidth="1"/>
    <col min="7440" max="7440" width="10.5703125" style="125" bestFit="1" customWidth="1"/>
    <col min="7441" max="7441" width="14.5703125" style="125" customWidth="1"/>
    <col min="7442" max="7443" width="9.140625" style="125" customWidth="1"/>
    <col min="7444" max="7681" width="9.140625" style="125"/>
    <col min="7682" max="7682" width="32" style="125" customWidth="1"/>
    <col min="7683" max="7683" width="7.28515625" style="125" customWidth="1"/>
    <col min="7684" max="7684" width="7.42578125" style="125" customWidth="1"/>
    <col min="7685" max="7685" width="7" style="125" customWidth="1"/>
    <col min="7686" max="7686" width="7.140625" style="125" customWidth="1"/>
    <col min="7687" max="7687" width="7" style="125" customWidth="1"/>
    <col min="7688" max="7688" width="6.85546875" style="125" customWidth="1"/>
    <col min="7689" max="7689" width="7.42578125" style="125" customWidth="1"/>
    <col min="7690" max="7690" width="7.5703125" style="125" customWidth="1"/>
    <col min="7691" max="7691" width="8" style="125" customWidth="1"/>
    <col min="7692" max="7693" width="9.42578125" style="125" customWidth="1"/>
    <col min="7694" max="7695" width="9.28515625" style="125" customWidth="1"/>
    <col min="7696" max="7696" width="10.5703125" style="125" bestFit="1" customWidth="1"/>
    <col min="7697" max="7697" width="14.5703125" style="125" customWidth="1"/>
    <col min="7698" max="7699" width="9.140625" style="125" customWidth="1"/>
    <col min="7700" max="7937" width="9.140625" style="125"/>
    <col min="7938" max="7938" width="32" style="125" customWidth="1"/>
    <col min="7939" max="7939" width="7.28515625" style="125" customWidth="1"/>
    <col min="7940" max="7940" width="7.42578125" style="125" customWidth="1"/>
    <col min="7941" max="7941" width="7" style="125" customWidth="1"/>
    <col min="7942" max="7942" width="7.140625" style="125" customWidth="1"/>
    <col min="7943" max="7943" width="7" style="125" customWidth="1"/>
    <col min="7944" max="7944" width="6.85546875" style="125" customWidth="1"/>
    <col min="7945" max="7945" width="7.42578125" style="125" customWidth="1"/>
    <col min="7946" max="7946" width="7.5703125" style="125" customWidth="1"/>
    <col min="7947" max="7947" width="8" style="125" customWidth="1"/>
    <col min="7948" max="7949" width="9.42578125" style="125" customWidth="1"/>
    <col min="7950" max="7951" width="9.28515625" style="125" customWidth="1"/>
    <col min="7952" max="7952" width="10.5703125" style="125" bestFit="1" customWidth="1"/>
    <col min="7953" max="7953" width="14.5703125" style="125" customWidth="1"/>
    <col min="7954" max="7955" width="9.140625" style="125" customWidth="1"/>
    <col min="7956" max="8193" width="9.140625" style="125"/>
    <col min="8194" max="8194" width="32" style="125" customWidth="1"/>
    <col min="8195" max="8195" width="7.28515625" style="125" customWidth="1"/>
    <col min="8196" max="8196" width="7.42578125" style="125" customWidth="1"/>
    <col min="8197" max="8197" width="7" style="125" customWidth="1"/>
    <col min="8198" max="8198" width="7.140625" style="125" customWidth="1"/>
    <col min="8199" max="8199" width="7" style="125" customWidth="1"/>
    <col min="8200" max="8200" width="6.85546875" style="125" customWidth="1"/>
    <col min="8201" max="8201" width="7.42578125" style="125" customWidth="1"/>
    <col min="8202" max="8202" width="7.5703125" style="125" customWidth="1"/>
    <col min="8203" max="8203" width="8" style="125" customWidth="1"/>
    <col min="8204" max="8205" width="9.42578125" style="125" customWidth="1"/>
    <col min="8206" max="8207" width="9.28515625" style="125" customWidth="1"/>
    <col min="8208" max="8208" width="10.5703125" style="125" bestFit="1" customWidth="1"/>
    <col min="8209" max="8209" width="14.5703125" style="125" customWidth="1"/>
    <col min="8210" max="8211" width="9.140625" style="125" customWidth="1"/>
    <col min="8212" max="8449" width="9.140625" style="125"/>
    <col min="8450" max="8450" width="32" style="125" customWidth="1"/>
    <col min="8451" max="8451" width="7.28515625" style="125" customWidth="1"/>
    <col min="8452" max="8452" width="7.42578125" style="125" customWidth="1"/>
    <col min="8453" max="8453" width="7" style="125" customWidth="1"/>
    <col min="8454" max="8454" width="7.140625" style="125" customWidth="1"/>
    <col min="8455" max="8455" width="7" style="125" customWidth="1"/>
    <col min="8456" max="8456" width="6.85546875" style="125" customWidth="1"/>
    <col min="8457" max="8457" width="7.42578125" style="125" customWidth="1"/>
    <col min="8458" max="8458" width="7.5703125" style="125" customWidth="1"/>
    <col min="8459" max="8459" width="8" style="125" customWidth="1"/>
    <col min="8460" max="8461" width="9.42578125" style="125" customWidth="1"/>
    <col min="8462" max="8463" width="9.28515625" style="125" customWidth="1"/>
    <col min="8464" max="8464" width="10.5703125" style="125" bestFit="1" customWidth="1"/>
    <col min="8465" max="8465" width="14.5703125" style="125" customWidth="1"/>
    <col min="8466" max="8467" width="9.140625" style="125" customWidth="1"/>
    <col min="8468" max="8705" width="9.140625" style="125"/>
    <col min="8706" max="8706" width="32" style="125" customWidth="1"/>
    <col min="8707" max="8707" width="7.28515625" style="125" customWidth="1"/>
    <col min="8708" max="8708" width="7.42578125" style="125" customWidth="1"/>
    <col min="8709" max="8709" width="7" style="125" customWidth="1"/>
    <col min="8710" max="8710" width="7.140625" style="125" customWidth="1"/>
    <col min="8711" max="8711" width="7" style="125" customWidth="1"/>
    <col min="8712" max="8712" width="6.85546875" style="125" customWidth="1"/>
    <col min="8713" max="8713" width="7.42578125" style="125" customWidth="1"/>
    <col min="8714" max="8714" width="7.5703125" style="125" customWidth="1"/>
    <col min="8715" max="8715" width="8" style="125" customWidth="1"/>
    <col min="8716" max="8717" width="9.42578125" style="125" customWidth="1"/>
    <col min="8718" max="8719" width="9.28515625" style="125" customWidth="1"/>
    <col min="8720" max="8720" width="10.5703125" style="125" bestFit="1" customWidth="1"/>
    <col min="8721" max="8721" width="14.5703125" style="125" customWidth="1"/>
    <col min="8722" max="8723" width="9.140625" style="125" customWidth="1"/>
    <col min="8724" max="8961" width="9.140625" style="125"/>
    <col min="8962" max="8962" width="32" style="125" customWidth="1"/>
    <col min="8963" max="8963" width="7.28515625" style="125" customWidth="1"/>
    <col min="8964" max="8964" width="7.42578125" style="125" customWidth="1"/>
    <col min="8965" max="8965" width="7" style="125" customWidth="1"/>
    <col min="8966" max="8966" width="7.140625" style="125" customWidth="1"/>
    <col min="8967" max="8967" width="7" style="125" customWidth="1"/>
    <col min="8968" max="8968" width="6.85546875" style="125" customWidth="1"/>
    <col min="8969" max="8969" width="7.42578125" style="125" customWidth="1"/>
    <col min="8970" max="8970" width="7.5703125" style="125" customWidth="1"/>
    <col min="8971" max="8971" width="8" style="125" customWidth="1"/>
    <col min="8972" max="8973" width="9.42578125" style="125" customWidth="1"/>
    <col min="8974" max="8975" width="9.28515625" style="125" customWidth="1"/>
    <col min="8976" max="8976" width="10.5703125" style="125" bestFit="1" customWidth="1"/>
    <col min="8977" max="8977" width="14.5703125" style="125" customWidth="1"/>
    <col min="8978" max="8979" width="9.140625" style="125" customWidth="1"/>
    <col min="8980" max="9217" width="9.140625" style="125"/>
    <col min="9218" max="9218" width="32" style="125" customWidth="1"/>
    <col min="9219" max="9219" width="7.28515625" style="125" customWidth="1"/>
    <col min="9220" max="9220" width="7.42578125" style="125" customWidth="1"/>
    <col min="9221" max="9221" width="7" style="125" customWidth="1"/>
    <col min="9222" max="9222" width="7.140625" style="125" customWidth="1"/>
    <col min="9223" max="9223" width="7" style="125" customWidth="1"/>
    <col min="9224" max="9224" width="6.85546875" style="125" customWidth="1"/>
    <col min="9225" max="9225" width="7.42578125" style="125" customWidth="1"/>
    <col min="9226" max="9226" width="7.5703125" style="125" customWidth="1"/>
    <col min="9227" max="9227" width="8" style="125" customWidth="1"/>
    <col min="9228" max="9229" width="9.42578125" style="125" customWidth="1"/>
    <col min="9230" max="9231" width="9.28515625" style="125" customWidth="1"/>
    <col min="9232" max="9232" width="10.5703125" style="125" bestFit="1" customWidth="1"/>
    <col min="9233" max="9233" width="14.5703125" style="125" customWidth="1"/>
    <col min="9234" max="9235" width="9.140625" style="125" customWidth="1"/>
    <col min="9236" max="9473" width="9.140625" style="125"/>
    <col min="9474" max="9474" width="32" style="125" customWidth="1"/>
    <col min="9475" max="9475" width="7.28515625" style="125" customWidth="1"/>
    <col min="9476" max="9476" width="7.42578125" style="125" customWidth="1"/>
    <col min="9477" max="9477" width="7" style="125" customWidth="1"/>
    <col min="9478" max="9478" width="7.140625" style="125" customWidth="1"/>
    <col min="9479" max="9479" width="7" style="125" customWidth="1"/>
    <col min="9480" max="9480" width="6.85546875" style="125" customWidth="1"/>
    <col min="9481" max="9481" width="7.42578125" style="125" customWidth="1"/>
    <col min="9482" max="9482" width="7.5703125" style="125" customWidth="1"/>
    <col min="9483" max="9483" width="8" style="125" customWidth="1"/>
    <col min="9484" max="9485" width="9.42578125" style="125" customWidth="1"/>
    <col min="9486" max="9487" width="9.28515625" style="125" customWidth="1"/>
    <col min="9488" max="9488" width="10.5703125" style="125" bestFit="1" customWidth="1"/>
    <col min="9489" max="9489" width="14.5703125" style="125" customWidth="1"/>
    <col min="9490" max="9491" width="9.140625" style="125" customWidth="1"/>
    <col min="9492" max="9729" width="9.140625" style="125"/>
    <col min="9730" max="9730" width="32" style="125" customWidth="1"/>
    <col min="9731" max="9731" width="7.28515625" style="125" customWidth="1"/>
    <col min="9732" max="9732" width="7.42578125" style="125" customWidth="1"/>
    <col min="9733" max="9733" width="7" style="125" customWidth="1"/>
    <col min="9734" max="9734" width="7.140625" style="125" customWidth="1"/>
    <col min="9735" max="9735" width="7" style="125" customWidth="1"/>
    <col min="9736" max="9736" width="6.85546875" style="125" customWidth="1"/>
    <col min="9737" max="9737" width="7.42578125" style="125" customWidth="1"/>
    <col min="9738" max="9738" width="7.5703125" style="125" customWidth="1"/>
    <col min="9739" max="9739" width="8" style="125" customWidth="1"/>
    <col min="9740" max="9741" width="9.42578125" style="125" customWidth="1"/>
    <col min="9742" max="9743" width="9.28515625" style="125" customWidth="1"/>
    <col min="9744" max="9744" width="10.5703125" style="125" bestFit="1" customWidth="1"/>
    <col min="9745" max="9745" width="14.5703125" style="125" customWidth="1"/>
    <col min="9746" max="9747" width="9.140625" style="125" customWidth="1"/>
    <col min="9748" max="9985" width="9.140625" style="125"/>
    <col min="9986" max="9986" width="32" style="125" customWidth="1"/>
    <col min="9987" max="9987" width="7.28515625" style="125" customWidth="1"/>
    <col min="9988" max="9988" width="7.42578125" style="125" customWidth="1"/>
    <col min="9989" max="9989" width="7" style="125" customWidth="1"/>
    <col min="9990" max="9990" width="7.140625" style="125" customWidth="1"/>
    <col min="9991" max="9991" width="7" style="125" customWidth="1"/>
    <col min="9992" max="9992" width="6.85546875" style="125" customWidth="1"/>
    <col min="9993" max="9993" width="7.42578125" style="125" customWidth="1"/>
    <col min="9994" max="9994" width="7.5703125" style="125" customWidth="1"/>
    <col min="9995" max="9995" width="8" style="125" customWidth="1"/>
    <col min="9996" max="9997" width="9.42578125" style="125" customWidth="1"/>
    <col min="9998" max="9999" width="9.28515625" style="125" customWidth="1"/>
    <col min="10000" max="10000" width="10.5703125" style="125" bestFit="1" customWidth="1"/>
    <col min="10001" max="10001" width="14.5703125" style="125" customWidth="1"/>
    <col min="10002" max="10003" width="9.140625" style="125" customWidth="1"/>
    <col min="10004" max="10241" width="9.140625" style="125"/>
    <col min="10242" max="10242" width="32" style="125" customWidth="1"/>
    <col min="10243" max="10243" width="7.28515625" style="125" customWidth="1"/>
    <col min="10244" max="10244" width="7.42578125" style="125" customWidth="1"/>
    <col min="10245" max="10245" width="7" style="125" customWidth="1"/>
    <col min="10246" max="10246" width="7.140625" style="125" customWidth="1"/>
    <col min="10247" max="10247" width="7" style="125" customWidth="1"/>
    <col min="10248" max="10248" width="6.85546875" style="125" customWidth="1"/>
    <col min="10249" max="10249" width="7.42578125" style="125" customWidth="1"/>
    <col min="10250" max="10250" width="7.5703125" style="125" customWidth="1"/>
    <col min="10251" max="10251" width="8" style="125" customWidth="1"/>
    <col min="10252" max="10253" width="9.42578125" style="125" customWidth="1"/>
    <col min="10254" max="10255" width="9.28515625" style="125" customWidth="1"/>
    <col min="10256" max="10256" width="10.5703125" style="125" bestFit="1" customWidth="1"/>
    <col min="10257" max="10257" width="14.5703125" style="125" customWidth="1"/>
    <col min="10258" max="10259" width="9.140625" style="125" customWidth="1"/>
    <col min="10260" max="10497" width="9.140625" style="125"/>
    <col min="10498" max="10498" width="32" style="125" customWidth="1"/>
    <col min="10499" max="10499" width="7.28515625" style="125" customWidth="1"/>
    <col min="10500" max="10500" width="7.42578125" style="125" customWidth="1"/>
    <col min="10501" max="10501" width="7" style="125" customWidth="1"/>
    <col min="10502" max="10502" width="7.140625" style="125" customWidth="1"/>
    <col min="10503" max="10503" width="7" style="125" customWidth="1"/>
    <col min="10504" max="10504" width="6.85546875" style="125" customWidth="1"/>
    <col min="10505" max="10505" width="7.42578125" style="125" customWidth="1"/>
    <col min="10506" max="10506" width="7.5703125" style="125" customWidth="1"/>
    <col min="10507" max="10507" width="8" style="125" customWidth="1"/>
    <col min="10508" max="10509" width="9.42578125" style="125" customWidth="1"/>
    <col min="10510" max="10511" width="9.28515625" style="125" customWidth="1"/>
    <col min="10512" max="10512" width="10.5703125" style="125" bestFit="1" customWidth="1"/>
    <col min="10513" max="10513" width="14.5703125" style="125" customWidth="1"/>
    <col min="10514" max="10515" width="9.140625" style="125" customWidth="1"/>
    <col min="10516" max="10753" width="9.140625" style="125"/>
    <col min="10754" max="10754" width="32" style="125" customWidth="1"/>
    <col min="10755" max="10755" width="7.28515625" style="125" customWidth="1"/>
    <col min="10756" max="10756" width="7.42578125" style="125" customWidth="1"/>
    <col min="10757" max="10757" width="7" style="125" customWidth="1"/>
    <col min="10758" max="10758" width="7.140625" style="125" customWidth="1"/>
    <col min="10759" max="10759" width="7" style="125" customWidth="1"/>
    <col min="10760" max="10760" width="6.85546875" style="125" customWidth="1"/>
    <col min="10761" max="10761" width="7.42578125" style="125" customWidth="1"/>
    <col min="10762" max="10762" width="7.5703125" style="125" customWidth="1"/>
    <col min="10763" max="10763" width="8" style="125" customWidth="1"/>
    <col min="10764" max="10765" width="9.42578125" style="125" customWidth="1"/>
    <col min="10766" max="10767" width="9.28515625" style="125" customWidth="1"/>
    <col min="10768" max="10768" width="10.5703125" style="125" bestFit="1" customWidth="1"/>
    <col min="10769" max="10769" width="14.5703125" style="125" customWidth="1"/>
    <col min="10770" max="10771" width="9.140625" style="125" customWidth="1"/>
    <col min="10772" max="11009" width="9.140625" style="125"/>
    <col min="11010" max="11010" width="32" style="125" customWidth="1"/>
    <col min="11011" max="11011" width="7.28515625" style="125" customWidth="1"/>
    <col min="11012" max="11012" width="7.42578125" style="125" customWidth="1"/>
    <col min="11013" max="11013" width="7" style="125" customWidth="1"/>
    <col min="11014" max="11014" width="7.140625" style="125" customWidth="1"/>
    <col min="11015" max="11015" width="7" style="125" customWidth="1"/>
    <col min="11016" max="11016" width="6.85546875" style="125" customWidth="1"/>
    <col min="11017" max="11017" width="7.42578125" style="125" customWidth="1"/>
    <col min="11018" max="11018" width="7.5703125" style="125" customWidth="1"/>
    <col min="11019" max="11019" width="8" style="125" customWidth="1"/>
    <col min="11020" max="11021" width="9.42578125" style="125" customWidth="1"/>
    <col min="11022" max="11023" width="9.28515625" style="125" customWidth="1"/>
    <col min="11024" max="11024" width="10.5703125" style="125" bestFit="1" customWidth="1"/>
    <col min="11025" max="11025" width="14.5703125" style="125" customWidth="1"/>
    <col min="11026" max="11027" width="9.140625" style="125" customWidth="1"/>
    <col min="11028" max="11265" width="9.140625" style="125"/>
    <col min="11266" max="11266" width="32" style="125" customWidth="1"/>
    <col min="11267" max="11267" width="7.28515625" style="125" customWidth="1"/>
    <col min="11268" max="11268" width="7.42578125" style="125" customWidth="1"/>
    <col min="11269" max="11269" width="7" style="125" customWidth="1"/>
    <col min="11270" max="11270" width="7.140625" style="125" customWidth="1"/>
    <col min="11271" max="11271" width="7" style="125" customWidth="1"/>
    <col min="11272" max="11272" width="6.85546875" style="125" customWidth="1"/>
    <col min="11273" max="11273" width="7.42578125" style="125" customWidth="1"/>
    <col min="11274" max="11274" width="7.5703125" style="125" customWidth="1"/>
    <col min="11275" max="11275" width="8" style="125" customWidth="1"/>
    <col min="11276" max="11277" width="9.42578125" style="125" customWidth="1"/>
    <col min="11278" max="11279" width="9.28515625" style="125" customWidth="1"/>
    <col min="11280" max="11280" width="10.5703125" style="125" bestFit="1" customWidth="1"/>
    <col min="11281" max="11281" width="14.5703125" style="125" customWidth="1"/>
    <col min="11282" max="11283" width="9.140625" style="125" customWidth="1"/>
    <col min="11284" max="11521" width="9.140625" style="125"/>
    <col min="11522" max="11522" width="32" style="125" customWidth="1"/>
    <col min="11523" max="11523" width="7.28515625" style="125" customWidth="1"/>
    <col min="11524" max="11524" width="7.42578125" style="125" customWidth="1"/>
    <col min="11525" max="11525" width="7" style="125" customWidth="1"/>
    <col min="11526" max="11526" width="7.140625" style="125" customWidth="1"/>
    <col min="11527" max="11527" width="7" style="125" customWidth="1"/>
    <col min="11528" max="11528" width="6.85546875" style="125" customWidth="1"/>
    <col min="11529" max="11529" width="7.42578125" style="125" customWidth="1"/>
    <col min="11530" max="11530" width="7.5703125" style="125" customWidth="1"/>
    <col min="11531" max="11531" width="8" style="125" customWidth="1"/>
    <col min="11532" max="11533" width="9.42578125" style="125" customWidth="1"/>
    <col min="11534" max="11535" width="9.28515625" style="125" customWidth="1"/>
    <col min="11536" max="11536" width="10.5703125" style="125" bestFit="1" customWidth="1"/>
    <col min="11537" max="11537" width="14.5703125" style="125" customWidth="1"/>
    <col min="11538" max="11539" width="9.140625" style="125" customWidth="1"/>
    <col min="11540" max="11777" width="9.140625" style="125"/>
    <col min="11778" max="11778" width="32" style="125" customWidth="1"/>
    <col min="11779" max="11779" width="7.28515625" style="125" customWidth="1"/>
    <col min="11780" max="11780" width="7.42578125" style="125" customWidth="1"/>
    <col min="11781" max="11781" width="7" style="125" customWidth="1"/>
    <col min="11782" max="11782" width="7.140625" style="125" customWidth="1"/>
    <col min="11783" max="11783" width="7" style="125" customWidth="1"/>
    <col min="11784" max="11784" width="6.85546875" style="125" customWidth="1"/>
    <col min="11785" max="11785" width="7.42578125" style="125" customWidth="1"/>
    <col min="11786" max="11786" width="7.5703125" style="125" customWidth="1"/>
    <col min="11787" max="11787" width="8" style="125" customWidth="1"/>
    <col min="11788" max="11789" width="9.42578125" style="125" customWidth="1"/>
    <col min="11790" max="11791" width="9.28515625" style="125" customWidth="1"/>
    <col min="11792" max="11792" width="10.5703125" style="125" bestFit="1" customWidth="1"/>
    <col min="11793" max="11793" width="14.5703125" style="125" customWidth="1"/>
    <col min="11794" max="11795" width="9.140625" style="125" customWidth="1"/>
    <col min="11796" max="12033" width="9.140625" style="125"/>
    <col min="12034" max="12034" width="32" style="125" customWidth="1"/>
    <col min="12035" max="12035" width="7.28515625" style="125" customWidth="1"/>
    <col min="12036" max="12036" width="7.42578125" style="125" customWidth="1"/>
    <col min="12037" max="12037" width="7" style="125" customWidth="1"/>
    <col min="12038" max="12038" width="7.140625" style="125" customWidth="1"/>
    <col min="12039" max="12039" width="7" style="125" customWidth="1"/>
    <col min="12040" max="12040" width="6.85546875" style="125" customWidth="1"/>
    <col min="12041" max="12041" width="7.42578125" style="125" customWidth="1"/>
    <col min="12042" max="12042" width="7.5703125" style="125" customWidth="1"/>
    <col min="12043" max="12043" width="8" style="125" customWidth="1"/>
    <col min="12044" max="12045" width="9.42578125" style="125" customWidth="1"/>
    <col min="12046" max="12047" width="9.28515625" style="125" customWidth="1"/>
    <col min="12048" max="12048" width="10.5703125" style="125" bestFit="1" customWidth="1"/>
    <col min="12049" max="12049" width="14.5703125" style="125" customWidth="1"/>
    <col min="12050" max="12051" width="9.140625" style="125" customWidth="1"/>
    <col min="12052" max="12289" width="9.140625" style="125"/>
    <col min="12290" max="12290" width="32" style="125" customWidth="1"/>
    <col min="12291" max="12291" width="7.28515625" style="125" customWidth="1"/>
    <col min="12292" max="12292" width="7.42578125" style="125" customWidth="1"/>
    <col min="12293" max="12293" width="7" style="125" customWidth="1"/>
    <col min="12294" max="12294" width="7.140625" style="125" customWidth="1"/>
    <col min="12295" max="12295" width="7" style="125" customWidth="1"/>
    <col min="12296" max="12296" width="6.85546875" style="125" customWidth="1"/>
    <col min="12297" max="12297" width="7.42578125" style="125" customWidth="1"/>
    <col min="12298" max="12298" width="7.5703125" style="125" customWidth="1"/>
    <col min="12299" max="12299" width="8" style="125" customWidth="1"/>
    <col min="12300" max="12301" width="9.42578125" style="125" customWidth="1"/>
    <col min="12302" max="12303" width="9.28515625" style="125" customWidth="1"/>
    <col min="12304" max="12304" width="10.5703125" style="125" bestFit="1" customWidth="1"/>
    <col min="12305" max="12305" width="14.5703125" style="125" customWidth="1"/>
    <col min="12306" max="12307" width="9.140625" style="125" customWidth="1"/>
    <col min="12308" max="12545" width="9.140625" style="125"/>
    <col min="12546" max="12546" width="32" style="125" customWidth="1"/>
    <col min="12547" max="12547" width="7.28515625" style="125" customWidth="1"/>
    <col min="12548" max="12548" width="7.42578125" style="125" customWidth="1"/>
    <col min="12549" max="12549" width="7" style="125" customWidth="1"/>
    <col min="12550" max="12550" width="7.140625" style="125" customWidth="1"/>
    <col min="12551" max="12551" width="7" style="125" customWidth="1"/>
    <col min="12552" max="12552" width="6.85546875" style="125" customWidth="1"/>
    <col min="12553" max="12553" width="7.42578125" style="125" customWidth="1"/>
    <col min="12554" max="12554" width="7.5703125" style="125" customWidth="1"/>
    <col min="12555" max="12555" width="8" style="125" customWidth="1"/>
    <col min="12556" max="12557" width="9.42578125" style="125" customWidth="1"/>
    <col min="12558" max="12559" width="9.28515625" style="125" customWidth="1"/>
    <col min="12560" max="12560" width="10.5703125" style="125" bestFit="1" customWidth="1"/>
    <col min="12561" max="12561" width="14.5703125" style="125" customWidth="1"/>
    <col min="12562" max="12563" width="9.140625" style="125" customWidth="1"/>
    <col min="12564" max="12801" width="9.140625" style="125"/>
    <col min="12802" max="12802" width="32" style="125" customWidth="1"/>
    <col min="12803" max="12803" width="7.28515625" style="125" customWidth="1"/>
    <col min="12804" max="12804" width="7.42578125" style="125" customWidth="1"/>
    <col min="12805" max="12805" width="7" style="125" customWidth="1"/>
    <col min="12806" max="12806" width="7.140625" style="125" customWidth="1"/>
    <col min="12807" max="12807" width="7" style="125" customWidth="1"/>
    <col min="12808" max="12808" width="6.85546875" style="125" customWidth="1"/>
    <col min="12809" max="12809" width="7.42578125" style="125" customWidth="1"/>
    <col min="12810" max="12810" width="7.5703125" style="125" customWidth="1"/>
    <col min="12811" max="12811" width="8" style="125" customWidth="1"/>
    <col min="12812" max="12813" width="9.42578125" style="125" customWidth="1"/>
    <col min="12814" max="12815" width="9.28515625" style="125" customWidth="1"/>
    <col min="12816" max="12816" width="10.5703125" style="125" bestFit="1" customWidth="1"/>
    <col min="12817" max="12817" width="14.5703125" style="125" customWidth="1"/>
    <col min="12818" max="12819" width="9.140625" style="125" customWidth="1"/>
    <col min="12820" max="13057" width="9.140625" style="125"/>
    <col min="13058" max="13058" width="32" style="125" customWidth="1"/>
    <col min="13059" max="13059" width="7.28515625" style="125" customWidth="1"/>
    <col min="13060" max="13060" width="7.42578125" style="125" customWidth="1"/>
    <col min="13061" max="13061" width="7" style="125" customWidth="1"/>
    <col min="13062" max="13062" width="7.140625" style="125" customWidth="1"/>
    <col min="13063" max="13063" width="7" style="125" customWidth="1"/>
    <col min="13064" max="13064" width="6.85546875" style="125" customWidth="1"/>
    <col min="13065" max="13065" width="7.42578125" style="125" customWidth="1"/>
    <col min="13066" max="13066" width="7.5703125" style="125" customWidth="1"/>
    <col min="13067" max="13067" width="8" style="125" customWidth="1"/>
    <col min="13068" max="13069" width="9.42578125" style="125" customWidth="1"/>
    <col min="13070" max="13071" width="9.28515625" style="125" customWidth="1"/>
    <col min="13072" max="13072" width="10.5703125" style="125" bestFit="1" customWidth="1"/>
    <col min="13073" max="13073" width="14.5703125" style="125" customWidth="1"/>
    <col min="13074" max="13075" width="9.140625" style="125" customWidth="1"/>
    <col min="13076" max="13313" width="9.140625" style="125"/>
    <col min="13314" max="13314" width="32" style="125" customWidth="1"/>
    <col min="13315" max="13315" width="7.28515625" style="125" customWidth="1"/>
    <col min="13316" max="13316" width="7.42578125" style="125" customWidth="1"/>
    <col min="13317" max="13317" width="7" style="125" customWidth="1"/>
    <col min="13318" max="13318" width="7.140625" style="125" customWidth="1"/>
    <col min="13319" max="13319" width="7" style="125" customWidth="1"/>
    <col min="13320" max="13320" width="6.85546875" style="125" customWidth="1"/>
    <col min="13321" max="13321" width="7.42578125" style="125" customWidth="1"/>
    <col min="13322" max="13322" width="7.5703125" style="125" customWidth="1"/>
    <col min="13323" max="13323" width="8" style="125" customWidth="1"/>
    <col min="13324" max="13325" width="9.42578125" style="125" customWidth="1"/>
    <col min="13326" max="13327" width="9.28515625" style="125" customWidth="1"/>
    <col min="13328" max="13328" width="10.5703125" style="125" bestFit="1" customWidth="1"/>
    <col min="13329" max="13329" width="14.5703125" style="125" customWidth="1"/>
    <col min="13330" max="13331" width="9.140625" style="125" customWidth="1"/>
    <col min="13332" max="13569" width="9.140625" style="125"/>
    <col min="13570" max="13570" width="32" style="125" customWidth="1"/>
    <col min="13571" max="13571" width="7.28515625" style="125" customWidth="1"/>
    <col min="13572" max="13572" width="7.42578125" style="125" customWidth="1"/>
    <col min="13573" max="13573" width="7" style="125" customWidth="1"/>
    <col min="13574" max="13574" width="7.140625" style="125" customWidth="1"/>
    <col min="13575" max="13575" width="7" style="125" customWidth="1"/>
    <col min="13576" max="13576" width="6.85546875" style="125" customWidth="1"/>
    <col min="13577" max="13577" width="7.42578125" style="125" customWidth="1"/>
    <col min="13578" max="13578" width="7.5703125" style="125" customWidth="1"/>
    <col min="13579" max="13579" width="8" style="125" customWidth="1"/>
    <col min="13580" max="13581" width="9.42578125" style="125" customWidth="1"/>
    <col min="13582" max="13583" width="9.28515625" style="125" customWidth="1"/>
    <col min="13584" max="13584" width="10.5703125" style="125" bestFit="1" customWidth="1"/>
    <col min="13585" max="13585" width="14.5703125" style="125" customWidth="1"/>
    <col min="13586" max="13587" width="9.140625" style="125" customWidth="1"/>
    <col min="13588" max="13825" width="9.140625" style="125"/>
    <col min="13826" max="13826" width="32" style="125" customWidth="1"/>
    <col min="13827" max="13827" width="7.28515625" style="125" customWidth="1"/>
    <col min="13828" max="13828" width="7.42578125" style="125" customWidth="1"/>
    <col min="13829" max="13829" width="7" style="125" customWidth="1"/>
    <col min="13830" max="13830" width="7.140625" style="125" customWidth="1"/>
    <col min="13831" max="13831" width="7" style="125" customWidth="1"/>
    <col min="13832" max="13832" width="6.85546875" style="125" customWidth="1"/>
    <col min="13833" max="13833" width="7.42578125" style="125" customWidth="1"/>
    <col min="13834" max="13834" width="7.5703125" style="125" customWidth="1"/>
    <col min="13835" max="13835" width="8" style="125" customWidth="1"/>
    <col min="13836" max="13837" width="9.42578125" style="125" customWidth="1"/>
    <col min="13838" max="13839" width="9.28515625" style="125" customWidth="1"/>
    <col min="13840" max="13840" width="10.5703125" style="125" bestFit="1" customWidth="1"/>
    <col min="13841" max="13841" width="14.5703125" style="125" customWidth="1"/>
    <col min="13842" max="13843" width="9.140625" style="125" customWidth="1"/>
    <col min="13844" max="14081" width="9.140625" style="125"/>
    <col min="14082" max="14082" width="32" style="125" customWidth="1"/>
    <col min="14083" max="14083" width="7.28515625" style="125" customWidth="1"/>
    <col min="14084" max="14084" width="7.42578125" style="125" customWidth="1"/>
    <col min="14085" max="14085" width="7" style="125" customWidth="1"/>
    <col min="14086" max="14086" width="7.140625" style="125" customWidth="1"/>
    <col min="14087" max="14087" width="7" style="125" customWidth="1"/>
    <col min="14088" max="14088" width="6.85546875" style="125" customWidth="1"/>
    <col min="14089" max="14089" width="7.42578125" style="125" customWidth="1"/>
    <col min="14090" max="14090" width="7.5703125" style="125" customWidth="1"/>
    <col min="14091" max="14091" width="8" style="125" customWidth="1"/>
    <col min="14092" max="14093" width="9.42578125" style="125" customWidth="1"/>
    <col min="14094" max="14095" width="9.28515625" style="125" customWidth="1"/>
    <col min="14096" max="14096" width="10.5703125" style="125" bestFit="1" customWidth="1"/>
    <col min="14097" max="14097" width="14.5703125" style="125" customWidth="1"/>
    <col min="14098" max="14099" width="9.140625" style="125" customWidth="1"/>
    <col min="14100" max="14337" width="9.140625" style="125"/>
    <col min="14338" max="14338" width="32" style="125" customWidth="1"/>
    <col min="14339" max="14339" width="7.28515625" style="125" customWidth="1"/>
    <col min="14340" max="14340" width="7.42578125" style="125" customWidth="1"/>
    <col min="14341" max="14341" width="7" style="125" customWidth="1"/>
    <col min="14342" max="14342" width="7.140625" style="125" customWidth="1"/>
    <col min="14343" max="14343" width="7" style="125" customWidth="1"/>
    <col min="14344" max="14344" width="6.85546875" style="125" customWidth="1"/>
    <col min="14345" max="14345" width="7.42578125" style="125" customWidth="1"/>
    <col min="14346" max="14346" width="7.5703125" style="125" customWidth="1"/>
    <col min="14347" max="14347" width="8" style="125" customWidth="1"/>
    <col min="14348" max="14349" width="9.42578125" style="125" customWidth="1"/>
    <col min="14350" max="14351" width="9.28515625" style="125" customWidth="1"/>
    <col min="14352" max="14352" width="10.5703125" style="125" bestFit="1" customWidth="1"/>
    <col min="14353" max="14353" width="14.5703125" style="125" customWidth="1"/>
    <col min="14354" max="14355" width="9.140625" style="125" customWidth="1"/>
    <col min="14356" max="14593" width="9.140625" style="125"/>
    <col min="14594" max="14594" width="32" style="125" customWidth="1"/>
    <col min="14595" max="14595" width="7.28515625" style="125" customWidth="1"/>
    <col min="14596" max="14596" width="7.42578125" style="125" customWidth="1"/>
    <col min="14597" max="14597" width="7" style="125" customWidth="1"/>
    <col min="14598" max="14598" width="7.140625" style="125" customWidth="1"/>
    <col min="14599" max="14599" width="7" style="125" customWidth="1"/>
    <col min="14600" max="14600" width="6.85546875" style="125" customWidth="1"/>
    <col min="14601" max="14601" width="7.42578125" style="125" customWidth="1"/>
    <col min="14602" max="14602" width="7.5703125" style="125" customWidth="1"/>
    <col min="14603" max="14603" width="8" style="125" customWidth="1"/>
    <col min="14604" max="14605" width="9.42578125" style="125" customWidth="1"/>
    <col min="14606" max="14607" width="9.28515625" style="125" customWidth="1"/>
    <col min="14608" max="14608" width="10.5703125" style="125" bestFit="1" customWidth="1"/>
    <col min="14609" max="14609" width="14.5703125" style="125" customWidth="1"/>
    <col min="14610" max="14611" width="9.140625" style="125" customWidth="1"/>
    <col min="14612" max="14849" width="9.140625" style="125"/>
    <col min="14850" max="14850" width="32" style="125" customWidth="1"/>
    <col min="14851" max="14851" width="7.28515625" style="125" customWidth="1"/>
    <col min="14852" max="14852" width="7.42578125" style="125" customWidth="1"/>
    <col min="14853" max="14853" width="7" style="125" customWidth="1"/>
    <col min="14854" max="14854" width="7.140625" style="125" customWidth="1"/>
    <col min="14855" max="14855" width="7" style="125" customWidth="1"/>
    <col min="14856" max="14856" width="6.85546875" style="125" customWidth="1"/>
    <col min="14857" max="14857" width="7.42578125" style="125" customWidth="1"/>
    <col min="14858" max="14858" width="7.5703125" style="125" customWidth="1"/>
    <col min="14859" max="14859" width="8" style="125" customWidth="1"/>
    <col min="14860" max="14861" width="9.42578125" style="125" customWidth="1"/>
    <col min="14862" max="14863" width="9.28515625" style="125" customWidth="1"/>
    <col min="14864" max="14864" width="10.5703125" style="125" bestFit="1" customWidth="1"/>
    <col min="14865" max="14865" width="14.5703125" style="125" customWidth="1"/>
    <col min="14866" max="14867" width="9.140625" style="125" customWidth="1"/>
    <col min="14868" max="15105" width="9.140625" style="125"/>
    <col min="15106" max="15106" width="32" style="125" customWidth="1"/>
    <col min="15107" max="15107" width="7.28515625" style="125" customWidth="1"/>
    <col min="15108" max="15108" width="7.42578125" style="125" customWidth="1"/>
    <col min="15109" max="15109" width="7" style="125" customWidth="1"/>
    <col min="15110" max="15110" width="7.140625" style="125" customWidth="1"/>
    <col min="15111" max="15111" width="7" style="125" customWidth="1"/>
    <col min="15112" max="15112" width="6.85546875" style="125" customWidth="1"/>
    <col min="15113" max="15113" width="7.42578125" style="125" customWidth="1"/>
    <col min="15114" max="15114" width="7.5703125" style="125" customWidth="1"/>
    <col min="15115" max="15115" width="8" style="125" customWidth="1"/>
    <col min="15116" max="15117" width="9.42578125" style="125" customWidth="1"/>
    <col min="15118" max="15119" width="9.28515625" style="125" customWidth="1"/>
    <col min="15120" max="15120" width="10.5703125" style="125" bestFit="1" customWidth="1"/>
    <col min="15121" max="15121" width="14.5703125" style="125" customWidth="1"/>
    <col min="15122" max="15123" width="9.140625" style="125" customWidth="1"/>
    <col min="15124" max="15361" width="9.140625" style="125"/>
    <col min="15362" max="15362" width="32" style="125" customWidth="1"/>
    <col min="15363" max="15363" width="7.28515625" style="125" customWidth="1"/>
    <col min="15364" max="15364" width="7.42578125" style="125" customWidth="1"/>
    <col min="15365" max="15365" width="7" style="125" customWidth="1"/>
    <col min="15366" max="15366" width="7.140625" style="125" customWidth="1"/>
    <col min="15367" max="15367" width="7" style="125" customWidth="1"/>
    <col min="15368" max="15368" width="6.85546875" style="125" customWidth="1"/>
    <col min="15369" max="15369" width="7.42578125" style="125" customWidth="1"/>
    <col min="15370" max="15370" width="7.5703125" style="125" customWidth="1"/>
    <col min="15371" max="15371" width="8" style="125" customWidth="1"/>
    <col min="15372" max="15373" width="9.42578125" style="125" customWidth="1"/>
    <col min="15374" max="15375" width="9.28515625" style="125" customWidth="1"/>
    <col min="15376" max="15376" width="10.5703125" style="125" bestFit="1" customWidth="1"/>
    <col min="15377" max="15377" width="14.5703125" style="125" customWidth="1"/>
    <col min="15378" max="15379" width="9.140625" style="125" customWidth="1"/>
    <col min="15380" max="15617" width="9.140625" style="125"/>
    <col min="15618" max="15618" width="32" style="125" customWidth="1"/>
    <col min="15619" max="15619" width="7.28515625" style="125" customWidth="1"/>
    <col min="15620" max="15620" width="7.42578125" style="125" customWidth="1"/>
    <col min="15621" max="15621" width="7" style="125" customWidth="1"/>
    <col min="15622" max="15622" width="7.140625" style="125" customWidth="1"/>
    <col min="15623" max="15623" width="7" style="125" customWidth="1"/>
    <col min="15624" max="15624" width="6.85546875" style="125" customWidth="1"/>
    <col min="15625" max="15625" width="7.42578125" style="125" customWidth="1"/>
    <col min="15626" max="15626" width="7.5703125" style="125" customWidth="1"/>
    <col min="15627" max="15627" width="8" style="125" customWidth="1"/>
    <col min="15628" max="15629" width="9.42578125" style="125" customWidth="1"/>
    <col min="15630" max="15631" width="9.28515625" style="125" customWidth="1"/>
    <col min="15632" max="15632" width="10.5703125" style="125" bestFit="1" customWidth="1"/>
    <col min="15633" max="15633" width="14.5703125" style="125" customWidth="1"/>
    <col min="15634" max="15635" width="9.140625" style="125" customWidth="1"/>
    <col min="15636" max="15873" width="9.140625" style="125"/>
    <col min="15874" max="15874" width="32" style="125" customWidth="1"/>
    <col min="15875" max="15875" width="7.28515625" style="125" customWidth="1"/>
    <col min="15876" max="15876" width="7.42578125" style="125" customWidth="1"/>
    <col min="15877" max="15877" width="7" style="125" customWidth="1"/>
    <col min="15878" max="15878" width="7.140625" style="125" customWidth="1"/>
    <col min="15879" max="15879" width="7" style="125" customWidth="1"/>
    <col min="15880" max="15880" width="6.85546875" style="125" customWidth="1"/>
    <col min="15881" max="15881" width="7.42578125" style="125" customWidth="1"/>
    <col min="15882" max="15882" width="7.5703125" style="125" customWidth="1"/>
    <col min="15883" max="15883" width="8" style="125" customWidth="1"/>
    <col min="15884" max="15885" width="9.42578125" style="125" customWidth="1"/>
    <col min="15886" max="15887" width="9.28515625" style="125" customWidth="1"/>
    <col min="15888" max="15888" width="10.5703125" style="125" bestFit="1" customWidth="1"/>
    <col min="15889" max="15889" width="14.5703125" style="125" customWidth="1"/>
    <col min="15890" max="15891" width="9.140625" style="125" customWidth="1"/>
    <col min="15892" max="16129" width="9.140625" style="125"/>
    <col min="16130" max="16130" width="32" style="125" customWidth="1"/>
    <col min="16131" max="16131" width="7.28515625" style="125" customWidth="1"/>
    <col min="16132" max="16132" width="7.42578125" style="125" customWidth="1"/>
    <col min="16133" max="16133" width="7" style="125" customWidth="1"/>
    <col min="16134" max="16134" width="7.140625" style="125" customWidth="1"/>
    <col min="16135" max="16135" width="7" style="125" customWidth="1"/>
    <col min="16136" max="16136" width="6.85546875" style="125" customWidth="1"/>
    <col min="16137" max="16137" width="7.42578125" style="125" customWidth="1"/>
    <col min="16138" max="16138" width="7.5703125" style="125" customWidth="1"/>
    <col min="16139" max="16139" width="8" style="125" customWidth="1"/>
    <col min="16140" max="16141" width="9.42578125" style="125" customWidth="1"/>
    <col min="16142" max="16143" width="9.28515625" style="125" customWidth="1"/>
    <col min="16144" max="16144" width="10.5703125" style="125" bestFit="1" customWidth="1"/>
    <col min="16145" max="16145" width="14.5703125" style="125" customWidth="1"/>
    <col min="16146" max="16147" width="9.140625" style="125" customWidth="1"/>
    <col min="16148" max="16384" width="9.140625" style="125"/>
  </cols>
  <sheetData>
    <row r="1" spans="1:18" s="124" customFormat="1" ht="12.75" x14ac:dyDescent="0.2">
      <c r="A1" s="273"/>
      <c r="B1" s="1349" t="s">
        <v>344</v>
      </c>
      <c r="C1" s="1349"/>
      <c r="D1" s="1349"/>
      <c r="E1" s="1349"/>
      <c r="F1" s="1349"/>
      <c r="G1" s="1349"/>
      <c r="H1" s="1349"/>
      <c r="I1" s="1349"/>
      <c r="J1" s="1349"/>
      <c r="K1" s="1349"/>
      <c r="L1" s="1349"/>
      <c r="M1" s="1349"/>
      <c r="N1" s="1349"/>
      <c r="O1" s="1349"/>
    </row>
    <row r="2" spans="1:18" s="124" customFormat="1" ht="12.75" x14ac:dyDescent="0.2">
      <c r="A2" s="273"/>
      <c r="B2" s="844"/>
      <c r="C2" s="844"/>
      <c r="D2" s="844"/>
      <c r="E2" s="844"/>
      <c r="F2" s="844"/>
      <c r="G2" s="844"/>
      <c r="H2" s="844"/>
      <c r="I2" s="844"/>
      <c r="J2" s="844"/>
    </row>
    <row r="3" spans="1:18" s="124" customFormat="1" ht="12.75" x14ac:dyDescent="0.2">
      <c r="A3" s="273"/>
      <c r="B3" s="1349" t="s">
        <v>345</v>
      </c>
      <c r="C3" s="1349"/>
      <c r="D3" s="1349"/>
      <c r="E3" s="1349"/>
      <c r="F3" s="1349"/>
      <c r="G3" s="1349"/>
      <c r="H3" s="1349"/>
      <c r="I3" s="1349"/>
      <c r="J3" s="1349"/>
      <c r="K3" s="1349"/>
      <c r="L3" s="1349"/>
      <c r="M3" s="1349"/>
      <c r="N3" s="1349"/>
      <c r="O3" s="1349"/>
    </row>
    <row r="4" spans="1:18" ht="12.75" x14ac:dyDescent="0.2">
      <c r="A4" s="273"/>
      <c r="C4" s="126"/>
      <c r="D4" s="126"/>
      <c r="E4" s="126"/>
      <c r="F4" s="126"/>
      <c r="G4" s="126"/>
      <c r="H4" s="126"/>
      <c r="I4" s="126"/>
      <c r="J4" s="126"/>
    </row>
    <row r="5" spans="1:18" ht="23.25" x14ac:dyDescent="0.35">
      <c r="A5" s="274" t="s">
        <v>591</v>
      </c>
      <c r="B5" s="1350" t="s">
        <v>346</v>
      </c>
      <c r="C5" s="1350"/>
      <c r="D5" s="1350"/>
      <c r="E5" s="1350"/>
      <c r="F5" s="1350"/>
      <c r="G5" s="1350"/>
      <c r="H5" s="1350"/>
      <c r="I5" s="1350"/>
      <c r="J5" s="1350"/>
      <c r="K5" s="1350"/>
      <c r="L5" s="1350"/>
      <c r="M5" s="1350"/>
      <c r="N5" s="1350"/>
      <c r="O5" s="1350"/>
    </row>
    <row r="6" spans="1:18" ht="12.75" x14ac:dyDescent="0.2">
      <c r="A6" s="273"/>
      <c r="C6" s="126"/>
      <c r="D6" s="126"/>
      <c r="E6" s="126"/>
      <c r="F6" s="126"/>
      <c r="G6" s="126"/>
      <c r="H6" s="126"/>
      <c r="I6" s="126"/>
      <c r="J6" s="126"/>
      <c r="K6" s="126"/>
      <c r="L6" s="126"/>
      <c r="M6" s="126"/>
      <c r="N6" s="126"/>
      <c r="O6" s="126"/>
      <c r="Q6" s="124"/>
      <c r="R6" s="124"/>
    </row>
    <row r="7" spans="1:18" s="130" customFormat="1" ht="15.75" x14ac:dyDescent="0.25">
      <c r="A7" s="275" t="s">
        <v>594</v>
      </c>
      <c r="B7" s="127"/>
      <c r="C7" s="128">
        <v>2000</v>
      </c>
      <c r="D7" s="128">
        <v>2001</v>
      </c>
      <c r="E7" s="128">
        <v>2002</v>
      </c>
      <c r="F7" s="128">
        <v>2003</v>
      </c>
      <c r="G7" s="128">
        <v>2004</v>
      </c>
      <c r="H7" s="128">
        <v>2005</v>
      </c>
      <c r="I7" s="129" t="s">
        <v>347</v>
      </c>
      <c r="J7" s="129" t="s">
        <v>348</v>
      </c>
      <c r="K7" s="129" t="s">
        <v>349</v>
      </c>
      <c r="L7" s="129" t="s">
        <v>350</v>
      </c>
      <c r="M7" s="129" t="s">
        <v>351</v>
      </c>
      <c r="N7" s="129"/>
      <c r="O7" s="129"/>
      <c r="Q7" s="924" t="s">
        <v>1150</v>
      </c>
      <c r="R7" s="925">
        <f>ProjectData!B14</f>
        <v>2010</v>
      </c>
    </row>
    <row r="8" spans="1:18" ht="15.75" x14ac:dyDescent="0.25">
      <c r="A8" s="276"/>
      <c r="B8" s="125" t="s">
        <v>352</v>
      </c>
      <c r="C8" s="126"/>
      <c r="D8" s="126"/>
      <c r="E8" s="126"/>
      <c r="F8" s="126"/>
      <c r="G8" s="126"/>
      <c r="H8" s="126"/>
      <c r="I8" s="126"/>
      <c r="J8" s="126"/>
      <c r="K8" s="126"/>
      <c r="L8" s="126"/>
      <c r="M8" s="126"/>
      <c r="N8" s="126"/>
      <c r="O8" s="126"/>
      <c r="Q8" s="124" t="s">
        <v>1283</v>
      </c>
      <c r="R8" s="926">
        <f>LOOKUP(R7,C19:C29,F19:F29)</f>
        <v>0.93121693121693128</v>
      </c>
    </row>
    <row r="9" spans="1:18" ht="15.75" x14ac:dyDescent="0.25">
      <c r="A9" s="275" t="s">
        <v>597</v>
      </c>
      <c r="B9" s="125" t="s">
        <v>353</v>
      </c>
      <c r="C9" s="126">
        <v>100</v>
      </c>
      <c r="D9" s="126">
        <v>103</v>
      </c>
      <c r="E9" s="126">
        <v>108</v>
      </c>
      <c r="F9" s="126">
        <v>114</v>
      </c>
      <c r="G9" s="126">
        <v>124</v>
      </c>
      <c r="H9" s="126">
        <v>136</v>
      </c>
      <c r="I9" s="126">
        <v>181.07281597756997</v>
      </c>
      <c r="J9" s="126">
        <v>232.74341965764344</v>
      </c>
      <c r="K9" s="126">
        <v>223.57374596150424</v>
      </c>
      <c r="L9" s="126">
        <v>213</v>
      </c>
      <c r="M9" s="126">
        <v>215</v>
      </c>
      <c r="N9" s="126"/>
      <c r="O9" s="126"/>
      <c r="R9" s="131"/>
    </row>
    <row r="10" spans="1:18" ht="15.75" x14ac:dyDescent="0.25">
      <c r="A10" s="275"/>
      <c r="B10" s="125" t="s">
        <v>354</v>
      </c>
      <c r="C10" s="126">
        <v>100</v>
      </c>
      <c r="D10" s="126">
        <v>106</v>
      </c>
      <c r="E10" s="126">
        <v>111</v>
      </c>
      <c r="F10" s="126">
        <v>116</v>
      </c>
      <c r="G10" s="126">
        <v>124</v>
      </c>
      <c r="H10" s="126">
        <v>135</v>
      </c>
      <c r="I10" s="126">
        <v>164.33443372398392</v>
      </c>
      <c r="J10" s="126">
        <v>177.08910695273076</v>
      </c>
      <c r="K10" s="126">
        <v>188.89495176357488</v>
      </c>
      <c r="L10" s="126">
        <v>174</v>
      </c>
      <c r="M10" s="126">
        <v>176</v>
      </c>
      <c r="N10" s="126"/>
      <c r="O10" s="126"/>
      <c r="Q10" s="131"/>
      <c r="R10" s="131"/>
    </row>
    <row r="11" spans="1:18" ht="15.75" x14ac:dyDescent="0.25">
      <c r="A11" s="275" t="s">
        <v>600</v>
      </c>
    </row>
    <row r="12" spans="1:18" ht="12.75" x14ac:dyDescent="0.2">
      <c r="A12" s="273"/>
      <c r="M12" s="126"/>
      <c r="N12" s="126"/>
      <c r="O12" s="126"/>
      <c r="P12" s="126"/>
      <c r="Q12" s="126"/>
      <c r="R12" s="126"/>
    </row>
    <row r="13" spans="1:18" ht="12.75" x14ac:dyDescent="0.2">
      <c r="A13" s="273"/>
      <c r="B13" s="132" t="s">
        <v>355</v>
      </c>
    </row>
    <row r="14" spans="1:18" ht="12.75" x14ac:dyDescent="0.2">
      <c r="A14" s="273"/>
    </row>
    <row r="15" spans="1:18" ht="12.75" x14ac:dyDescent="0.2">
      <c r="A15" s="273"/>
      <c r="B15" s="132" t="s">
        <v>356</v>
      </c>
      <c r="L15" s="133"/>
      <c r="M15" s="133"/>
    </row>
    <row r="16" spans="1:18" ht="12.75" x14ac:dyDescent="0.2">
      <c r="A16" s="273"/>
      <c r="L16" s="133"/>
      <c r="M16" s="133"/>
    </row>
    <row r="17" spans="1:19" ht="12.75" x14ac:dyDescent="0.2">
      <c r="A17" s="273"/>
    </row>
    <row r="18" spans="1:19" ht="15.75" x14ac:dyDescent="0.25">
      <c r="A18" s="275" t="s">
        <v>608</v>
      </c>
      <c r="E18" s="125" t="s">
        <v>357</v>
      </c>
      <c r="F18" s="125" t="s">
        <v>1284</v>
      </c>
      <c r="G18" s="125" t="s">
        <v>1285</v>
      </c>
    </row>
    <row r="19" spans="1:19" ht="12.75" x14ac:dyDescent="0.2">
      <c r="A19" s="273"/>
      <c r="C19" s="125">
        <v>2000</v>
      </c>
      <c r="D19" s="126">
        <v>100</v>
      </c>
      <c r="E19" s="125">
        <f>D19/100</f>
        <v>1</v>
      </c>
      <c r="F19" s="125">
        <f t="shared" ref="F19:F28" si="0">E19/$E$27</f>
        <v>0.52910052910052918</v>
      </c>
      <c r="G19" s="125">
        <f t="shared" ref="G19:G28" si="1">F19/$F$29</f>
        <v>0.56818181818181823</v>
      </c>
      <c r="S19" s="126"/>
    </row>
    <row r="20" spans="1:19" ht="12.75" x14ac:dyDescent="0.2">
      <c r="A20" s="273"/>
      <c r="C20" s="125">
        <f>C19+1</f>
        <v>2001</v>
      </c>
      <c r="D20" s="126">
        <v>106</v>
      </c>
      <c r="E20" s="125">
        <f t="shared" ref="E20:E29" si="2">D20/100</f>
        <v>1.06</v>
      </c>
      <c r="F20" s="125">
        <f t="shared" si="0"/>
        <v>0.56084656084656093</v>
      </c>
      <c r="G20" s="125">
        <f t="shared" si="1"/>
        <v>0.60227272727272729</v>
      </c>
      <c r="S20" s="126"/>
    </row>
    <row r="21" spans="1:19" ht="12.75" x14ac:dyDescent="0.2">
      <c r="A21" s="273"/>
      <c r="C21" s="125">
        <f t="shared" ref="C21:C28" si="3">C20+1</f>
        <v>2002</v>
      </c>
      <c r="D21" s="126">
        <v>111</v>
      </c>
      <c r="E21" s="125">
        <f t="shared" si="2"/>
        <v>1.1100000000000001</v>
      </c>
      <c r="F21" s="125">
        <f t="shared" si="0"/>
        <v>0.58730158730158744</v>
      </c>
      <c r="G21" s="125">
        <f t="shared" si="1"/>
        <v>0.63068181818181823</v>
      </c>
      <c r="S21" s="126"/>
    </row>
    <row r="22" spans="1:19" ht="12.75" x14ac:dyDescent="0.2">
      <c r="A22" s="273"/>
      <c r="C22" s="125">
        <f t="shared" si="3"/>
        <v>2003</v>
      </c>
      <c r="D22" s="126">
        <v>116</v>
      </c>
      <c r="E22" s="125">
        <f t="shared" si="2"/>
        <v>1.1599999999999999</v>
      </c>
      <c r="F22" s="125">
        <f t="shared" si="0"/>
        <v>0.61375661375661372</v>
      </c>
      <c r="G22" s="125">
        <f t="shared" si="1"/>
        <v>0.65909090909090906</v>
      </c>
      <c r="S22" s="126"/>
    </row>
    <row r="23" spans="1:19" ht="12.75" x14ac:dyDescent="0.2">
      <c r="A23" s="273"/>
      <c r="C23" s="125">
        <f t="shared" si="3"/>
        <v>2004</v>
      </c>
      <c r="D23" s="126">
        <v>124</v>
      </c>
      <c r="E23" s="125">
        <f t="shared" si="2"/>
        <v>1.24</v>
      </c>
      <c r="F23" s="125">
        <f t="shared" si="0"/>
        <v>0.65608465608465616</v>
      </c>
      <c r="G23" s="125">
        <f t="shared" si="1"/>
        <v>0.70454545454545459</v>
      </c>
      <c r="S23" s="126"/>
    </row>
    <row r="24" spans="1:19" ht="12.75" x14ac:dyDescent="0.2">
      <c r="A24" s="273"/>
      <c r="C24" s="125">
        <f t="shared" si="3"/>
        <v>2005</v>
      </c>
      <c r="D24" s="126">
        <v>135</v>
      </c>
      <c r="E24" s="125">
        <f t="shared" si="2"/>
        <v>1.35</v>
      </c>
      <c r="F24" s="125">
        <f t="shared" si="0"/>
        <v>0.71428571428571441</v>
      </c>
      <c r="G24" s="125">
        <f t="shared" si="1"/>
        <v>0.76704545454545459</v>
      </c>
      <c r="S24" s="126"/>
    </row>
    <row r="25" spans="1:19" ht="12.75" x14ac:dyDescent="0.2">
      <c r="A25" s="273"/>
      <c r="C25" s="125">
        <f t="shared" si="3"/>
        <v>2006</v>
      </c>
      <c r="D25" s="126">
        <v>164</v>
      </c>
      <c r="E25" s="125">
        <f t="shared" si="2"/>
        <v>1.64</v>
      </c>
      <c r="F25" s="125">
        <f t="shared" si="0"/>
        <v>0.86772486772486768</v>
      </c>
      <c r="G25" s="125">
        <f t="shared" si="1"/>
        <v>0.93181818181818166</v>
      </c>
      <c r="S25" s="126"/>
    </row>
    <row r="26" spans="1:19" ht="12.75" x14ac:dyDescent="0.2">
      <c r="A26" s="273"/>
      <c r="C26" s="125">
        <f t="shared" si="3"/>
        <v>2007</v>
      </c>
      <c r="D26" s="126">
        <v>177</v>
      </c>
      <c r="E26" s="125">
        <f t="shared" si="2"/>
        <v>1.77</v>
      </c>
      <c r="F26" s="125">
        <f t="shared" si="0"/>
        <v>0.93650793650793651</v>
      </c>
      <c r="G26" s="125">
        <f t="shared" si="1"/>
        <v>1.0056818181818181</v>
      </c>
      <c r="S26" s="126"/>
    </row>
    <row r="27" spans="1:19" ht="12.75" x14ac:dyDescent="0.2">
      <c r="A27" s="273"/>
      <c r="C27" s="125">
        <f t="shared" si="3"/>
        <v>2008</v>
      </c>
      <c r="D27" s="126">
        <v>189</v>
      </c>
      <c r="E27" s="125">
        <f t="shared" si="2"/>
        <v>1.89</v>
      </c>
      <c r="F27" s="125">
        <f t="shared" si="0"/>
        <v>1</v>
      </c>
      <c r="G27" s="125">
        <f t="shared" si="1"/>
        <v>1.0738636363636362</v>
      </c>
      <c r="S27" s="126"/>
    </row>
    <row r="28" spans="1:19" ht="12.75" x14ac:dyDescent="0.2">
      <c r="A28" s="273"/>
      <c r="C28" s="125">
        <f t="shared" si="3"/>
        <v>2009</v>
      </c>
      <c r="D28" s="126">
        <v>174</v>
      </c>
      <c r="E28" s="125">
        <f t="shared" si="2"/>
        <v>1.74</v>
      </c>
      <c r="F28" s="125">
        <f t="shared" si="0"/>
        <v>0.92063492063492069</v>
      </c>
      <c r="G28" s="125">
        <f t="shared" si="1"/>
        <v>0.98863636363636365</v>
      </c>
      <c r="S28" s="126"/>
    </row>
    <row r="29" spans="1:19" ht="12.75" x14ac:dyDescent="0.2">
      <c r="A29" s="273"/>
      <c r="C29" s="125">
        <f>C28+1</f>
        <v>2010</v>
      </c>
      <c r="D29" s="126">
        <v>176</v>
      </c>
      <c r="E29" s="125">
        <f t="shared" si="2"/>
        <v>1.76</v>
      </c>
      <c r="F29" s="125">
        <f>E29/$E$27</f>
        <v>0.93121693121693128</v>
      </c>
      <c r="G29" s="125">
        <f>F29/$F$29</f>
        <v>1</v>
      </c>
      <c r="S29" s="126"/>
    </row>
    <row r="30" spans="1:19" ht="12.75" x14ac:dyDescent="0.2">
      <c r="A30" s="273"/>
    </row>
    <row r="31" spans="1:19" ht="12.75" x14ac:dyDescent="0.2">
      <c r="A31" s="273"/>
    </row>
    <row r="32" spans="1:19" ht="12.75" x14ac:dyDescent="0.2">
      <c r="A32" s="273"/>
    </row>
    <row r="33" spans="1:9" ht="12.75" x14ac:dyDescent="0.2">
      <c r="A33" s="273"/>
    </row>
    <row r="34" spans="1:9" ht="12.75" x14ac:dyDescent="0.2">
      <c r="A34" s="273"/>
    </row>
    <row r="35" spans="1:9" ht="12.75" x14ac:dyDescent="0.2">
      <c r="A35" s="273"/>
    </row>
    <row r="36" spans="1:9" ht="12.75" x14ac:dyDescent="0.2">
      <c r="A36" s="273"/>
    </row>
    <row r="37" spans="1:9" ht="12.75" x14ac:dyDescent="0.2">
      <c r="A37" s="273"/>
      <c r="I37" s="133"/>
    </row>
    <row r="38" spans="1:9" ht="12.75" x14ac:dyDescent="0.2">
      <c r="A38" s="273"/>
    </row>
    <row r="39" spans="1:9" ht="12.75" x14ac:dyDescent="0.2">
      <c r="A39" s="273"/>
    </row>
    <row r="40" spans="1:9" ht="12.75" x14ac:dyDescent="0.2">
      <c r="A40" s="273"/>
    </row>
    <row r="41" spans="1:9" ht="12.75" x14ac:dyDescent="0.2">
      <c r="A41" s="273"/>
    </row>
    <row r="42" spans="1:9" x14ac:dyDescent="0.25">
      <c r="A42" s="273"/>
      <c r="B42" s="96" t="s">
        <v>358</v>
      </c>
    </row>
    <row r="43" spans="1:9" ht="12.75" x14ac:dyDescent="0.2">
      <c r="A43" s="273"/>
    </row>
    <row r="44" spans="1:9" ht="12.75" x14ac:dyDescent="0.2">
      <c r="A44" s="273"/>
    </row>
    <row r="45" spans="1:9" ht="12.75" x14ac:dyDescent="0.2">
      <c r="A45" s="273"/>
    </row>
    <row r="46" spans="1:9" ht="12.75" x14ac:dyDescent="0.2">
      <c r="A46" s="273"/>
    </row>
    <row r="47" spans="1:9" ht="12.75" x14ac:dyDescent="0.2">
      <c r="A47" s="273"/>
      <c r="D47" s="125" t="s">
        <v>359</v>
      </c>
    </row>
    <row r="48" spans="1:9" x14ac:dyDescent="0.25">
      <c r="A48" s="273"/>
      <c r="D48" t="s">
        <v>30</v>
      </c>
      <c r="E48" t="s">
        <v>35</v>
      </c>
      <c r="F48"/>
    </row>
    <row r="49" spans="1:9" x14ac:dyDescent="0.25">
      <c r="A49" s="273"/>
      <c r="D49">
        <v>1972</v>
      </c>
      <c r="E49"/>
      <c r="F49"/>
    </row>
    <row r="50" spans="1:9" x14ac:dyDescent="0.25">
      <c r="A50" s="273"/>
      <c r="D50">
        <f>D49+1</f>
        <v>1973</v>
      </c>
      <c r="E50"/>
      <c r="F50"/>
    </row>
    <row r="51" spans="1:9" x14ac:dyDescent="0.25">
      <c r="D51">
        <f t="shared" ref="D51:D87" si="4">D50+1</f>
        <v>1974</v>
      </c>
      <c r="E51"/>
      <c r="F51"/>
    </row>
    <row r="52" spans="1:9" x14ac:dyDescent="0.25">
      <c r="D52">
        <f t="shared" si="4"/>
        <v>1975</v>
      </c>
      <c r="E52"/>
      <c r="F52"/>
    </row>
    <row r="53" spans="1:9" x14ac:dyDescent="0.25">
      <c r="D53">
        <f t="shared" si="4"/>
        <v>1976</v>
      </c>
      <c r="E53" t="s">
        <v>360</v>
      </c>
      <c r="F53" t="s">
        <v>361</v>
      </c>
      <c r="G53" s="125" t="s">
        <v>362</v>
      </c>
    </row>
    <row r="54" spans="1:9" x14ac:dyDescent="0.25">
      <c r="D54" s="52">
        <f t="shared" si="4"/>
        <v>1977</v>
      </c>
      <c r="E54" s="50">
        <v>1</v>
      </c>
      <c r="F54">
        <f>E54/$E$77</f>
        <v>0.4890730972117559</v>
      </c>
      <c r="G54" s="125">
        <f>F54</f>
        <v>0.4890730972117559</v>
      </c>
      <c r="H54" s="1352" t="s">
        <v>359</v>
      </c>
      <c r="I54">
        <f t="shared" ref="I54:I86" si="5">G54/$G$87</f>
        <v>0.27788244159758857</v>
      </c>
    </row>
    <row r="55" spans="1:9" x14ac:dyDescent="0.25">
      <c r="D55">
        <f t="shared" si="4"/>
        <v>1978</v>
      </c>
      <c r="E55" s="51">
        <v>1.0770416024653313</v>
      </c>
      <c r="F55">
        <f t="shared" ref="F55:F87" si="6">E55/$E$77</f>
        <v>0.5267520723436323</v>
      </c>
      <c r="G55" s="125">
        <f t="shared" ref="G55:G77" si="7">F55</f>
        <v>0.5267520723436323</v>
      </c>
      <c r="H55" s="1352"/>
      <c r="I55">
        <f t="shared" si="5"/>
        <v>0.29929095019524565</v>
      </c>
    </row>
    <row r="56" spans="1:9" x14ac:dyDescent="0.25">
      <c r="D56">
        <f t="shared" si="4"/>
        <v>1979</v>
      </c>
      <c r="E56" s="51">
        <v>1.2126348228043142</v>
      </c>
      <c r="F56">
        <f t="shared" si="6"/>
        <v>0.59306706857573477</v>
      </c>
      <c r="G56" s="125">
        <f t="shared" si="7"/>
        <v>0.59306706857573477</v>
      </c>
      <c r="H56" s="1352"/>
      <c r="I56">
        <f t="shared" si="5"/>
        <v>0.336969925327122</v>
      </c>
    </row>
    <row r="57" spans="1:9" x14ac:dyDescent="0.25">
      <c r="D57">
        <f t="shared" si="4"/>
        <v>1980</v>
      </c>
      <c r="E57" s="51">
        <v>1.3836671802773497</v>
      </c>
      <c r="F57">
        <f t="shared" si="6"/>
        <v>0.67671439336850048</v>
      </c>
      <c r="G57" s="125">
        <f t="shared" si="7"/>
        <v>0.67671439336850048</v>
      </c>
      <c r="H57" s="1352"/>
      <c r="I57">
        <f t="shared" si="5"/>
        <v>0.38449681441392075</v>
      </c>
    </row>
    <row r="58" spans="1:9" x14ac:dyDescent="0.25">
      <c r="D58">
        <f t="shared" si="4"/>
        <v>1981</v>
      </c>
      <c r="E58" s="51">
        <v>1.5100154083204929</v>
      </c>
      <c r="F58">
        <f t="shared" si="6"/>
        <v>0.73850791258477766</v>
      </c>
      <c r="G58" s="125">
        <f t="shared" si="7"/>
        <v>0.73850791258477766</v>
      </c>
      <c r="H58" s="1352"/>
      <c r="I58">
        <f t="shared" si="5"/>
        <v>0.41960676851407819</v>
      </c>
    </row>
    <row r="59" spans="1:9" x14ac:dyDescent="0.25">
      <c r="D59">
        <f t="shared" si="4"/>
        <v>1982</v>
      </c>
      <c r="E59" s="51">
        <v>1.5408320493066254</v>
      </c>
      <c r="F59">
        <f t="shared" si="6"/>
        <v>0.75357950263752826</v>
      </c>
      <c r="G59" s="125">
        <f t="shared" si="7"/>
        <v>0.75357950263752826</v>
      </c>
      <c r="H59" s="1352"/>
      <c r="I59">
        <f t="shared" si="5"/>
        <v>0.42817017195314105</v>
      </c>
    </row>
    <row r="60" spans="1:9" x14ac:dyDescent="0.25">
      <c r="D60">
        <f t="shared" si="4"/>
        <v>1983</v>
      </c>
      <c r="E60" s="51">
        <v>1.5608628659476116</v>
      </c>
      <c r="F60">
        <f t="shared" si="6"/>
        <v>0.76337603617181615</v>
      </c>
      <c r="G60" s="125">
        <f t="shared" si="7"/>
        <v>0.76337603617181615</v>
      </c>
      <c r="H60" s="1352"/>
      <c r="I60">
        <f t="shared" si="5"/>
        <v>0.43373638418853189</v>
      </c>
    </row>
    <row r="61" spans="1:9" x14ac:dyDescent="0.25">
      <c r="D61">
        <f t="shared" si="4"/>
        <v>1984</v>
      </c>
      <c r="E61" s="51">
        <v>1.5978428351309706</v>
      </c>
      <c r="F61">
        <f t="shared" si="6"/>
        <v>0.78146194423511683</v>
      </c>
      <c r="G61" s="125">
        <f t="shared" si="7"/>
        <v>0.78146194423511683</v>
      </c>
      <c r="H61" s="1352"/>
      <c r="I61">
        <f t="shared" si="5"/>
        <v>0.4440124683154073</v>
      </c>
    </row>
    <row r="62" spans="1:9" x14ac:dyDescent="0.25">
      <c r="D62">
        <f t="shared" si="4"/>
        <v>1985</v>
      </c>
      <c r="E62" s="51">
        <v>1.5901386748844375</v>
      </c>
      <c r="F62">
        <f t="shared" si="6"/>
        <v>0.77769404672192921</v>
      </c>
      <c r="G62" s="125">
        <f t="shared" si="7"/>
        <v>0.77769404672192921</v>
      </c>
      <c r="H62" s="1352"/>
      <c r="I62">
        <f t="shared" si="5"/>
        <v>0.44187161745564157</v>
      </c>
    </row>
    <row r="63" spans="1:9" x14ac:dyDescent="0.25">
      <c r="D63">
        <f t="shared" si="4"/>
        <v>1986</v>
      </c>
      <c r="E63" s="51">
        <v>1.5439137134052388</v>
      </c>
      <c r="F63">
        <f t="shared" si="6"/>
        <v>0.75508666164280336</v>
      </c>
      <c r="G63" s="125">
        <f t="shared" si="7"/>
        <v>0.75508666164280336</v>
      </c>
      <c r="H63" s="1352"/>
      <c r="I63">
        <f t="shared" si="5"/>
        <v>0.42902651229704736</v>
      </c>
    </row>
    <row r="64" spans="1:9" x14ac:dyDescent="0.25">
      <c r="D64">
        <f t="shared" si="4"/>
        <v>1987</v>
      </c>
      <c r="E64" s="51">
        <v>1.5839753466872109</v>
      </c>
      <c r="F64">
        <f t="shared" si="6"/>
        <v>0.77467972871137902</v>
      </c>
      <c r="G64" s="125">
        <f t="shared" si="7"/>
        <v>0.77467972871137902</v>
      </c>
      <c r="H64" s="1352"/>
      <c r="I64">
        <f t="shared" si="5"/>
        <v>0.44015893676782897</v>
      </c>
    </row>
    <row r="65" spans="4:9" x14ac:dyDescent="0.25">
      <c r="D65">
        <f t="shared" si="4"/>
        <v>1988</v>
      </c>
      <c r="E65" s="51">
        <v>1.6471494607087827</v>
      </c>
      <c r="F65">
        <f t="shared" si="6"/>
        <v>0.80557648831951778</v>
      </c>
      <c r="G65" s="125">
        <f t="shared" si="7"/>
        <v>0.80557648831951778</v>
      </c>
      <c r="H65" s="1352"/>
      <c r="I65">
        <f t="shared" si="5"/>
        <v>0.45771391381790782</v>
      </c>
    </row>
    <row r="66" spans="4:9" x14ac:dyDescent="0.25">
      <c r="D66">
        <f t="shared" si="4"/>
        <v>1989</v>
      </c>
      <c r="E66" s="51">
        <v>1.7288135593220337</v>
      </c>
      <c r="F66">
        <f t="shared" si="6"/>
        <v>0.84551620195930677</v>
      </c>
      <c r="G66" s="125">
        <f t="shared" si="7"/>
        <v>0.84551620195930677</v>
      </c>
      <c r="H66" s="1352"/>
      <c r="I66">
        <f t="shared" si="5"/>
        <v>0.48040693293142428</v>
      </c>
    </row>
    <row r="67" spans="4:9" x14ac:dyDescent="0.25">
      <c r="D67">
        <f t="shared" si="4"/>
        <v>1990</v>
      </c>
      <c r="E67" s="51">
        <v>1.7919876733436053</v>
      </c>
      <c r="F67">
        <f t="shared" si="6"/>
        <v>0.87641296156744541</v>
      </c>
      <c r="G67" s="125">
        <f t="shared" si="7"/>
        <v>0.87641296156744541</v>
      </c>
      <c r="H67" s="1352"/>
      <c r="I67">
        <f t="shared" si="5"/>
        <v>0.49796190998150308</v>
      </c>
    </row>
    <row r="68" spans="4:9" x14ac:dyDescent="0.25">
      <c r="D68">
        <f t="shared" si="4"/>
        <v>1991</v>
      </c>
      <c r="E68" s="51">
        <v>1.7950693374422186</v>
      </c>
      <c r="F68">
        <f t="shared" si="6"/>
        <v>0.87792012057272051</v>
      </c>
      <c r="G68" s="125">
        <f t="shared" si="7"/>
        <v>0.87792012057272051</v>
      </c>
      <c r="H68" s="1352"/>
      <c r="I68">
        <f t="shared" si="5"/>
        <v>0.49881825032540938</v>
      </c>
    </row>
    <row r="69" spans="4:9" x14ac:dyDescent="0.25">
      <c r="D69">
        <f t="shared" si="4"/>
        <v>1992</v>
      </c>
      <c r="E69" s="51">
        <v>1.805855161787365</v>
      </c>
      <c r="F69">
        <f t="shared" si="6"/>
        <v>0.88319517709118323</v>
      </c>
      <c r="G69" s="125">
        <f t="shared" si="7"/>
        <v>0.88319517709118323</v>
      </c>
      <c r="H69" s="1352"/>
      <c r="I69">
        <f t="shared" si="5"/>
        <v>0.50181544152908142</v>
      </c>
    </row>
    <row r="70" spans="4:9" x14ac:dyDescent="0.25">
      <c r="D70">
        <f t="shared" si="4"/>
        <v>1993</v>
      </c>
      <c r="E70" s="51">
        <v>1.8320493066255776</v>
      </c>
      <c r="F70">
        <f t="shared" si="6"/>
        <v>0.89600602863602119</v>
      </c>
      <c r="G70" s="125">
        <f t="shared" si="7"/>
        <v>0.89600602863602119</v>
      </c>
      <c r="H70" s="1352"/>
      <c r="I70">
        <f t="shared" si="5"/>
        <v>0.5090943344522848</v>
      </c>
    </row>
    <row r="71" spans="4:9" x14ac:dyDescent="0.25">
      <c r="D71">
        <f t="shared" si="4"/>
        <v>1994</v>
      </c>
      <c r="E71" s="51">
        <v>1.8567026194144836</v>
      </c>
      <c r="F71">
        <f t="shared" si="6"/>
        <v>0.9080633006782215</v>
      </c>
      <c r="G71" s="125">
        <f t="shared" si="7"/>
        <v>0.9080633006782215</v>
      </c>
      <c r="H71" s="1352"/>
      <c r="I71">
        <f t="shared" si="5"/>
        <v>0.5159450572035349</v>
      </c>
    </row>
    <row r="72" spans="4:9" x14ac:dyDescent="0.25">
      <c r="D72">
        <f t="shared" si="4"/>
        <v>1995</v>
      </c>
      <c r="E72" s="51">
        <v>1.9229583975346685</v>
      </c>
      <c r="F72">
        <f t="shared" si="6"/>
        <v>0.94046721929163524</v>
      </c>
      <c r="G72" s="125">
        <f t="shared" si="7"/>
        <v>0.94046721929163524</v>
      </c>
      <c r="H72" s="1352"/>
      <c r="I72">
        <f t="shared" si="5"/>
        <v>0.53435637459752006</v>
      </c>
    </row>
    <row r="73" spans="4:9" x14ac:dyDescent="0.25">
      <c r="D73">
        <f>D72+1</f>
        <v>1996</v>
      </c>
      <c r="E73" s="51">
        <v>1.9676425269645608</v>
      </c>
      <c r="F73">
        <f t="shared" si="6"/>
        <v>0.96232102486812365</v>
      </c>
      <c r="G73" s="125">
        <f t="shared" si="7"/>
        <v>0.96232102486812365</v>
      </c>
      <c r="H73" s="1352"/>
      <c r="I73">
        <f t="shared" si="5"/>
        <v>0.54677330958416115</v>
      </c>
    </row>
    <row r="74" spans="4:9" x14ac:dyDescent="0.25">
      <c r="D74">
        <f t="shared" si="4"/>
        <v>1997</v>
      </c>
      <c r="E74" s="51">
        <v>1.9661016949152539</v>
      </c>
      <c r="F74">
        <f t="shared" si="6"/>
        <v>0.961567445365486</v>
      </c>
      <c r="G74" s="125">
        <f t="shared" si="7"/>
        <v>0.961567445365486</v>
      </c>
      <c r="H74" s="1352"/>
      <c r="I74">
        <f t="shared" si="5"/>
        <v>0.54634513941220797</v>
      </c>
    </row>
    <row r="75" spans="4:9" x14ac:dyDescent="0.25">
      <c r="D75">
        <f t="shared" si="4"/>
        <v>1998</v>
      </c>
      <c r="E75" s="51">
        <v>1.916795069337442</v>
      </c>
      <c r="F75">
        <f t="shared" si="6"/>
        <v>0.93745290128108516</v>
      </c>
      <c r="G75" s="125">
        <f t="shared" si="7"/>
        <v>0.93745290128108516</v>
      </c>
      <c r="H75" s="1352"/>
      <c r="I75">
        <f t="shared" si="5"/>
        <v>0.53264369390970745</v>
      </c>
    </row>
    <row r="76" spans="4:9" x14ac:dyDescent="0.25">
      <c r="D76">
        <f t="shared" si="4"/>
        <v>1999</v>
      </c>
      <c r="E76" s="51">
        <v>1.9337442218798149</v>
      </c>
      <c r="F76">
        <f t="shared" si="6"/>
        <v>0.94574227581009795</v>
      </c>
      <c r="G76" s="125">
        <f t="shared" si="7"/>
        <v>0.94574227581009795</v>
      </c>
      <c r="H76" s="1352"/>
      <c r="I76">
        <f t="shared" si="5"/>
        <v>0.53735356580119198</v>
      </c>
    </row>
    <row r="77" spans="4:9" x14ac:dyDescent="0.25">
      <c r="D77" s="52">
        <f t="shared" si="4"/>
        <v>2000</v>
      </c>
      <c r="E77" s="51">
        <v>2.0446841294298919</v>
      </c>
      <c r="F77" s="52">
        <f t="shared" si="6"/>
        <v>1</v>
      </c>
      <c r="G77" s="125">
        <f t="shared" si="7"/>
        <v>1</v>
      </c>
      <c r="H77" s="1351" t="s">
        <v>352</v>
      </c>
      <c r="I77">
        <f t="shared" si="5"/>
        <v>0.56818181818181823</v>
      </c>
    </row>
    <row r="78" spans="4:9" x14ac:dyDescent="0.25">
      <c r="D78">
        <f t="shared" si="4"/>
        <v>2001</v>
      </c>
      <c r="E78" s="51">
        <v>2.0677966101694913</v>
      </c>
      <c r="F78">
        <f t="shared" si="6"/>
        <v>1.0113036925395629</v>
      </c>
      <c r="G78" s="125">
        <v>1.06</v>
      </c>
      <c r="H78" s="1351"/>
      <c r="I78">
        <f t="shared" si="5"/>
        <v>0.60227272727272729</v>
      </c>
    </row>
    <row r="79" spans="4:9" x14ac:dyDescent="0.25">
      <c r="D79">
        <f t="shared" si="4"/>
        <v>2002</v>
      </c>
      <c r="E79" s="51">
        <v>2.0200308166409857</v>
      </c>
      <c r="F79">
        <f t="shared" si="6"/>
        <v>0.98794272795779947</v>
      </c>
      <c r="G79" s="125">
        <v>1.1100000000000001</v>
      </c>
      <c r="H79" s="1351"/>
      <c r="I79">
        <f t="shared" si="5"/>
        <v>0.63068181818181823</v>
      </c>
    </row>
    <row r="80" spans="4:9" x14ac:dyDescent="0.25">
      <c r="D80">
        <f t="shared" si="4"/>
        <v>2003</v>
      </c>
      <c r="E80" s="51">
        <v>2.1278890600924498</v>
      </c>
      <c r="F80">
        <f t="shared" si="6"/>
        <v>1.0406932931424266</v>
      </c>
      <c r="G80" s="125">
        <v>1.1599999999999999</v>
      </c>
      <c r="H80" s="1351"/>
      <c r="I80">
        <f t="shared" si="5"/>
        <v>0.65909090909090906</v>
      </c>
    </row>
    <row r="81" spans="4:9" x14ac:dyDescent="0.25">
      <c r="D81">
        <f t="shared" si="4"/>
        <v>2004</v>
      </c>
      <c r="E81" s="51">
        <v>2.2604006163328192</v>
      </c>
      <c r="F81">
        <f t="shared" si="6"/>
        <v>1.1055011303692539</v>
      </c>
      <c r="G81" s="125">
        <v>1.24</v>
      </c>
      <c r="H81" s="1351"/>
      <c r="I81">
        <f t="shared" si="5"/>
        <v>0.70454545454545459</v>
      </c>
    </row>
    <row r="82" spans="4:9" x14ac:dyDescent="0.25">
      <c r="D82">
        <f t="shared" si="4"/>
        <v>2005</v>
      </c>
      <c r="E82" s="51">
        <v>2.4252696456086285</v>
      </c>
      <c r="F82">
        <f t="shared" si="6"/>
        <v>1.1861341371514695</v>
      </c>
      <c r="G82" s="125">
        <v>1.35</v>
      </c>
      <c r="H82" s="1351"/>
      <c r="I82">
        <f t="shared" si="5"/>
        <v>0.76704545454545459</v>
      </c>
    </row>
    <row r="83" spans="4:9" x14ac:dyDescent="0.25">
      <c r="D83">
        <f t="shared" si="4"/>
        <v>2006</v>
      </c>
      <c r="E83" s="51">
        <v>2.5392912172573188</v>
      </c>
      <c r="F83">
        <f t="shared" si="6"/>
        <v>1.2418990203466467</v>
      </c>
      <c r="G83" s="125">
        <v>1.64</v>
      </c>
      <c r="H83" s="1351"/>
      <c r="I83">
        <f t="shared" si="5"/>
        <v>0.93181818181818177</v>
      </c>
    </row>
    <row r="84" spans="4:9" x14ac:dyDescent="0.25">
      <c r="D84">
        <f t="shared" si="4"/>
        <v>2007</v>
      </c>
      <c r="E84" s="51">
        <v>2.6610169491525419</v>
      </c>
      <c r="F84">
        <f t="shared" si="6"/>
        <v>1.3014318010550112</v>
      </c>
      <c r="G84" s="125">
        <v>1.77</v>
      </c>
      <c r="H84" s="1351"/>
      <c r="I84">
        <f t="shared" si="5"/>
        <v>1.0056818181818181</v>
      </c>
    </row>
    <row r="85" spans="4:9" x14ac:dyDescent="0.25">
      <c r="D85">
        <f t="shared" si="4"/>
        <v>2008</v>
      </c>
      <c r="E85" s="51">
        <v>2.9214175654853616</v>
      </c>
      <c r="F85">
        <f t="shared" si="6"/>
        <v>1.4287867370007534</v>
      </c>
      <c r="G85" s="125">
        <v>1.89</v>
      </c>
      <c r="H85" s="1351"/>
      <c r="I85">
        <f t="shared" si="5"/>
        <v>1.0738636363636362</v>
      </c>
    </row>
    <row r="86" spans="4:9" x14ac:dyDescent="0.25">
      <c r="D86">
        <f t="shared" si="4"/>
        <v>2009</v>
      </c>
      <c r="E86" s="51">
        <v>2.6640986132511553</v>
      </c>
      <c r="F86">
        <f t="shared" si="6"/>
        <v>1.3029389600602863</v>
      </c>
      <c r="G86" s="125">
        <v>1.74</v>
      </c>
      <c r="H86" s="1351"/>
      <c r="I86">
        <f t="shared" si="5"/>
        <v>0.98863636363636365</v>
      </c>
    </row>
    <row r="87" spans="4:9" x14ac:dyDescent="0.25">
      <c r="D87" s="52">
        <f t="shared" si="4"/>
        <v>2010</v>
      </c>
      <c r="E87"/>
      <c r="F87">
        <f t="shared" si="6"/>
        <v>0</v>
      </c>
      <c r="G87" s="125">
        <v>1.76</v>
      </c>
      <c r="H87" s="1351"/>
      <c r="I87" s="140">
        <f>G87/$G$87</f>
        <v>1</v>
      </c>
    </row>
  </sheetData>
  <sheetProtection password="DFD3" sheet="1" objects="1" scenarios="1"/>
  <mergeCells count="5">
    <mergeCell ref="B1:O1"/>
    <mergeCell ref="B3:O3"/>
    <mergeCell ref="B5:O5"/>
    <mergeCell ref="H77:H87"/>
    <mergeCell ref="H54:H76"/>
  </mergeCells>
  <pageMargins left="0.7" right="0.7" top="0.75" bottom="0.75" header="0.3" footer="0.3"/>
  <pageSetup scale="42" orientation="landscape" horizontalDpi="1200" verticalDpi="120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H85"/>
  <sheetViews>
    <sheetView workbookViewId="0">
      <selection activeCell="H1" sqref="H1"/>
    </sheetView>
  </sheetViews>
  <sheetFormatPr defaultColWidth="9.140625" defaultRowHeight="15" x14ac:dyDescent="0.25"/>
  <cols>
    <col min="1" max="1" width="139.28515625" style="937" customWidth="1"/>
    <col min="2" max="2" width="18" style="937" customWidth="1"/>
    <col min="3" max="4" width="9.140625" style="937"/>
    <col min="5" max="5" width="16.85546875" style="937" customWidth="1"/>
    <col min="6" max="16384" width="9.140625" style="937"/>
  </cols>
  <sheetData>
    <row r="1" spans="1:8" x14ac:dyDescent="0.25">
      <c r="A1" s="273"/>
      <c r="B1" s="937" t="s">
        <v>1306</v>
      </c>
    </row>
    <row r="2" spans="1:8" ht="15.75" thickBot="1" x14ac:dyDescent="0.3">
      <c r="A2" s="273"/>
      <c r="B2" s="937" t="s">
        <v>140</v>
      </c>
    </row>
    <row r="3" spans="1:8" x14ac:dyDescent="0.25">
      <c r="A3" s="273"/>
      <c r="B3" s="32" t="s">
        <v>1307</v>
      </c>
      <c r="C3" s="944">
        <f>ProjectData!B16</f>
        <v>10</v>
      </c>
      <c r="D3" s="34"/>
    </row>
    <row r="4" spans="1:8" x14ac:dyDescent="0.25">
      <c r="A4" s="273"/>
      <c r="B4" s="35" t="s">
        <v>1308</v>
      </c>
      <c r="C4" s="945">
        <f>ProjectData!B25</f>
        <v>80</v>
      </c>
      <c r="D4" s="939">
        <f>(0.0179*C4 - 0.0745)*D5</f>
        <v>0.22670250000000697</v>
      </c>
    </row>
    <row r="5" spans="1:8" ht="23.25" x14ac:dyDescent="0.35">
      <c r="A5" s="274" t="s">
        <v>591</v>
      </c>
      <c r="B5" s="35" t="s">
        <v>1309</v>
      </c>
      <c r="C5" s="946">
        <f>'Default Data'!C3</f>
        <v>200</v>
      </c>
      <c r="D5" s="939">
        <f>0.000000012575*C5^4 - 0.000010923*C5^3 + 0.0035388*C5^2- 0.50752*C5 + 27.383</f>
        <v>0.16700000000000514</v>
      </c>
      <c r="F5" s="937" t="s">
        <v>1310</v>
      </c>
    </row>
    <row r="6" spans="1:8" x14ac:dyDescent="0.25">
      <c r="A6" s="273"/>
      <c r="B6" s="35" t="s">
        <v>1311</v>
      </c>
      <c r="C6" s="946">
        <f>'Default Data'!C4</f>
        <v>2250</v>
      </c>
      <c r="D6" s="939">
        <f>(-0.0001*C6+ 1.20699)*D4</f>
        <v>0.22261958797500686</v>
      </c>
      <c r="F6" s="937" t="s">
        <v>1312</v>
      </c>
    </row>
    <row r="7" spans="1:8" ht="15.75" x14ac:dyDescent="0.25">
      <c r="A7" s="275" t="s">
        <v>594</v>
      </c>
      <c r="B7" s="155" t="s">
        <v>1313</v>
      </c>
      <c r="C7" s="36"/>
      <c r="D7" s="940">
        <f>D6</f>
        <v>0.22261958797500686</v>
      </c>
      <c r="F7" s="937" t="s">
        <v>1314</v>
      </c>
    </row>
    <row r="8" spans="1:8" ht="15.75" x14ac:dyDescent="0.25">
      <c r="A8" s="276"/>
      <c r="B8" s="155" t="s">
        <v>1315</v>
      </c>
      <c r="C8" s="36"/>
      <c r="D8" s="37">
        <f>D7*C3</f>
        <v>2.2261958797500685</v>
      </c>
    </row>
    <row r="9" spans="1:8" ht="16.5" thickBot="1" x14ac:dyDescent="0.3">
      <c r="A9" s="275" t="s">
        <v>597</v>
      </c>
      <c r="B9" s="149" t="s">
        <v>1316</v>
      </c>
      <c r="C9" s="941">
        <f>D8+C3</f>
        <v>12.226195879750069</v>
      </c>
      <c r="D9" s="40"/>
    </row>
    <row r="10" spans="1:8" ht="15.75" x14ac:dyDescent="0.25">
      <c r="A10" s="275"/>
    </row>
    <row r="11" spans="1:8" ht="15.75" x14ac:dyDescent="0.25">
      <c r="A11" s="275" t="s">
        <v>600</v>
      </c>
      <c r="B11" s="937" t="s">
        <v>1317</v>
      </c>
    </row>
    <row r="12" spans="1:8" x14ac:dyDescent="0.25">
      <c r="A12" s="273"/>
      <c r="B12" s="937">
        <v>50</v>
      </c>
    </row>
    <row r="13" spans="1:8" x14ac:dyDescent="0.25">
      <c r="A13" s="273"/>
      <c r="B13" s="937" t="s">
        <v>508</v>
      </c>
      <c r="D13" s="937" t="s">
        <v>1318</v>
      </c>
    </row>
    <row r="14" spans="1:8" x14ac:dyDescent="0.25">
      <c r="A14" s="273"/>
      <c r="B14" s="107" t="s">
        <v>1319</v>
      </c>
      <c r="C14" s="107" t="s">
        <v>509</v>
      </c>
      <c r="D14" s="107" t="s">
        <v>1320</v>
      </c>
      <c r="E14" s="107" t="s">
        <v>1315</v>
      </c>
      <c r="F14" s="107" t="s">
        <v>449</v>
      </c>
      <c r="G14" s="107" t="s">
        <v>1321</v>
      </c>
      <c r="H14" s="153" t="s">
        <v>1322</v>
      </c>
    </row>
    <row r="15" spans="1:8" x14ac:dyDescent="0.25">
      <c r="A15" s="273"/>
      <c r="B15" s="937">
        <v>2000</v>
      </c>
      <c r="C15" s="937">
        <v>200</v>
      </c>
      <c r="D15" s="937">
        <v>20</v>
      </c>
      <c r="E15" s="937">
        <v>3.15</v>
      </c>
      <c r="F15" s="49">
        <f>E15/$B$12</f>
        <v>6.3E-2</v>
      </c>
      <c r="G15" s="49">
        <f xml:space="preserve"> 0.0031*D15 - 0.0129</f>
        <v>4.9099999999999998E-2</v>
      </c>
      <c r="H15" s="937">
        <f t="shared" ref="H15:H18" si="0">G15/$G$19</f>
        <v>0.28365106874638935</v>
      </c>
    </row>
    <row r="16" spans="1:8" x14ac:dyDescent="0.25">
      <c r="A16" s="273"/>
      <c r="B16" s="937">
        <v>2000</v>
      </c>
      <c r="C16" s="937">
        <v>200</v>
      </c>
      <c r="D16" s="937">
        <v>30</v>
      </c>
      <c r="E16" s="937">
        <v>4.3280000000000003</v>
      </c>
      <c r="F16" s="49">
        <f t="shared" ref="F16:F26" si="1">E16/$B$12</f>
        <v>8.6560000000000012E-2</v>
      </c>
      <c r="G16" s="49">
        <f t="shared" ref="G16:G26" si="2" xml:space="preserve"> 0.0031*D16 - 0.0129</f>
        <v>8.0100000000000005E-2</v>
      </c>
      <c r="H16" s="937">
        <f t="shared" si="0"/>
        <v>0.46273830155979206</v>
      </c>
    </row>
    <row r="17" spans="1:8" x14ac:dyDescent="0.25">
      <c r="A17" s="273"/>
      <c r="B17" s="937">
        <v>2000</v>
      </c>
      <c r="C17" s="937">
        <v>200</v>
      </c>
      <c r="D17" s="937">
        <v>40</v>
      </c>
      <c r="E17" s="937">
        <v>5.5648799999999996</v>
      </c>
      <c r="F17" s="49">
        <f t="shared" si="1"/>
        <v>0.1112976</v>
      </c>
      <c r="G17" s="49">
        <f t="shared" si="2"/>
        <v>0.1111</v>
      </c>
      <c r="H17" s="937">
        <f t="shared" si="0"/>
        <v>0.64182553437319467</v>
      </c>
    </row>
    <row r="18" spans="1:8" ht="15.75" x14ac:dyDescent="0.25">
      <c r="A18" s="275" t="s">
        <v>608</v>
      </c>
      <c r="B18" s="937">
        <v>2000</v>
      </c>
      <c r="C18" s="937">
        <v>200</v>
      </c>
      <c r="D18" s="937">
        <v>50</v>
      </c>
      <c r="E18" s="937">
        <v>6.8635799999999998</v>
      </c>
      <c r="F18" s="49">
        <f t="shared" si="1"/>
        <v>0.13727159999999999</v>
      </c>
      <c r="G18" s="49">
        <f t="shared" si="2"/>
        <v>0.1421</v>
      </c>
      <c r="H18" s="937">
        <f t="shared" si="0"/>
        <v>0.82091276718659734</v>
      </c>
    </row>
    <row r="19" spans="1:8" x14ac:dyDescent="0.25">
      <c r="A19" s="273"/>
      <c r="B19" s="937">
        <v>2000</v>
      </c>
      <c r="C19" s="937">
        <v>200</v>
      </c>
      <c r="D19" s="937">
        <v>60</v>
      </c>
      <c r="E19" s="937">
        <v>8.2295300000000005</v>
      </c>
      <c r="F19" s="49">
        <f t="shared" si="1"/>
        <v>0.1645906</v>
      </c>
      <c r="G19" s="49">
        <f t="shared" si="2"/>
        <v>0.1731</v>
      </c>
      <c r="H19" s="52">
        <f>G19/$G$19</f>
        <v>1</v>
      </c>
    </row>
    <row r="20" spans="1:8" x14ac:dyDescent="0.25">
      <c r="A20" s="273"/>
      <c r="B20" s="937">
        <v>2000</v>
      </c>
      <c r="C20" s="937">
        <v>200</v>
      </c>
      <c r="D20" s="937">
        <v>70</v>
      </c>
      <c r="E20" s="937">
        <v>9.6681100000000004</v>
      </c>
      <c r="F20" s="49">
        <f t="shared" si="1"/>
        <v>0.19336220000000001</v>
      </c>
      <c r="G20" s="49">
        <f t="shared" si="2"/>
        <v>0.2041</v>
      </c>
      <c r="H20" s="937">
        <f t="shared" ref="H20:H26" si="3">G20/$G$19</f>
        <v>1.1790872328134026</v>
      </c>
    </row>
    <row r="21" spans="1:8" x14ac:dyDescent="0.25">
      <c r="A21" s="273"/>
      <c r="B21" s="937">
        <v>2000</v>
      </c>
      <c r="C21" s="937">
        <v>200</v>
      </c>
      <c r="D21" s="937">
        <v>80</v>
      </c>
      <c r="E21" s="937">
        <v>11.1853</v>
      </c>
      <c r="F21" s="49">
        <f t="shared" si="1"/>
        <v>0.22370599999999999</v>
      </c>
      <c r="G21" s="49">
        <f t="shared" si="2"/>
        <v>0.2351</v>
      </c>
      <c r="H21" s="937">
        <f t="shared" si="3"/>
        <v>1.3581744656268053</v>
      </c>
    </row>
    <row r="22" spans="1:8" x14ac:dyDescent="0.25">
      <c r="A22" s="273"/>
      <c r="B22" s="937">
        <v>2000</v>
      </c>
      <c r="C22" s="937">
        <v>200</v>
      </c>
      <c r="D22" s="937">
        <v>90</v>
      </c>
      <c r="E22" s="937">
        <v>12.787699999999999</v>
      </c>
      <c r="F22" s="49">
        <f t="shared" si="1"/>
        <v>0.25575399999999998</v>
      </c>
      <c r="G22" s="49">
        <f t="shared" si="2"/>
        <v>0.26609999999999995</v>
      </c>
      <c r="H22" s="937">
        <f t="shared" si="3"/>
        <v>1.5372616984402077</v>
      </c>
    </row>
    <row r="23" spans="1:8" x14ac:dyDescent="0.25">
      <c r="A23" s="273"/>
      <c r="B23" s="937">
        <v>2000</v>
      </c>
      <c r="C23" s="937">
        <v>200</v>
      </c>
      <c r="D23" s="937">
        <v>100</v>
      </c>
      <c r="E23" s="937">
        <v>14.482699999999999</v>
      </c>
      <c r="F23" s="49">
        <f t="shared" si="1"/>
        <v>0.28965399999999997</v>
      </c>
      <c r="G23" s="49">
        <f t="shared" si="2"/>
        <v>0.29709999999999998</v>
      </c>
      <c r="H23" s="937">
        <f t="shared" si="3"/>
        <v>1.7163489312536104</v>
      </c>
    </row>
    <row r="24" spans="1:8" x14ac:dyDescent="0.25">
      <c r="A24" s="273"/>
      <c r="B24" s="937">
        <v>2000</v>
      </c>
      <c r="C24" s="937">
        <v>200</v>
      </c>
      <c r="D24" s="937">
        <v>110</v>
      </c>
      <c r="E24" s="937">
        <v>16.278700000000001</v>
      </c>
      <c r="F24" s="49">
        <f t="shared" si="1"/>
        <v>0.32557400000000003</v>
      </c>
      <c r="G24" s="49">
        <f t="shared" si="2"/>
        <v>0.32809999999999995</v>
      </c>
      <c r="H24" s="937">
        <f t="shared" si="3"/>
        <v>1.895436164067013</v>
      </c>
    </row>
    <row r="25" spans="1:8" x14ac:dyDescent="0.25">
      <c r="A25" s="273"/>
      <c r="B25" s="937">
        <v>2000</v>
      </c>
      <c r="C25" s="937">
        <v>200</v>
      </c>
      <c r="D25" s="937">
        <v>120</v>
      </c>
      <c r="E25" s="937">
        <v>18.184899999999999</v>
      </c>
      <c r="F25" s="49">
        <f t="shared" si="1"/>
        <v>0.36369799999999997</v>
      </c>
      <c r="G25" s="49">
        <f t="shared" si="2"/>
        <v>0.35909999999999997</v>
      </c>
      <c r="H25" s="937">
        <f t="shared" si="3"/>
        <v>2.0745233968804158</v>
      </c>
    </row>
    <row r="26" spans="1:8" x14ac:dyDescent="0.25">
      <c r="A26" s="273"/>
      <c r="B26" s="937">
        <v>2000</v>
      </c>
      <c r="C26" s="937">
        <v>200</v>
      </c>
      <c r="D26" s="937">
        <v>130</v>
      </c>
      <c r="E26" s="937">
        <v>20.2119</v>
      </c>
      <c r="F26" s="49">
        <f t="shared" si="1"/>
        <v>0.40423799999999999</v>
      </c>
      <c r="G26" s="49">
        <f t="shared" si="2"/>
        <v>0.39009999999999995</v>
      </c>
      <c r="H26" s="937">
        <f t="shared" si="3"/>
        <v>2.2536106296938181</v>
      </c>
    </row>
    <row r="27" spans="1:8" x14ac:dyDescent="0.25">
      <c r="A27" s="273"/>
    </row>
    <row r="28" spans="1:8" x14ac:dyDescent="0.25">
      <c r="A28" s="273"/>
      <c r="B28" s="107" t="s">
        <v>1319</v>
      </c>
      <c r="C28" s="107" t="s">
        <v>509</v>
      </c>
      <c r="D28" s="107" t="s">
        <v>1320</v>
      </c>
      <c r="E28" s="107" t="s">
        <v>1315</v>
      </c>
      <c r="F28" s="107" t="s">
        <v>449</v>
      </c>
      <c r="G28" s="107" t="s">
        <v>1321</v>
      </c>
    </row>
    <row r="29" spans="1:8" x14ac:dyDescent="0.25">
      <c r="A29" s="273"/>
      <c r="B29" s="937">
        <v>2000</v>
      </c>
      <c r="C29" s="937">
        <v>130</v>
      </c>
      <c r="D29" s="937">
        <v>60</v>
      </c>
      <c r="E29" s="937">
        <v>41.328400000000002</v>
      </c>
      <c r="F29" s="49">
        <f>E29/$B$12</f>
        <v>0.82656800000000008</v>
      </c>
      <c r="G29" s="937">
        <f xml:space="preserve"> 0.000000012575*C29^4 - 0.000010923*C29^3 + 0.0035388*C29^2 - 0.50752*C29+ 27.383</f>
        <v>0.80483475000000126</v>
      </c>
    </row>
    <row r="30" spans="1:8" x14ac:dyDescent="0.25">
      <c r="A30" s="273"/>
      <c r="B30" s="937">
        <v>2000</v>
      </c>
      <c r="C30" s="937">
        <v>140</v>
      </c>
      <c r="D30" s="937">
        <v>60</v>
      </c>
      <c r="E30" s="937">
        <v>26.477</v>
      </c>
      <c r="F30" s="49">
        <f t="shared" ref="F30:F43" si="4">E30/$B$12</f>
        <v>0.52954000000000001</v>
      </c>
      <c r="G30" s="937">
        <f t="shared" ref="G30:G43" si="5" xml:space="preserve"> 0.000000012575*C30^4 - 0.000010923*C30^3 + 0.0035388*C30^2 - 0.50752*C30+ 27.383</f>
        <v>0.54878000000000426</v>
      </c>
    </row>
    <row r="31" spans="1:8" x14ac:dyDescent="0.25">
      <c r="A31" s="273"/>
      <c r="B31" s="937">
        <v>2000</v>
      </c>
      <c r="C31" s="937">
        <v>150</v>
      </c>
      <c r="D31" s="937">
        <v>60</v>
      </c>
      <c r="E31" s="937">
        <v>17.2986</v>
      </c>
      <c r="F31" s="49">
        <f t="shared" si="4"/>
        <v>0.345972</v>
      </c>
      <c r="G31" s="937">
        <f t="shared" si="5"/>
        <v>0.37896875000000207</v>
      </c>
    </row>
    <row r="32" spans="1:8" x14ac:dyDescent="0.25">
      <c r="A32" s="273"/>
      <c r="B32" s="937">
        <v>2000</v>
      </c>
      <c r="C32" s="937">
        <v>160</v>
      </c>
      <c r="D32" s="937">
        <v>60</v>
      </c>
      <c r="E32" s="937">
        <v>14.4474</v>
      </c>
      <c r="F32" s="49">
        <f t="shared" si="4"/>
        <v>0.28894799999999998</v>
      </c>
      <c r="G32" s="937">
        <f t="shared" si="5"/>
        <v>0.27362399999999454</v>
      </c>
    </row>
    <row r="33" spans="1:8" x14ac:dyDescent="0.25">
      <c r="A33" s="273"/>
      <c r="B33" s="937">
        <v>2000</v>
      </c>
      <c r="C33" s="937">
        <v>170</v>
      </c>
      <c r="D33" s="937">
        <v>60</v>
      </c>
      <c r="E33" s="937">
        <v>12.4208</v>
      </c>
      <c r="F33" s="49">
        <f t="shared" si="4"/>
        <v>0.248416</v>
      </c>
      <c r="G33" s="937">
        <f t="shared" si="5"/>
        <v>0.21398675000001433</v>
      </c>
    </row>
    <row r="34" spans="1:8" x14ac:dyDescent="0.25">
      <c r="A34" s="273"/>
      <c r="B34" s="937">
        <v>2000</v>
      </c>
      <c r="C34" s="937">
        <v>180</v>
      </c>
      <c r="D34" s="937">
        <v>60</v>
      </c>
      <c r="E34" s="937">
        <v>9.8532399999999996</v>
      </c>
      <c r="F34" s="49">
        <f t="shared" si="4"/>
        <v>0.19706479999999998</v>
      </c>
      <c r="G34" s="937">
        <f t="shared" si="5"/>
        <v>0.18431599999998483</v>
      </c>
    </row>
    <row r="35" spans="1:8" x14ac:dyDescent="0.25">
      <c r="A35" s="273"/>
      <c r="B35" s="937">
        <v>2000</v>
      </c>
      <c r="C35" s="937">
        <v>190</v>
      </c>
      <c r="D35" s="937">
        <v>60</v>
      </c>
      <c r="E35" s="937">
        <v>8.9043299999999999</v>
      </c>
      <c r="F35" s="49">
        <f t="shared" si="4"/>
        <v>0.17808659999999998</v>
      </c>
      <c r="G35" s="937">
        <f t="shared" si="5"/>
        <v>0.17188875000001147</v>
      </c>
    </row>
    <row r="36" spans="1:8" x14ac:dyDescent="0.25">
      <c r="A36" s="273"/>
      <c r="B36" s="937">
        <v>2000</v>
      </c>
      <c r="C36" s="937">
        <v>200</v>
      </c>
      <c r="D36" s="937">
        <v>60</v>
      </c>
      <c r="E36" s="937">
        <v>8.2295300000000005</v>
      </c>
      <c r="F36" s="49">
        <f t="shared" si="4"/>
        <v>0.1645906</v>
      </c>
      <c r="G36" s="937">
        <f t="shared" si="5"/>
        <v>0.16700000000000514</v>
      </c>
    </row>
    <row r="37" spans="1:8" x14ac:dyDescent="0.25">
      <c r="A37" s="273"/>
      <c r="B37" s="937">
        <v>2000</v>
      </c>
      <c r="C37" s="937">
        <v>210</v>
      </c>
      <c r="D37" s="937">
        <v>60</v>
      </c>
      <c r="E37" s="937">
        <v>7.7666000000000004</v>
      </c>
      <c r="F37" s="49">
        <f t="shared" si="4"/>
        <v>0.155332</v>
      </c>
      <c r="G37" s="937">
        <f t="shared" si="5"/>
        <v>0.16296274999999483</v>
      </c>
    </row>
    <row r="38" spans="1:8" x14ac:dyDescent="0.25">
      <c r="A38" s="273"/>
      <c r="B38" s="937">
        <v>2000</v>
      </c>
      <c r="C38" s="937">
        <v>220</v>
      </c>
      <c r="D38" s="937">
        <v>60</v>
      </c>
      <c r="E38" s="937">
        <v>7.4766000000000004</v>
      </c>
      <c r="F38" s="49">
        <f t="shared" si="4"/>
        <v>0.149532</v>
      </c>
      <c r="G38" s="937">
        <f t="shared" si="5"/>
        <v>0.15610799999999259</v>
      </c>
    </row>
    <row r="39" spans="1:8" x14ac:dyDescent="0.25">
      <c r="A39" s="273"/>
      <c r="B39" s="937">
        <v>2000</v>
      </c>
      <c r="C39" s="937">
        <v>230</v>
      </c>
      <c r="D39" s="937">
        <v>60</v>
      </c>
      <c r="E39" s="937">
        <v>7.3346200000000001</v>
      </c>
      <c r="F39" s="49">
        <f t="shared" si="4"/>
        <v>0.1466924</v>
      </c>
      <c r="G39" s="937">
        <f t="shared" si="5"/>
        <v>0.14578475000000779</v>
      </c>
    </row>
    <row r="40" spans="1:8" x14ac:dyDescent="0.25">
      <c r="A40" s="273"/>
      <c r="B40" s="937">
        <v>2000</v>
      </c>
      <c r="C40" s="937">
        <v>240</v>
      </c>
      <c r="D40" s="937">
        <v>60</v>
      </c>
      <c r="E40" s="937">
        <v>7.3255699999999999</v>
      </c>
      <c r="F40" s="49">
        <f t="shared" si="4"/>
        <v>0.14651139999999999</v>
      </c>
      <c r="G40" s="937">
        <f t="shared" si="5"/>
        <v>0.13436000000000448</v>
      </c>
    </row>
    <row r="41" spans="1:8" x14ac:dyDescent="0.25">
      <c r="A41" s="273"/>
      <c r="B41" s="937">
        <v>2000</v>
      </c>
      <c r="C41" s="937">
        <v>250</v>
      </c>
      <c r="D41" s="937">
        <v>60</v>
      </c>
      <c r="E41" s="937">
        <v>7.4410400000000001</v>
      </c>
      <c r="F41" s="49">
        <f t="shared" si="4"/>
        <v>0.1488208</v>
      </c>
      <c r="G41" s="937">
        <f t="shared" si="5"/>
        <v>0.12721874999998661</v>
      </c>
    </row>
    <row r="42" spans="1:8" x14ac:dyDescent="0.25">
      <c r="A42" s="273"/>
      <c r="B42" s="937">
        <v>2000</v>
      </c>
      <c r="C42" s="937">
        <v>260</v>
      </c>
      <c r="D42" s="937">
        <v>60</v>
      </c>
      <c r="E42" s="937">
        <v>7.6776999999999997</v>
      </c>
      <c r="F42" s="49">
        <f t="shared" si="4"/>
        <v>0.153554</v>
      </c>
      <c r="G42" s="937">
        <f t="shared" si="5"/>
        <v>0.13276399999999811</v>
      </c>
    </row>
    <row r="43" spans="1:8" x14ac:dyDescent="0.25">
      <c r="A43" s="273"/>
      <c r="B43" s="937">
        <v>2000</v>
      </c>
      <c r="C43" s="937">
        <v>270</v>
      </c>
      <c r="D43" s="937">
        <v>60</v>
      </c>
      <c r="E43" s="937">
        <v>8.0368099999999991</v>
      </c>
      <c r="F43" s="49">
        <f t="shared" si="4"/>
        <v>0.1607362</v>
      </c>
      <c r="G43" s="937">
        <f t="shared" si="5"/>
        <v>0.16241674999999489</v>
      </c>
    </row>
    <row r="44" spans="1:8" x14ac:dyDescent="0.25">
      <c r="A44" s="273"/>
    </row>
    <row r="45" spans="1:8" x14ac:dyDescent="0.25">
      <c r="A45" s="273"/>
      <c r="B45" s="107" t="s">
        <v>1319</v>
      </c>
      <c r="C45" s="107" t="s">
        <v>509</v>
      </c>
      <c r="D45" s="107" t="s">
        <v>1320</v>
      </c>
      <c r="E45" s="107" t="s">
        <v>1315</v>
      </c>
      <c r="F45" s="107" t="s">
        <v>449</v>
      </c>
      <c r="G45" s="107" t="s">
        <v>1321</v>
      </c>
      <c r="H45" s="937" t="s">
        <v>1323</v>
      </c>
    </row>
    <row r="46" spans="1:8" x14ac:dyDescent="0.25">
      <c r="A46" s="273"/>
      <c r="B46" s="937">
        <v>1000</v>
      </c>
      <c r="C46" s="937">
        <v>200</v>
      </c>
      <c r="D46" s="937">
        <v>60</v>
      </c>
      <c r="E46" s="937">
        <v>8.9740599999999997</v>
      </c>
      <c r="F46" s="49">
        <f>E46/$B$12</f>
        <v>0.17948120000000001</v>
      </c>
      <c r="G46" s="48">
        <f>-0.000017144*B46 + 0.19994</f>
        <v>0.18279600000000001</v>
      </c>
      <c r="H46" s="153">
        <f t="shared" ref="H46:H47" si="6">G46/$G$48</f>
        <v>1.1034940719097868</v>
      </c>
    </row>
    <row r="47" spans="1:8" x14ac:dyDescent="0.25">
      <c r="A47" s="273"/>
      <c r="B47" s="937">
        <f>B46+500</f>
        <v>1500</v>
      </c>
      <c r="C47" s="937">
        <v>200</v>
      </c>
      <c r="D47" s="937">
        <v>60</v>
      </c>
      <c r="E47" s="937">
        <v>8.6063600000000005</v>
      </c>
      <c r="F47" s="49">
        <f t="shared" ref="F47:F64" si="7">E47/$B$12</f>
        <v>0.17212720000000001</v>
      </c>
      <c r="G47" s="48">
        <f t="shared" ref="G47:G64" si="8">-0.000017144*B47 + 0.19994</f>
        <v>0.17422400000000002</v>
      </c>
      <c r="H47" s="153">
        <f t="shared" si="6"/>
        <v>1.0517470359548933</v>
      </c>
    </row>
    <row r="48" spans="1:8" x14ac:dyDescent="0.25">
      <c r="A48" s="273"/>
      <c r="B48" s="937">
        <f t="shared" ref="B48:B63" si="9">B47+500</f>
        <v>2000</v>
      </c>
      <c r="C48" s="937">
        <v>200</v>
      </c>
      <c r="D48" s="937">
        <v>60</v>
      </c>
      <c r="E48" s="937">
        <v>8.2295300000000005</v>
      </c>
      <c r="F48" s="49">
        <f t="shared" si="7"/>
        <v>0.1645906</v>
      </c>
      <c r="G48" s="48">
        <f t="shared" si="8"/>
        <v>0.16565200000000002</v>
      </c>
      <c r="H48" s="793">
        <f>G48/$G$48</f>
        <v>1</v>
      </c>
    </row>
    <row r="49" spans="1:8" x14ac:dyDescent="0.25">
      <c r="A49" s="273"/>
      <c r="B49" s="937">
        <f t="shared" si="9"/>
        <v>2500</v>
      </c>
      <c r="C49" s="937">
        <v>200</v>
      </c>
      <c r="D49" s="937">
        <v>60</v>
      </c>
      <c r="E49" s="937">
        <v>7.8439699999999997</v>
      </c>
      <c r="F49" s="49">
        <f t="shared" si="7"/>
        <v>0.1568794</v>
      </c>
      <c r="G49" s="48">
        <f t="shared" si="8"/>
        <v>0.15708</v>
      </c>
      <c r="H49" s="153">
        <f t="shared" ref="H49:H64" si="10">G49/$G$48</f>
        <v>0.94825296404510651</v>
      </c>
    </row>
    <row r="50" spans="1:8" x14ac:dyDescent="0.25">
      <c r="A50" s="273"/>
      <c r="B50" s="937">
        <f t="shared" si="9"/>
        <v>3000</v>
      </c>
      <c r="C50" s="937">
        <v>200</v>
      </c>
      <c r="D50" s="937">
        <v>60</v>
      </c>
      <c r="E50" s="937">
        <v>7.4500999999999999</v>
      </c>
      <c r="F50" s="49">
        <f t="shared" si="7"/>
        <v>0.149002</v>
      </c>
      <c r="G50" s="48">
        <f t="shared" si="8"/>
        <v>0.148508</v>
      </c>
      <c r="H50" s="153">
        <f t="shared" si="10"/>
        <v>0.89650592809021312</v>
      </c>
    </row>
    <row r="51" spans="1:8" x14ac:dyDescent="0.25">
      <c r="B51" s="937">
        <f t="shared" si="9"/>
        <v>3500</v>
      </c>
      <c r="C51" s="937">
        <v>200</v>
      </c>
      <c r="D51" s="937">
        <v>60</v>
      </c>
      <c r="E51" s="937">
        <v>7.0483399999999996</v>
      </c>
      <c r="F51" s="49">
        <f t="shared" si="7"/>
        <v>0.1409668</v>
      </c>
      <c r="G51" s="48">
        <f t="shared" si="8"/>
        <v>0.139936</v>
      </c>
      <c r="H51" s="153">
        <f t="shared" si="10"/>
        <v>0.84475889213531974</v>
      </c>
    </row>
    <row r="52" spans="1:8" x14ac:dyDescent="0.25">
      <c r="B52" s="937">
        <f t="shared" si="9"/>
        <v>4000</v>
      </c>
      <c r="C52" s="937">
        <v>200</v>
      </c>
      <c r="D52" s="937">
        <v>60</v>
      </c>
      <c r="E52" s="937">
        <v>6.6390900000000004</v>
      </c>
      <c r="F52" s="49">
        <f t="shared" si="7"/>
        <v>0.13278180000000001</v>
      </c>
      <c r="G52" s="48">
        <f t="shared" si="8"/>
        <v>0.13136400000000001</v>
      </c>
      <c r="H52" s="153">
        <f t="shared" si="10"/>
        <v>0.79301185618042636</v>
      </c>
    </row>
    <row r="53" spans="1:8" x14ac:dyDescent="0.25">
      <c r="B53" s="937">
        <f t="shared" si="9"/>
        <v>4500</v>
      </c>
      <c r="C53" s="937">
        <v>200</v>
      </c>
      <c r="D53" s="937">
        <v>60</v>
      </c>
      <c r="E53" s="937">
        <v>6.2227699999999997</v>
      </c>
      <c r="F53" s="49">
        <f t="shared" si="7"/>
        <v>0.12445539999999999</v>
      </c>
      <c r="G53" s="48">
        <f t="shared" si="8"/>
        <v>0.122792</v>
      </c>
      <c r="H53" s="153">
        <f t="shared" si="10"/>
        <v>0.74126482022553297</v>
      </c>
    </row>
    <row r="54" spans="1:8" x14ac:dyDescent="0.25">
      <c r="B54" s="937">
        <f t="shared" si="9"/>
        <v>5000</v>
      </c>
      <c r="C54" s="937">
        <v>200</v>
      </c>
      <c r="D54" s="937">
        <v>60</v>
      </c>
      <c r="E54" s="937">
        <v>5.7988</v>
      </c>
      <c r="F54" s="49">
        <f t="shared" si="7"/>
        <v>0.115976</v>
      </c>
      <c r="G54" s="48">
        <f t="shared" si="8"/>
        <v>0.11422</v>
      </c>
      <c r="H54" s="153">
        <f t="shared" si="10"/>
        <v>0.68951778427063959</v>
      </c>
    </row>
    <row r="55" spans="1:8" x14ac:dyDescent="0.25">
      <c r="B55" s="937">
        <f t="shared" si="9"/>
        <v>5500</v>
      </c>
      <c r="C55" s="937">
        <v>200</v>
      </c>
      <c r="D55" s="937">
        <v>60</v>
      </c>
      <c r="E55" s="937">
        <v>5.3705699999999998</v>
      </c>
      <c r="F55" s="49">
        <f t="shared" si="7"/>
        <v>0.10741139999999999</v>
      </c>
      <c r="G55" s="48">
        <f t="shared" si="8"/>
        <v>0.10564800000000001</v>
      </c>
      <c r="H55" s="153">
        <f t="shared" si="10"/>
        <v>0.63777074831574621</v>
      </c>
    </row>
    <row r="56" spans="1:8" x14ac:dyDescent="0.25">
      <c r="B56" s="937">
        <f t="shared" si="9"/>
        <v>6000</v>
      </c>
      <c r="C56" s="937">
        <v>200</v>
      </c>
      <c r="D56" s="937">
        <v>60</v>
      </c>
      <c r="E56" s="937">
        <v>4.9355200000000004</v>
      </c>
      <c r="F56" s="49">
        <f t="shared" si="7"/>
        <v>9.8710400000000004E-2</v>
      </c>
      <c r="G56" s="48">
        <f t="shared" si="8"/>
        <v>9.707600000000001E-2</v>
      </c>
      <c r="H56" s="153">
        <f t="shared" si="10"/>
        <v>0.58602371236085282</v>
      </c>
    </row>
    <row r="57" spans="1:8" x14ac:dyDescent="0.25">
      <c r="B57" s="937">
        <f t="shared" si="9"/>
        <v>6500</v>
      </c>
      <c r="C57" s="937">
        <v>200</v>
      </c>
      <c r="D57" s="937">
        <v>60</v>
      </c>
      <c r="E57" s="937">
        <v>4.4950200000000002</v>
      </c>
      <c r="F57" s="49">
        <f t="shared" si="7"/>
        <v>8.9900400000000005E-2</v>
      </c>
      <c r="G57" s="48">
        <f t="shared" si="8"/>
        <v>8.8503999999999999E-2</v>
      </c>
      <c r="H57" s="153">
        <f t="shared" si="10"/>
        <v>0.53427667640595944</v>
      </c>
    </row>
    <row r="58" spans="1:8" x14ac:dyDescent="0.25">
      <c r="B58" s="937">
        <f t="shared" si="9"/>
        <v>7000</v>
      </c>
      <c r="C58" s="937">
        <v>200</v>
      </c>
      <c r="D58" s="937">
        <v>60</v>
      </c>
      <c r="E58" s="937">
        <v>4.0494899999999996</v>
      </c>
      <c r="F58" s="49">
        <f t="shared" si="7"/>
        <v>8.0989799999999987E-2</v>
      </c>
      <c r="G58" s="48">
        <f t="shared" si="8"/>
        <v>7.9932000000000003E-2</v>
      </c>
      <c r="H58" s="153">
        <f t="shared" si="10"/>
        <v>0.48252964045106606</v>
      </c>
    </row>
    <row r="59" spans="1:8" x14ac:dyDescent="0.25">
      <c r="B59" s="937">
        <f t="shared" si="9"/>
        <v>7500</v>
      </c>
      <c r="C59" s="937">
        <v>200</v>
      </c>
      <c r="D59" s="937">
        <v>60</v>
      </c>
      <c r="E59" s="937">
        <v>3.59931</v>
      </c>
      <c r="F59" s="49">
        <f t="shared" si="7"/>
        <v>7.19862E-2</v>
      </c>
      <c r="G59" s="48">
        <f t="shared" si="8"/>
        <v>7.1360000000000007E-2</v>
      </c>
      <c r="H59" s="153">
        <f t="shared" si="10"/>
        <v>0.43078260449617267</v>
      </c>
    </row>
    <row r="60" spans="1:8" x14ac:dyDescent="0.25">
      <c r="B60" s="937">
        <f>B59+500</f>
        <v>8000</v>
      </c>
      <c r="C60" s="937">
        <v>200</v>
      </c>
      <c r="D60" s="937">
        <v>60</v>
      </c>
      <c r="E60" s="937">
        <v>3.1448800000000001</v>
      </c>
      <c r="F60" s="49">
        <f t="shared" si="7"/>
        <v>6.2897599999999998E-2</v>
      </c>
      <c r="G60" s="48">
        <f t="shared" si="8"/>
        <v>6.278800000000001E-2</v>
      </c>
      <c r="H60" s="153">
        <f t="shared" si="10"/>
        <v>0.37903556854127934</v>
      </c>
    </row>
    <row r="61" spans="1:8" x14ac:dyDescent="0.25">
      <c r="B61" s="937">
        <f t="shared" si="9"/>
        <v>8500</v>
      </c>
      <c r="C61" s="937">
        <v>200</v>
      </c>
      <c r="D61" s="937">
        <v>60</v>
      </c>
      <c r="E61" s="937">
        <v>2.6865700000000001</v>
      </c>
      <c r="F61" s="49">
        <f t="shared" si="7"/>
        <v>5.3731400000000006E-2</v>
      </c>
      <c r="G61" s="48">
        <f t="shared" si="8"/>
        <v>5.4216000000000014E-2</v>
      </c>
      <c r="H61" s="153">
        <f t="shared" si="10"/>
        <v>0.32728853258638596</v>
      </c>
    </row>
    <row r="62" spans="1:8" x14ac:dyDescent="0.25">
      <c r="B62" s="937">
        <f t="shared" si="9"/>
        <v>9000</v>
      </c>
      <c r="C62" s="937">
        <v>200</v>
      </c>
      <c r="D62" s="937">
        <v>60</v>
      </c>
      <c r="E62" s="937">
        <v>2.2247599999999998</v>
      </c>
      <c r="F62" s="49">
        <f t="shared" si="7"/>
        <v>4.4495199999999999E-2</v>
      </c>
      <c r="G62" s="48">
        <f t="shared" si="8"/>
        <v>4.564399999999999E-2</v>
      </c>
      <c r="H62" s="153">
        <f t="shared" si="10"/>
        <v>0.27554149663149241</v>
      </c>
    </row>
    <row r="63" spans="1:8" x14ac:dyDescent="0.25">
      <c r="B63" s="937">
        <f t="shared" si="9"/>
        <v>9500</v>
      </c>
      <c r="C63" s="937">
        <v>200</v>
      </c>
      <c r="D63" s="937">
        <v>60</v>
      </c>
      <c r="E63" s="937">
        <v>1.7598100000000001</v>
      </c>
      <c r="F63" s="49">
        <f t="shared" si="7"/>
        <v>3.5196200000000004E-2</v>
      </c>
      <c r="G63" s="48">
        <f t="shared" si="8"/>
        <v>3.7071999999999994E-2</v>
      </c>
      <c r="H63" s="153">
        <f t="shared" si="10"/>
        <v>0.22379446067659908</v>
      </c>
    </row>
    <row r="64" spans="1:8" x14ac:dyDescent="0.25">
      <c r="B64" s="937">
        <f>B63+500</f>
        <v>10000</v>
      </c>
      <c r="C64" s="937">
        <v>200</v>
      </c>
      <c r="D64" s="937">
        <v>60</v>
      </c>
      <c r="E64" s="937">
        <v>1.29209</v>
      </c>
      <c r="F64" s="49">
        <f t="shared" si="7"/>
        <v>2.5841799999999998E-2</v>
      </c>
      <c r="G64" s="48">
        <f t="shared" si="8"/>
        <v>2.8499999999999998E-2</v>
      </c>
      <c r="H64" s="153">
        <f t="shared" si="10"/>
        <v>0.1720474247217057</v>
      </c>
    </row>
    <row r="68" spans="2:8" ht="15.75" thickBot="1" x14ac:dyDescent="0.3"/>
    <row r="69" spans="2:8" x14ac:dyDescent="0.25">
      <c r="B69" s="32" t="s">
        <v>1324</v>
      </c>
      <c r="C69" s="33"/>
      <c r="D69" s="33"/>
      <c r="E69" s="33"/>
      <c r="F69" s="33"/>
      <c r="G69" s="33"/>
      <c r="H69" s="34"/>
    </row>
    <row r="70" spans="2:8" x14ac:dyDescent="0.25">
      <c r="B70" s="35" t="s">
        <v>1325</v>
      </c>
      <c r="C70" s="36" t="s">
        <v>1326</v>
      </c>
      <c r="D70" s="36" t="s">
        <v>1327</v>
      </c>
      <c r="E70" s="36" t="s">
        <v>1328</v>
      </c>
      <c r="F70" s="36" t="s">
        <v>1329</v>
      </c>
      <c r="G70" s="36" t="s">
        <v>1330</v>
      </c>
      <c r="H70" s="37" t="s">
        <v>1331</v>
      </c>
    </row>
    <row r="71" spans="2:8" x14ac:dyDescent="0.25">
      <c r="B71" s="35">
        <v>130</v>
      </c>
      <c r="C71" s="36">
        <v>1500</v>
      </c>
      <c r="D71" s="36">
        <v>30</v>
      </c>
      <c r="E71" s="36">
        <v>15</v>
      </c>
      <c r="F71" s="36">
        <v>19.6952</v>
      </c>
      <c r="G71" s="36">
        <v>20.9</v>
      </c>
      <c r="H71" s="851">
        <f>(G71-F71)/F71</f>
        <v>6.1172265323530546E-2</v>
      </c>
    </row>
    <row r="72" spans="2:8" x14ac:dyDescent="0.25">
      <c r="B72" s="35">
        <v>140</v>
      </c>
      <c r="C72" s="36">
        <v>2000</v>
      </c>
      <c r="D72" s="36">
        <v>30</v>
      </c>
      <c r="E72" s="36">
        <v>15</v>
      </c>
      <c r="F72" s="36">
        <v>18.2882</v>
      </c>
      <c r="G72" s="36">
        <v>18.829999999999998</v>
      </c>
      <c r="H72" s="851">
        <f t="shared" ref="H72:H85" si="11">(G72-F72)/F72</f>
        <v>2.962566026180808E-2</v>
      </c>
    </row>
    <row r="73" spans="2:8" x14ac:dyDescent="0.25">
      <c r="B73" s="35">
        <v>150</v>
      </c>
      <c r="C73" s="36">
        <v>2500</v>
      </c>
      <c r="D73" s="36">
        <v>30</v>
      </c>
      <c r="E73" s="36">
        <v>15</v>
      </c>
      <c r="F73" s="36">
        <v>17.236899999999999</v>
      </c>
      <c r="G73" s="36">
        <v>17.52</v>
      </c>
      <c r="H73" s="851">
        <f t="shared" si="11"/>
        <v>1.642406697259954E-2</v>
      </c>
    </row>
    <row r="74" spans="2:8" x14ac:dyDescent="0.25">
      <c r="B74" s="35">
        <v>160</v>
      </c>
      <c r="C74" s="36">
        <v>3000</v>
      </c>
      <c r="D74" s="36">
        <v>40</v>
      </c>
      <c r="E74" s="36">
        <v>15</v>
      </c>
      <c r="F74" s="36">
        <v>17.513999999999999</v>
      </c>
      <c r="G74" s="36">
        <v>17.39</v>
      </c>
      <c r="H74" s="851">
        <f t="shared" si="11"/>
        <v>-7.0800502455178023E-3</v>
      </c>
    </row>
    <row r="75" spans="2:8" x14ac:dyDescent="0.25">
      <c r="B75" s="35">
        <v>170</v>
      </c>
      <c r="C75" s="36">
        <v>3500</v>
      </c>
      <c r="D75" s="36">
        <v>40</v>
      </c>
      <c r="E75" s="36">
        <v>15</v>
      </c>
      <c r="F75" s="36">
        <v>17.058399999999999</v>
      </c>
      <c r="G75" s="36">
        <v>16.760000000000002</v>
      </c>
      <c r="H75" s="851">
        <f t="shared" si="11"/>
        <v>-1.7492848098297459E-2</v>
      </c>
    </row>
    <row r="76" spans="2:8" x14ac:dyDescent="0.25">
      <c r="B76" s="35">
        <v>180</v>
      </c>
      <c r="C76" s="36">
        <v>4000</v>
      </c>
      <c r="D76" s="36">
        <v>40</v>
      </c>
      <c r="E76" s="36">
        <v>15</v>
      </c>
      <c r="F76" s="36">
        <v>16.52</v>
      </c>
      <c r="G76" s="36">
        <v>16.43</v>
      </c>
      <c r="H76" s="851">
        <f t="shared" si="11"/>
        <v>-5.4479418886198465E-3</v>
      </c>
    </row>
    <row r="77" spans="2:8" x14ac:dyDescent="0.25">
      <c r="B77" s="35">
        <v>190</v>
      </c>
      <c r="C77" s="36">
        <v>4500</v>
      </c>
      <c r="D77" s="36">
        <v>50</v>
      </c>
      <c r="E77" s="36">
        <v>15</v>
      </c>
      <c r="F77" s="36">
        <v>16.649999999999999</v>
      </c>
      <c r="G77" s="36">
        <v>16.600000000000001</v>
      </c>
      <c r="H77" s="851">
        <f t="shared" si="11"/>
        <v>-3.0030030030028325E-3</v>
      </c>
    </row>
    <row r="78" spans="2:8" x14ac:dyDescent="0.25">
      <c r="B78" s="35">
        <v>200</v>
      </c>
      <c r="C78" s="36">
        <v>5000</v>
      </c>
      <c r="D78" s="36">
        <v>50</v>
      </c>
      <c r="E78" s="36">
        <v>15</v>
      </c>
      <c r="F78" s="36">
        <v>16.352699999999999</v>
      </c>
      <c r="G78" s="36">
        <v>16.45</v>
      </c>
      <c r="H78" s="851">
        <f t="shared" si="11"/>
        <v>5.9500877530927988E-3</v>
      </c>
    </row>
    <row r="79" spans="2:8" x14ac:dyDescent="0.25">
      <c r="B79" s="35">
        <v>210</v>
      </c>
      <c r="C79" s="36">
        <v>5500</v>
      </c>
      <c r="D79" s="36">
        <v>60</v>
      </c>
      <c r="E79" s="36">
        <v>50</v>
      </c>
      <c r="F79" s="36">
        <v>54.765999999999998</v>
      </c>
      <c r="G79" s="36">
        <v>55.35</v>
      </c>
      <c r="H79" s="851">
        <f t="shared" si="11"/>
        <v>1.0663550377971794E-2</v>
      </c>
    </row>
    <row r="80" spans="2:8" x14ac:dyDescent="0.25">
      <c r="B80" s="35">
        <v>220</v>
      </c>
      <c r="C80" s="36">
        <v>6000</v>
      </c>
      <c r="D80" s="36">
        <v>60</v>
      </c>
      <c r="E80" s="36">
        <v>50</v>
      </c>
      <c r="F80" s="36">
        <v>53.839700000000001</v>
      </c>
      <c r="G80" s="36">
        <v>54.74</v>
      </c>
      <c r="H80" s="851">
        <f t="shared" si="11"/>
        <v>1.6721861377385117E-2</v>
      </c>
    </row>
    <row r="81" spans="2:8" x14ac:dyDescent="0.25">
      <c r="B81" s="35">
        <v>230</v>
      </c>
      <c r="C81" s="36">
        <v>6500</v>
      </c>
      <c r="D81" s="36">
        <v>70</v>
      </c>
      <c r="E81" s="36">
        <v>50</v>
      </c>
      <c r="F81" s="36">
        <v>53.977800000000002</v>
      </c>
      <c r="G81" s="36">
        <v>54.78</v>
      </c>
      <c r="H81" s="851">
        <f t="shared" si="11"/>
        <v>1.4861665351311079E-2</v>
      </c>
    </row>
    <row r="82" spans="2:8" x14ac:dyDescent="0.25">
      <c r="B82" s="35">
        <v>240</v>
      </c>
      <c r="C82" s="36">
        <v>7000</v>
      </c>
      <c r="D82" s="36">
        <v>70</v>
      </c>
      <c r="E82" s="36">
        <v>50</v>
      </c>
      <c r="F82" s="36">
        <v>53.094799999999999</v>
      </c>
      <c r="G82" s="36">
        <v>54.01</v>
      </c>
      <c r="H82" s="851">
        <f t="shared" si="11"/>
        <v>1.7237092897986219E-2</v>
      </c>
    </row>
    <row r="83" spans="2:8" x14ac:dyDescent="0.25">
      <c r="B83" s="35">
        <v>250</v>
      </c>
      <c r="C83" s="36">
        <v>7500</v>
      </c>
      <c r="D83" s="36">
        <v>80</v>
      </c>
      <c r="E83" s="36">
        <v>50</v>
      </c>
      <c r="F83" s="36">
        <v>53.134599999999999</v>
      </c>
      <c r="G83" s="36">
        <v>53.95</v>
      </c>
      <c r="H83" s="851">
        <f t="shared" si="11"/>
        <v>1.534593278202911E-2</v>
      </c>
    </row>
    <row r="84" spans="2:8" x14ac:dyDescent="0.25">
      <c r="B84" s="35">
        <v>260</v>
      </c>
      <c r="C84" s="36">
        <v>8000</v>
      </c>
      <c r="D84" s="36">
        <v>90</v>
      </c>
      <c r="E84" s="36">
        <v>50</v>
      </c>
      <c r="F84" s="36">
        <v>53.114600000000003</v>
      </c>
      <c r="G84" s="36">
        <v>54.15</v>
      </c>
      <c r="H84" s="851">
        <f t="shared" si="11"/>
        <v>1.9493698531100594E-2</v>
      </c>
    </row>
    <row r="85" spans="2:8" ht="15.75" thickBot="1" x14ac:dyDescent="0.3">
      <c r="B85" s="38">
        <v>270</v>
      </c>
      <c r="C85" s="39">
        <v>8500</v>
      </c>
      <c r="D85" s="39">
        <v>100</v>
      </c>
      <c r="E85" s="39">
        <v>50</v>
      </c>
      <c r="F85" s="39">
        <v>53.037100000000002</v>
      </c>
      <c r="G85" s="39">
        <v>54.97</v>
      </c>
      <c r="H85" s="942">
        <f t="shared" si="11"/>
        <v>3.6444300310537275E-2</v>
      </c>
    </row>
  </sheetData>
  <sheetProtection password="DFD3" sheet="1" objects="1" scenarios="1"/>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O88"/>
  <sheetViews>
    <sheetView workbookViewId="0">
      <selection activeCell="L1" sqref="L1"/>
    </sheetView>
  </sheetViews>
  <sheetFormatPr defaultColWidth="9.140625" defaultRowHeight="15" x14ac:dyDescent="0.25"/>
  <cols>
    <col min="1" max="1" width="139.28515625" style="937" customWidth="1"/>
    <col min="2" max="2" width="20.42578125" style="937" customWidth="1"/>
    <col min="3" max="3" width="10" style="937" customWidth="1"/>
    <col min="4" max="4" width="9.140625" style="937"/>
    <col min="5" max="5" width="19.28515625" style="937" customWidth="1"/>
    <col min="6" max="16384" width="9.140625" style="937"/>
  </cols>
  <sheetData>
    <row r="1" spans="1:8" x14ac:dyDescent="0.25">
      <c r="A1" s="273"/>
      <c r="B1" s="937" t="s">
        <v>1306</v>
      </c>
    </row>
    <row r="2" spans="1:8" ht="15.75" thickBot="1" x14ac:dyDescent="0.3">
      <c r="A2" s="273"/>
      <c r="B2" s="937" t="s">
        <v>273</v>
      </c>
    </row>
    <row r="3" spans="1:8" x14ac:dyDescent="0.25">
      <c r="A3" s="273"/>
      <c r="B3" s="32" t="s">
        <v>1307</v>
      </c>
      <c r="C3" s="944">
        <f>ProjectData!B16</f>
        <v>10</v>
      </c>
      <c r="D3" s="34"/>
      <c r="F3" s="937" t="s">
        <v>1310</v>
      </c>
    </row>
    <row r="4" spans="1:8" x14ac:dyDescent="0.25">
      <c r="A4" s="273"/>
      <c r="B4" s="35" t="s">
        <v>1308</v>
      </c>
      <c r="C4" s="945">
        <f>ProjectData!B25</f>
        <v>80</v>
      </c>
      <c r="D4" s="939">
        <f>(0.00015191*C4^2 + 0.002917*C4 + 0.27812)*D5</f>
        <v>0.52505317151999231</v>
      </c>
      <c r="F4" s="937" t="s">
        <v>1312</v>
      </c>
    </row>
    <row r="5" spans="1:8" ht="23.25" x14ac:dyDescent="0.35">
      <c r="A5" s="274" t="s">
        <v>591</v>
      </c>
      <c r="B5" s="35" t="s">
        <v>1309</v>
      </c>
      <c r="C5" s="946">
        <f>'Default Data'!C3</f>
        <v>200</v>
      </c>
      <c r="D5" s="939">
        <f>0.0000000019093*C5^4 - 0.0000022261*C5^3 + 0.00097847*C5^2 - 0.19192*C5 + 14.353</f>
        <v>0.35387999999999487</v>
      </c>
      <c r="F5" s="937" t="s">
        <v>1314</v>
      </c>
    </row>
    <row r="6" spans="1:8" x14ac:dyDescent="0.25">
      <c r="A6" s="273"/>
      <c r="B6" s="35" t="s">
        <v>1311</v>
      </c>
      <c r="C6" s="946">
        <f>'Default Data'!C4</f>
        <v>2250</v>
      </c>
      <c r="D6" s="939">
        <f>(-0.00010843*C6 + 1.2169)*D4</f>
        <v>0.51084129479987495</v>
      </c>
    </row>
    <row r="7" spans="1:8" ht="15.75" x14ac:dyDescent="0.25">
      <c r="A7" s="275" t="s">
        <v>594</v>
      </c>
      <c r="B7" s="155" t="s">
        <v>1313</v>
      </c>
      <c r="C7" s="36"/>
      <c r="D7" s="940">
        <f>D6</f>
        <v>0.51084129479987495</v>
      </c>
    </row>
    <row r="8" spans="1:8" ht="15.75" x14ac:dyDescent="0.25">
      <c r="A8" s="276"/>
      <c r="B8" s="155" t="s">
        <v>1315</v>
      </c>
      <c r="C8" s="36"/>
      <c r="D8" s="37">
        <f>D7*C3</f>
        <v>5.1084129479987492</v>
      </c>
    </row>
    <row r="9" spans="1:8" ht="16.5" thickBot="1" x14ac:dyDescent="0.3">
      <c r="A9" s="275" t="s">
        <v>597</v>
      </c>
      <c r="B9" s="149" t="s">
        <v>1316</v>
      </c>
      <c r="C9" s="941">
        <f>D8+C3</f>
        <v>15.108412947998749</v>
      </c>
      <c r="D9" s="40"/>
    </row>
    <row r="10" spans="1:8" ht="15.75" x14ac:dyDescent="0.25">
      <c r="A10" s="275"/>
      <c r="B10" s="937" t="s">
        <v>1317</v>
      </c>
    </row>
    <row r="11" spans="1:8" ht="15.75" x14ac:dyDescent="0.25">
      <c r="A11" s="275" t="s">
        <v>600</v>
      </c>
      <c r="B11" s="937">
        <v>50</v>
      </c>
    </row>
    <row r="12" spans="1:8" x14ac:dyDescent="0.25">
      <c r="A12" s="273"/>
      <c r="B12" s="937" t="s">
        <v>508</v>
      </c>
      <c r="D12" s="937" t="s">
        <v>1318</v>
      </c>
    </row>
    <row r="13" spans="1:8" x14ac:dyDescent="0.25">
      <c r="A13" s="273"/>
      <c r="B13" s="107" t="s">
        <v>1319</v>
      </c>
      <c r="C13" s="107" t="s">
        <v>509</v>
      </c>
      <c r="D13" s="107" t="s">
        <v>1320</v>
      </c>
      <c r="E13" s="107" t="s">
        <v>1315</v>
      </c>
      <c r="F13" s="107" t="s">
        <v>449</v>
      </c>
      <c r="G13" s="107" t="s">
        <v>1321</v>
      </c>
      <c r="H13" s="153" t="s">
        <v>1322</v>
      </c>
    </row>
    <row r="14" spans="1:8" x14ac:dyDescent="0.25">
      <c r="A14" s="273"/>
      <c r="B14" s="937">
        <v>2000</v>
      </c>
      <c r="C14" s="937">
        <v>200</v>
      </c>
      <c r="D14" s="937">
        <v>20</v>
      </c>
      <c r="E14" s="937">
        <v>6.08026</v>
      </c>
      <c r="F14" s="49">
        <f>E14/$B$11</f>
        <v>0.1216052</v>
      </c>
      <c r="G14" s="49">
        <f xml:space="preserve"> 0.000051577*D14^2 + 0.00099041*D14 + 0.094432</f>
        <v>0.13487099999999999</v>
      </c>
      <c r="H14" s="860">
        <f t="shared" ref="H14:H17" si="0">G14/$G$18</f>
        <v>0.39722407607136606</v>
      </c>
    </row>
    <row r="15" spans="1:8" x14ac:dyDescent="0.25">
      <c r="A15" s="273"/>
      <c r="B15" s="937">
        <v>2000</v>
      </c>
      <c r="C15" s="937">
        <v>200</v>
      </c>
      <c r="D15" s="937">
        <v>30</v>
      </c>
      <c r="E15" s="937">
        <v>8.5299600000000009</v>
      </c>
      <c r="F15" s="49">
        <f t="shared" ref="F15:F25" si="1">E15/$B$11</f>
        <v>0.17059920000000001</v>
      </c>
      <c r="G15" s="49">
        <f t="shared" ref="G15:G25" si="2" xml:space="preserve"> 0.000051577*D15^2 + 0.00099041*D15 + 0.094432</f>
        <v>0.17056359999999998</v>
      </c>
      <c r="H15" s="860">
        <f t="shared" si="0"/>
        <v>0.50234645269484213</v>
      </c>
    </row>
    <row r="16" spans="1:8" x14ac:dyDescent="0.25">
      <c r="A16" s="273"/>
      <c r="B16" s="937">
        <v>2000</v>
      </c>
      <c r="C16" s="937">
        <v>200</v>
      </c>
      <c r="D16" s="937">
        <v>40</v>
      </c>
      <c r="E16" s="937">
        <v>11.218299999999999</v>
      </c>
      <c r="F16" s="49">
        <f t="shared" si="1"/>
        <v>0.22436599999999998</v>
      </c>
      <c r="G16" s="49">
        <f t="shared" si="2"/>
        <v>0.21657159999999998</v>
      </c>
      <c r="H16" s="860">
        <f t="shared" si="0"/>
        <v>0.63784989889077315</v>
      </c>
    </row>
    <row r="17" spans="1:8" x14ac:dyDescent="0.25">
      <c r="A17" s="273"/>
      <c r="B17" s="937">
        <v>2000</v>
      </c>
      <c r="C17" s="937">
        <v>200</v>
      </c>
      <c r="D17" s="937">
        <v>50</v>
      </c>
      <c r="E17" s="358">
        <v>14.1669</v>
      </c>
      <c r="F17" s="49">
        <f t="shared" si="1"/>
        <v>0.28333799999999998</v>
      </c>
      <c r="G17" s="49">
        <f t="shared" si="2"/>
        <v>0.272895</v>
      </c>
      <c r="H17" s="860">
        <f t="shared" si="0"/>
        <v>0.80373441465915907</v>
      </c>
    </row>
    <row r="18" spans="1:8" ht="15.75" x14ac:dyDescent="0.25">
      <c r="A18" s="275" t="s">
        <v>608</v>
      </c>
      <c r="B18" s="937">
        <v>2000</v>
      </c>
      <c r="C18" s="937">
        <v>200</v>
      </c>
      <c r="D18" s="937">
        <v>60</v>
      </c>
      <c r="E18" s="358">
        <v>17.431899999999999</v>
      </c>
      <c r="F18" s="49">
        <f t="shared" si="1"/>
        <v>0.348638</v>
      </c>
      <c r="G18" s="49">
        <f t="shared" si="2"/>
        <v>0.3395338</v>
      </c>
      <c r="H18" s="943">
        <f>G18/$G$18</f>
        <v>1</v>
      </c>
    </row>
    <row r="19" spans="1:8" x14ac:dyDescent="0.25">
      <c r="A19" s="273"/>
      <c r="B19" s="937">
        <v>2000</v>
      </c>
      <c r="C19" s="937">
        <v>200</v>
      </c>
      <c r="D19" s="937">
        <v>70</v>
      </c>
      <c r="E19" s="358">
        <v>21.061</v>
      </c>
      <c r="F19" s="49">
        <f t="shared" si="1"/>
        <v>0.42121999999999998</v>
      </c>
      <c r="G19" s="49">
        <f t="shared" si="2"/>
        <v>0.41648800000000002</v>
      </c>
      <c r="H19" s="860">
        <f t="shared" ref="H19:H25" si="3">G19/$G$18</f>
        <v>1.2266466549132959</v>
      </c>
    </row>
    <row r="20" spans="1:8" x14ac:dyDescent="0.25">
      <c r="A20" s="273"/>
      <c r="B20" s="937">
        <v>2000</v>
      </c>
      <c r="C20" s="937">
        <v>200</v>
      </c>
      <c r="D20" s="937">
        <v>80</v>
      </c>
      <c r="E20" s="358">
        <v>25.118600000000001</v>
      </c>
      <c r="F20" s="49">
        <f t="shared" si="1"/>
        <v>0.50237200000000004</v>
      </c>
      <c r="G20" s="49">
        <f t="shared" si="2"/>
        <v>0.50375759999999992</v>
      </c>
      <c r="H20" s="860">
        <f t="shared" si="3"/>
        <v>1.4836743793990463</v>
      </c>
    </row>
    <row r="21" spans="1:8" x14ac:dyDescent="0.25">
      <c r="A21" s="273"/>
      <c r="B21" s="937">
        <v>2000</v>
      </c>
      <c r="C21" s="937">
        <v>200</v>
      </c>
      <c r="D21" s="937">
        <v>90</v>
      </c>
      <c r="E21" s="358">
        <v>29.685500000000001</v>
      </c>
      <c r="F21" s="49">
        <f t="shared" si="1"/>
        <v>0.59371000000000007</v>
      </c>
      <c r="G21" s="49">
        <f t="shared" si="2"/>
        <v>0.60134259999999995</v>
      </c>
      <c r="H21" s="860">
        <f t="shared" si="3"/>
        <v>1.7710831734572521</v>
      </c>
    </row>
    <row r="22" spans="1:8" x14ac:dyDescent="0.25">
      <c r="A22" s="273"/>
      <c r="B22" s="937">
        <v>2000</v>
      </c>
      <c r="C22" s="937">
        <v>200</v>
      </c>
      <c r="D22" s="937">
        <v>100</v>
      </c>
      <c r="E22" s="358">
        <v>34.864199999999997</v>
      </c>
      <c r="F22" s="49">
        <f t="shared" si="1"/>
        <v>0.6972839999999999</v>
      </c>
      <c r="G22" s="49">
        <f t="shared" si="2"/>
        <v>0.70924299999999996</v>
      </c>
      <c r="H22" s="860">
        <f t="shared" si="3"/>
        <v>2.0888730370879127</v>
      </c>
    </row>
    <row r="23" spans="1:8" x14ac:dyDescent="0.25">
      <c r="A23" s="273"/>
      <c r="B23" s="937">
        <v>2000</v>
      </c>
      <c r="C23" s="937">
        <v>200</v>
      </c>
      <c r="D23" s="937">
        <v>110</v>
      </c>
      <c r="E23" s="358">
        <v>40.786299999999997</v>
      </c>
      <c r="F23" s="49">
        <f t="shared" si="1"/>
        <v>0.81572599999999995</v>
      </c>
      <c r="G23" s="49">
        <f t="shared" si="2"/>
        <v>0.82745879999999994</v>
      </c>
      <c r="H23" s="860">
        <f t="shared" si="3"/>
        <v>2.4370439702910285</v>
      </c>
    </row>
    <row r="24" spans="1:8" x14ac:dyDescent="0.25">
      <c r="A24" s="273"/>
      <c r="B24" s="937">
        <v>2000</v>
      </c>
      <c r="C24" s="937">
        <v>200</v>
      </c>
      <c r="D24" s="937">
        <v>120</v>
      </c>
      <c r="E24" s="358">
        <v>47.624499999999998</v>
      </c>
      <c r="F24" s="49">
        <f t="shared" si="1"/>
        <v>0.95248999999999995</v>
      </c>
      <c r="G24" s="49">
        <f t="shared" si="2"/>
        <v>0.9559899999999999</v>
      </c>
      <c r="H24" s="860">
        <f t="shared" si="3"/>
        <v>2.8155959730665985</v>
      </c>
    </row>
    <row r="25" spans="1:8" x14ac:dyDescent="0.25">
      <c r="A25" s="273"/>
      <c r="B25" s="937">
        <v>2000</v>
      </c>
      <c r="C25" s="937">
        <v>200</v>
      </c>
      <c r="D25" s="937">
        <v>130</v>
      </c>
      <c r="E25" s="358">
        <v>55.609200000000001</v>
      </c>
      <c r="F25" s="49">
        <f t="shared" si="1"/>
        <v>1.1121840000000001</v>
      </c>
      <c r="G25" s="49">
        <f t="shared" si="2"/>
        <v>1.0948366</v>
      </c>
      <c r="H25" s="860">
        <f t="shared" si="3"/>
        <v>3.2245290454146245</v>
      </c>
    </row>
    <row r="26" spans="1:8" x14ac:dyDescent="0.25">
      <c r="A26" s="273"/>
    </row>
    <row r="27" spans="1:8" x14ac:dyDescent="0.25">
      <c r="A27" s="273"/>
      <c r="B27" s="107" t="s">
        <v>1319</v>
      </c>
      <c r="C27" s="107" t="s">
        <v>509</v>
      </c>
      <c r="D27" s="107" t="s">
        <v>1320</v>
      </c>
      <c r="E27" s="107" t="s">
        <v>1315</v>
      </c>
      <c r="F27" s="107" t="s">
        <v>449</v>
      </c>
      <c r="G27" s="107" t="s">
        <v>1321</v>
      </c>
    </row>
    <row r="28" spans="1:8" x14ac:dyDescent="0.25">
      <c r="A28" s="273"/>
      <c r="B28" s="937">
        <v>2000</v>
      </c>
      <c r="C28" s="937">
        <v>180</v>
      </c>
      <c r="D28" s="937">
        <v>60</v>
      </c>
      <c r="E28" s="358">
        <v>26.986699999999999</v>
      </c>
      <c r="F28" s="49">
        <f>E28/$B$11</f>
        <v>0.53973399999999994</v>
      </c>
      <c r="G28" s="49">
        <f>0.0000000019093*C28^4 - 0.0000022261*C28^3 + 0.00097847*C28^2 - 0.19192*C28 + 14.353</f>
        <v>0.53151956799999489</v>
      </c>
    </row>
    <row r="29" spans="1:8" x14ac:dyDescent="0.25">
      <c r="A29" s="273"/>
      <c r="B29" s="937">
        <v>2000</v>
      </c>
      <c r="C29" s="937">
        <v>190</v>
      </c>
      <c r="D29" s="937">
        <v>60</v>
      </c>
      <c r="E29" s="358">
        <v>21.176300000000001</v>
      </c>
      <c r="F29" s="49">
        <f t="shared" ref="F29:F45" si="4">E29/$B$11</f>
        <v>0.42352600000000001</v>
      </c>
      <c r="G29" s="49">
        <f t="shared" ref="G29:G45" si="5">0.0000000019093*C29^4 - 0.0000022261*C29^3 + 0.00097847*C29^2 - 0.19192*C29 + 14.353</f>
        <v>0.4303659529999937</v>
      </c>
    </row>
    <row r="30" spans="1:8" x14ac:dyDescent="0.25">
      <c r="A30" s="273"/>
      <c r="B30" s="937">
        <v>2000</v>
      </c>
      <c r="C30" s="937">
        <v>200</v>
      </c>
      <c r="D30" s="937">
        <v>60</v>
      </c>
      <c r="E30" s="358">
        <v>17.431899999999999</v>
      </c>
      <c r="F30" s="49">
        <f t="shared" si="4"/>
        <v>0.348638</v>
      </c>
      <c r="G30" s="49">
        <f t="shared" si="5"/>
        <v>0.35387999999999487</v>
      </c>
    </row>
    <row r="31" spans="1:8" x14ac:dyDescent="0.25">
      <c r="A31" s="273"/>
      <c r="B31" s="937">
        <v>2000</v>
      </c>
      <c r="C31" s="937">
        <v>210</v>
      </c>
      <c r="D31" s="937">
        <v>60</v>
      </c>
      <c r="E31" s="358">
        <v>14.8851</v>
      </c>
      <c r="F31" s="49">
        <f t="shared" si="4"/>
        <v>0.29770199999999997</v>
      </c>
      <c r="G31" s="49">
        <f t="shared" si="5"/>
        <v>0.29764063299999144</v>
      </c>
    </row>
    <row r="32" spans="1:8" x14ac:dyDescent="0.25">
      <c r="A32" s="273"/>
      <c r="B32" s="937">
        <v>2000</v>
      </c>
      <c r="C32" s="937">
        <v>220</v>
      </c>
      <c r="D32" s="937">
        <v>60</v>
      </c>
      <c r="E32" s="358">
        <v>13.0989</v>
      </c>
      <c r="F32" s="49">
        <f t="shared" si="4"/>
        <v>0.26197799999999999</v>
      </c>
      <c r="G32" s="49">
        <f t="shared" si="5"/>
        <v>0.2576850079999975</v>
      </c>
    </row>
    <row r="33" spans="1:8" x14ac:dyDescent="0.25">
      <c r="A33" s="273"/>
      <c r="B33" s="937">
        <v>2000</v>
      </c>
      <c r="C33" s="937">
        <v>230</v>
      </c>
      <c r="D33" s="937">
        <v>60</v>
      </c>
      <c r="E33" s="358">
        <v>11.8308</v>
      </c>
      <c r="F33" s="49">
        <f t="shared" si="4"/>
        <v>0.23661599999999999</v>
      </c>
      <c r="G33" s="49">
        <f t="shared" si="5"/>
        <v>0.23050851299999486</v>
      </c>
    </row>
    <row r="34" spans="1:8" x14ac:dyDescent="0.25">
      <c r="A34" s="273"/>
      <c r="B34" s="937">
        <v>2000</v>
      </c>
      <c r="C34" s="937">
        <v>240</v>
      </c>
      <c r="D34" s="937">
        <v>60</v>
      </c>
      <c r="E34" s="358">
        <v>10.9361</v>
      </c>
      <c r="F34" s="49">
        <f t="shared" si="4"/>
        <v>0.218722</v>
      </c>
      <c r="G34" s="49">
        <f t="shared" si="5"/>
        <v>0.21306476799999352</v>
      </c>
    </row>
    <row r="35" spans="1:8" x14ac:dyDescent="0.25">
      <c r="A35" s="273"/>
      <c r="B35" s="937">
        <v>2000</v>
      </c>
      <c r="C35" s="937">
        <v>250</v>
      </c>
      <c r="D35" s="937">
        <v>60</v>
      </c>
      <c r="E35" s="358">
        <v>10.3246</v>
      </c>
      <c r="F35" s="49">
        <f t="shared" si="4"/>
        <v>0.20649200000000001</v>
      </c>
      <c r="G35" s="49">
        <f t="shared" si="5"/>
        <v>0.20276562499998896</v>
      </c>
    </row>
    <row r="36" spans="1:8" x14ac:dyDescent="0.25">
      <c r="A36" s="273"/>
      <c r="B36" s="937">
        <v>2000</v>
      </c>
      <c r="C36" s="937">
        <v>260</v>
      </c>
      <c r="D36" s="937">
        <v>60</v>
      </c>
      <c r="E36" s="358">
        <v>9.9381500000000003</v>
      </c>
      <c r="F36" s="49">
        <f t="shared" si="4"/>
        <v>0.198763</v>
      </c>
      <c r="G36" s="49">
        <f t="shared" si="5"/>
        <v>0.19748116799999416</v>
      </c>
    </row>
    <row r="37" spans="1:8" x14ac:dyDescent="0.25">
      <c r="A37" s="273"/>
      <c r="B37" s="937">
        <v>2000</v>
      </c>
      <c r="C37" s="937">
        <v>270</v>
      </c>
      <c r="D37" s="937">
        <v>60</v>
      </c>
      <c r="E37" s="358">
        <v>9.7384400000000007</v>
      </c>
      <c r="F37" s="49">
        <f t="shared" si="4"/>
        <v>0.19476880000000002</v>
      </c>
      <c r="G37" s="49">
        <f t="shared" si="5"/>
        <v>0.19553971299998629</v>
      </c>
    </row>
    <row r="38" spans="1:8" x14ac:dyDescent="0.25">
      <c r="A38" s="273"/>
      <c r="B38" s="937">
        <v>2000</v>
      </c>
      <c r="C38" s="937">
        <v>280</v>
      </c>
      <c r="D38" s="937">
        <v>60</v>
      </c>
      <c r="E38" s="358">
        <v>9.6983700000000006</v>
      </c>
      <c r="F38" s="49">
        <f t="shared" si="4"/>
        <v>0.19396740000000001</v>
      </c>
      <c r="G38" s="49">
        <f t="shared" si="5"/>
        <v>0.19572780799999201</v>
      </c>
    </row>
    <row r="39" spans="1:8" x14ac:dyDescent="0.25">
      <c r="A39" s="273"/>
      <c r="B39" s="937">
        <v>2000</v>
      </c>
      <c r="C39" s="937">
        <v>290</v>
      </c>
      <c r="D39" s="937">
        <v>60</v>
      </c>
      <c r="E39" s="358">
        <v>9.7952700000000004</v>
      </c>
      <c r="F39" s="49">
        <f t="shared" si="4"/>
        <v>0.19590540000000001</v>
      </c>
      <c r="G39" s="49">
        <f t="shared" si="5"/>
        <v>0.19729023299999504</v>
      </c>
    </row>
    <row r="40" spans="1:8" x14ac:dyDescent="0.25">
      <c r="A40" s="273"/>
      <c r="B40" s="937">
        <v>2000</v>
      </c>
      <c r="C40" s="937">
        <v>300</v>
      </c>
      <c r="D40" s="937">
        <v>60</v>
      </c>
      <c r="E40" s="358">
        <v>10.0138</v>
      </c>
      <c r="F40" s="49">
        <f t="shared" si="4"/>
        <v>0.20027600000000001</v>
      </c>
      <c r="G40" s="49">
        <f t="shared" si="5"/>
        <v>0.19992999999999306</v>
      </c>
    </row>
    <row r="41" spans="1:8" x14ac:dyDescent="0.25">
      <c r="A41" s="273"/>
      <c r="B41" s="937">
        <v>2000</v>
      </c>
      <c r="C41" s="937">
        <v>310</v>
      </c>
      <c r="D41" s="937">
        <v>60</v>
      </c>
      <c r="E41" s="358">
        <v>10.326599999999999</v>
      </c>
      <c r="F41" s="49">
        <f t="shared" si="4"/>
        <v>0.20653199999999999</v>
      </c>
      <c r="G41" s="49">
        <f t="shared" si="5"/>
        <v>0.20380835299997635</v>
      </c>
    </row>
    <row r="42" spans="1:8" x14ac:dyDescent="0.25">
      <c r="A42" s="273"/>
      <c r="B42" s="937">
        <v>2000</v>
      </c>
      <c r="C42" s="937">
        <v>320</v>
      </c>
      <c r="D42" s="937">
        <v>60</v>
      </c>
      <c r="E42" s="358">
        <v>10.732799999999999</v>
      </c>
      <c r="F42" s="49">
        <f t="shared" si="4"/>
        <v>0.21465599999999999</v>
      </c>
      <c r="G42" s="49">
        <f t="shared" si="5"/>
        <v>0.20954476799999178</v>
      </c>
    </row>
    <row r="43" spans="1:8" x14ac:dyDescent="0.25">
      <c r="A43" s="273"/>
      <c r="B43" s="937">
        <v>2000</v>
      </c>
      <c r="C43" s="937">
        <v>330</v>
      </c>
      <c r="D43" s="937">
        <v>60</v>
      </c>
      <c r="E43" s="358">
        <v>11.2471</v>
      </c>
      <c r="F43" s="49">
        <f t="shared" si="4"/>
        <v>0.224942</v>
      </c>
      <c r="G43" s="49">
        <f t="shared" si="5"/>
        <v>0.21821695299997934</v>
      </c>
    </row>
    <row r="44" spans="1:8" x14ac:dyDescent="0.25">
      <c r="A44" s="273"/>
      <c r="B44" s="937">
        <v>2000</v>
      </c>
      <c r="C44" s="937">
        <v>340</v>
      </c>
      <c r="D44" s="937">
        <v>60</v>
      </c>
      <c r="E44" s="358">
        <v>11.834899999999999</v>
      </c>
      <c r="F44" s="49">
        <f t="shared" si="4"/>
        <v>0.23669799999999999</v>
      </c>
      <c r="G44" s="49">
        <f t="shared" si="5"/>
        <v>0.23136084799998535</v>
      </c>
    </row>
    <row r="45" spans="1:8" x14ac:dyDescent="0.25">
      <c r="A45" s="273"/>
      <c r="B45" s="937">
        <v>2000</v>
      </c>
      <c r="C45" s="937">
        <v>350</v>
      </c>
      <c r="D45" s="937">
        <v>60</v>
      </c>
      <c r="E45" s="358">
        <v>12.507400000000001</v>
      </c>
      <c r="F45" s="49">
        <f t="shared" si="4"/>
        <v>0.25014800000000004</v>
      </c>
      <c r="G45" s="49">
        <f t="shared" si="5"/>
        <v>0.25097062499998479</v>
      </c>
      <c r="H45" s="153"/>
    </row>
    <row r="46" spans="1:8" x14ac:dyDescent="0.25">
      <c r="A46" s="273"/>
      <c r="H46" s="153"/>
    </row>
    <row r="47" spans="1:8" x14ac:dyDescent="0.25">
      <c r="A47" s="273"/>
      <c r="B47" s="107" t="s">
        <v>1319</v>
      </c>
      <c r="C47" s="107" t="s">
        <v>509</v>
      </c>
      <c r="D47" s="107" t="s">
        <v>1320</v>
      </c>
      <c r="E47" s="107" t="s">
        <v>1315</v>
      </c>
      <c r="F47" s="107" t="s">
        <v>449</v>
      </c>
      <c r="G47" s="107" t="s">
        <v>1321</v>
      </c>
      <c r="H47" s="937" t="s">
        <v>1323</v>
      </c>
    </row>
    <row r="48" spans="1:8" x14ac:dyDescent="0.25">
      <c r="A48" s="273"/>
      <c r="B48" s="937">
        <v>1000</v>
      </c>
      <c r="C48" s="937">
        <v>200</v>
      </c>
      <c r="D48" s="937">
        <v>60</v>
      </c>
      <c r="E48" s="358">
        <v>19.284700000000001</v>
      </c>
      <c r="F48" s="49">
        <f>E48/$B$11</f>
        <v>0.38569400000000004</v>
      </c>
      <c r="G48" s="937">
        <f xml:space="preserve"> -0.000037764*B48 + 0.42381</f>
        <v>0.386046</v>
      </c>
      <c r="H48" s="153">
        <f t="shared" ref="H48:H49" si="6">G48/$G$50</f>
        <v>1.108429376195152</v>
      </c>
    </row>
    <row r="49" spans="1:8" x14ac:dyDescent="0.25">
      <c r="A49" s="273"/>
      <c r="B49" s="937">
        <f>B48+500</f>
        <v>1500</v>
      </c>
      <c r="C49" s="937">
        <v>200</v>
      </c>
      <c r="D49" s="937">
        <v>60</v>
      </c>
      <c r="E49" s="358">
        <v>18.363</v>
      </c>
      <c r="F49" s="49">
        <f t="shared" ref="F49:F66" si="7">E49/$B$11</f>
        <v>0.36725999999999998</v>
      </c>
      <c r="G49" s="937">
        <f t="shared" ref="G49:G66" si="8" xml:space="preserve"> -0.000037764*B49 + 0.42381</f>
        <v>0.36716400000000005</v>
      </c>
      <c r="H49" s="153">
        <f t="shared" si="6"/>
        <v>1.0542146880975762</v>
      </c>
    </row>
    <row r="50" spans="1:8" x14ac:dyDescent="0.25">
      <c r="A50" s="273"/>
      <c r="B50" s="937">
        <f t="shared" ref="B50:B65" si="9">B49+500</f>
        <v>2000</v>
      </c>
      <c r="C50" s="937">
        <v>200</v>
      </c>
      <c r="D50" s="937">
        <v>60</v>
      </c>
      <c r="E50" s="358">
        <v>17.431899999999999</v>
      </c>
      <c r="F50" s="49">
        <f t="shared" si="7"/>
        <v>0.348638</v>
      </c>
      <c r="G50" s="937">
        <f t="shared" si="8"/>
        <v>0.34828200000000004</v>
      </c>
      <c r="H50" s="793">
        <f>G50/$G$50</f>
        <v>1</v>
      </c>
    </row>
    <row r="51" spans="1:8" x14ac:dyDescent="0.25">
      <c r="B51" s="937">
        <f t="shared" si="9"/>
        <v>2500</v>
      </c>
      <c r="C51" s="937">
        <v>200</v>
      </c>
      <c r="D51" s="937">
        <v>60</v>
      </c>
      <c r="E51" s="358">
        <v>16.493099999999998</v>
      </c>
      <c r="F51" s="49">
        <f t="shared" si="7"/>
        <v>0.32986199999999999</v>
      </c>
      <c r="G51" s="937">
        <f t="shared" si="8"/>
        <v>0.32940000000000003</v>
      </c>
      <c r="H51" s="153">
        <f t="shared" ref="H51:H66" si="10">G51/$G$50</f>
        <v>0.94578531190242388</v>
      </c>
    </row>
    <row r="52" spans="1:8" x14ac:dyDescent="0.25">
      <c r="B52" s="937">
        <f t="shared" si="9"/>
        <v>3000</v>
      </c>
      <c r="C52" s="937">
        <v>200</v>
      </c>
      <c r="D52" s="937">
        <v>60</v>
      </c>
      <c r="E52" s="358">
        <v>15.5482</v>
      </c>
      <c r="F52" s="49">
        <f t="shared" si="7"/>
        <v>0.31096400000000002</v>
      </c>
      <c r="G52" s="937">
        <f t="shared" si="8"/>
        <v>0.31051800000000002</v>
      </c>
      <c r="H52" s="153">
        <f t="shared" si="10"/>
        <v>0.89157062380484775</v>
      </c>
    </row>
    <row r="53" spans="1:8" x14ac:dyDescent="0.25">
      <c r="B53" s="937">
        <f t="shared" si="9"/>
        <v>3500</v>
      </c>
      <c r="C53" s="937">
        <v>200</v>
      </c>
      <c r="D53" s="937">
        <v>60</v>
      </c>
      <c r="E53" s="358">
        <v>14.598800000000001</v>
      </c>
      <c r="F53" s="49">
        <f t="shared" si="7"/>
        <v>0.29197600000000001</v>
      </c>
      <c r="G53" s="937">
        <f t="shared" si="8"/>
        <v>0.29163600000000001</v>
      </c>
      <c r="H53" s="153">
        <f t="shared" si="10"/>
        <v>0.83735593570727163</v>
      </c>
    </row>
    <row r="54" spans="1:8" x14ac:dyDescent="0.25">
      <c r="B54" s="937">
        <f t="shared" si="9"/>
        <v>4000</v>
      </c>
      <c r="C54" s="937">
        <v>200</v>
      </c>
      <c r="D54" s="937">
        <v>60</v>
      </c>
      <c r="E54" s="358">
        <v>13.6462</v>
      </c>
      <c r="F54" s="49">
        <f t="shared" si="7"/>
        <v>0.272924</v>
      </c>
      <c r="G54" s="937">
        <f t="shared" si="8"/>
        <v>0.27275400000000005</v>
      </c>
      <c r="H54" s="153">
        <f t="shared" si="10"/>
        <v>0.78314124760969561</v>
      </c>
    </row>
    <row r="55" spans="1:8" x14ac:dyDescent="0.25">
      <c r="B55" s="937">
        <f t="shared" si="9"/>
        <v>4500</v>
      </c>
      <c r="C55" s="937">
        <v>200</v>
      </c>
      <c r="D55" s="937">
        <v>60</v>
      </c>
      <c r="E55" s="358">
        <v>12.6921</v>
      </c>
      <c r="F55" s="49">
        <f t="shared" si="7"/>
        <v>0.25384200000000001</v>
      </c>
      <c r="G55" s="937">
        <f t="shared" si="8"/>
        <v>0.25387199999999999</v>
      </c>
      <c r="H55" s="153">
        <f t="shared" si="10"/>
        <v>0.72892655951211938</v>
      </c>
    </row>
    <row r="56" spans="1:8" x14ac:dyDescent="0.25">
      <c r="B56" s="937">
        <f t="shared" si="9"/>
        <v>5000</v>
      </c>
      <c r="C56" s="937">
        <v>200</v>
      </c>
      <c r="D56" s="937">
        <v>60</v>
      </c>
      <c r="E56" s="937">
        <v>11.7376</v>
      </c>
      <c r="F56" s="49">
        <f t="shared" si="7"/>
        <v>0.23475200000000002</v>
      </c>
      <c r="G56" s="937">
        <f t="shared" si="8"/>
        <v>0.23499000000000003</v>
      </c>
      <c r="H56" s="153">
        <f t="shared" si="10"/>
        <v>0.67471187141454336</v>
      </c>
    </row>
    <row r="57" spans="1:8" x14ac:dyDescent="0.25">
      <c r="B57" s="937">
        <f t="shared" si="9"/>
        <v>5500</v>
      </c>
      <c r="C57" s="937">
        <v>200</v>
      </c>
      <c r="D57" s="937">
        <v>60</v>
      </c>
      <c r="E57" s="937">
        <v>10.784000000000001</v>
      </c>
      <c r="F57" s="49">
        <f t="shared" si="7"/>
        <v>0.21568000000000001</v>
      </c>
      <c r="G57" s="937">
        <f t="shared" si="8"/>
        <v>0.21610800000000002</v>
      </c>
      <c r="H57" s="153">
        <f t="shared" si="10"/>
        <v>0.62049718331696724</v>
      </c>
    </row>
    <row r="58" spans="1:8" x14ac:dyDescent="0.25">
      <c r="B58" s="937">
        <f t="shared" si="9"/>
        <v>6000</v>
      </c>
      <c r="C58" s="937">
        <v>200</v>
      </c>
      <c r="D58" s="937">
        <v>60</v>
      </c>
      <c r="E58" s="937">
        <v>9.8325200000000006</v>
      </c>
      <c r="F58" s="49">
        <f t="shared" si="7"/>
        <v>0.1966504</v>
      </c>
      <c r="G58" s="937">
        <f t="shared" si="8"/>
        <v>0.19722600000000001</v>
      </c>
      <c r="H58" s="153">
        <f t="shared" si="10"/>
        <v>0.56628249521939111</v>
      </c>
    </row>
    <row r="59" spans="1:8" x14ac:dyDescent="0.25">
      <c r="B59" s="937">
        <f t="shared" si="9"/>
        <v>6500</v>
      </c>
      <c r="C59" s="937">
        <v>200</v>
      </c>
      <c r="D59" s="937">
        <v>60</v>
      </c>
      <c r="E59" s="937">
        <v>8.88429</v>
      </c>
      <c r="F59" s="49">
        <f t="shared" si="7"/>
        <v>0.1776858</v>
      </c>
      <c r="G59" s="937">
        <f t="shared" si="8"/>
        <v>0.17834400000000003</v>
      </c>
      <c r="H59" s="153">
        <f t="shared" si="10"/>
        <v>0.5120678071218151</v>
      </c>
    </row>
    <row r="60" spans="1:8" x14ac:dyDescent="0.25">
      <c r="B60" s="937">
        <f t="shared" si="9"/>
        <v>7000</v>
      </c>
      <c r="C60" s="937">
        <v>200</v>
      </c>
      <c r="D60" s="937">
        <v>60</v>
      </c>
      <c r="E60" s="937">
        <v>7.9403100000000002</v>
      </c>
      <c r="F60" s="49">
        <f t="shared" si="7"/>
        <v>0.15880620000000001</v>
      </c>
      <c r="G60" s="937">
        <f t="shared" si="8"/>
        <v>0.15946200000000005</v>
      </c>
      <c r="H60" s="153">
        <f t="shared" si="10"/>
        <v>0.45785311902423909</v>
      </c>
    </row>
    <row r="61" spans="1:8" x14ac:dyDescent="0.25">
      <c r="B61" s="937">
        <f t="shared" si="9"/>
        <v>7500</v>
      </c>
      <c r="C61" s="937">
        <v>200</v>
      </c>
      <c r="D61" s="937">
        <v>60</v>
      </c>
      <c r="E61" s="937">
        <v>7.0015700000000001</v>
      </c>
      <c r="F61" s="49">
        <f t="shared" si="7"/>
        <v>0.1400314</v>
      </c>
      <c r="G61" s="937">
        <f t="shared" si="8"/>
        <v>0.14058000000000004</v>
      </c>
      <c r="H61" s="153">
        <f t="shared" si="10"/>
        <v>0.40363843092666296</v>
      </c>
    </row>
    <row r="62" spans="1:8" x14ac:dyDescent="0.25">
      <c r="B62" s="937">
        <f>B61+500</f>
        <v>8000</v>
      </c>
      <c r="C62" s="937">
        <v>200</v>
      </c>
      <c r="D62" s="937">
        <v>60</v>
      </c>
      <c r="E62" s="937">
        <v>6.0689500000000001</v>
      </c>
      <c r="F62" s="49">
        <f t="shared" si="7"/>
        <v>0.121379</v>
      </c>
      <c r="G62" s="937">
        <f t="shared" si="8"/>
        <v>0.12169800000000003</v>
      </c>
      <c r="H62" s="153">
        <f t="shared" si="10"/>
        <v>0.34942374282908684</v>
      </c>
    </row>
    <row r="63" spans="1:8" x14ac:dyDescent="0.25">
      <c r="B63" s="937">
        <f t="shared" si="9"/>
        <v>8500</v>
      </c>
      <c r="C63" s="937">
        <v>200</v>
      </c>
      <c r="D63" s="937">
        <v>60</v>
      </c>
      <c r="E63" s="937">
        <v>5.1432700000000002</v>
      </c>
      <c r="F63" s="49">
        <f t="shared" si="7"/>
        <v>0.10286540000000001</v>
      </c>
      <c r="G63" s="937">
        <f t="shared" si="8"/>
        <v>0.10281600000000002</v>
      </c>
      <c r="H63" s="153">
        <f t="shared" si="10"/>
        <v>0.29520905473151071</v>
      </c>
    </row>
    <row r="64" spans="1:8" x14ac:dyDescent="0.25">
      <c r="B64" s="937">
        <f t="shared" si="9"/>
        <v>9000</v>
      </c>
      <c r="C64" s="937">
        <v>200</v>
      </c>
      <c r="D64" s="937">
        <v>60</v>
      </c>
      <c r="E64" s="937">
        <v>4.2252900000000002</v>
      </c>
      <c r="F64" s="49">
        <f t="shared" si="7"/>
        <v>8.4505800000000006E-2</v>
      </c>
      <c r="G64" s="937">
        <f t="shared" si="8"/>
        <v>8.3934000000000009E-2</v>
      </c>
      <c r="H64" s="153">
        <f t="shared" si="10"/>
        <v>0.24099436663393456</v>
      </c>
    </row>
    <row r="65" spans="2:15" x14ac:dyDescent="0.25">
      <c r="B65" s="937">
        <f t="shared" si="9"/>
        <v>9500</v>
      </c>
      <c r="C65" s="937">
        <v>200</v>
      </c>
      <c r="D65" s="937">
        <v>60</v>
      </c>
      <c r="E65" s="937">
        <v>3.3157100000000002</v>
      </c>
      <c r="F65" s="49">
        <f t="shared" si="7"/>
        <v>6.6314200000000004E-2</v>
      </c>
      <c r="G65" s="937">
        <f t="shared" si="8"/>
        <v>6.5051999999999999E-2</v>
      </c>
      <c r="H65" s="153">
        <f t="shared" si="10"/>
        <v>0.18677967853635843</v>
      </c>
    </row>
    <row r="66" spans="2:15" x14ac:dyDescent="0.25">
      <c r="B66" s="937">
        <f>B65+500</f>
        <v>10000</v>
      </c>
      <c r="C66" s="937">
        <v>200</v>
      </c>
      <c r="D66" s="937">
        <v>60</v>
      </c>
      <c r="E66" s="937">
        <v>2.4151600000000002</v>
      </c>
      <c r="F66" s="49">
        <f t="shared" si="7"/>
        <v>4.8303200000000004E-2</v>
      </c>
      <c r="G66" s="937">
        <f t="shared" si="8"/>
        <v>4.6170000000000044E-2</v>
      </c>
      <c r="H66" s="153">
        <f t="shared" si="10"/>
        <v>0.13256499043878248</v>
      </c>
    </row>
    <row r="71" spans="2:15" ht="15.75" thickBot="1" x14ac:dyDescent="0.3"/>
    <row r="72" spans="2:15" x14ac:dyDescent="0.25">
      <c r="B72" s="32" t="s">
        <v>1324</v>
      </c>
      <c r="C72" s="33"/>
      <c r="D72" s="33"/>
      <c r="E72" s="33"/>
      <c r="F72" s="33"/>
      <c r="G72" s="33"/>
      <c r="H72" s="34"/>
    </row>
    <row r="73" spans="2:15" x14ac:dyDescent="0.25">
      <c r="B73" s="35" t="s">
        <v>1325</v>
      </c>
      <c r="C73" s="36" t="s">
        <v>1326</v>
      </c>
      <c r="D73" s="36" t="s">
        <v>1327</v>
      </c>
      <c r="E73" s="36" t="s">
        <v>1328</v>
      </c>
      <c r="F73" s="36" t="s">
        <v>1329</v>
      </c>
      <c r="G73" s="36" t="s">
        <v>1330</v>
      </c>
      <c r="H73" s="37" t="s">
        <v>1331</v>
      </c>
    </row>
    <row r="74" spans="2:15" x14ac:dyDescent="0.25">
      <c r="B74" s="35">
        <v>180</v>
      </c>
      <c r="C74" s="36">
        <v>1500</v>
      </c>
      <c r="D74" s="36">
        <v>30</v>
      </c>
      <c r="E74" s="36">
        <v>15</v>
      </c>
      <c r="F74" s="36">
        <v>18.747</v>
      </c>
      <c r="G74" s="36">
        <v>19.22</v>
      </c>
      <c r="H74" s="851">
        <f>(G74-F74)/F74</f>
        <v>2.5230703579239292E-2</v>
      </c>
    </row>
    <row r="75" spans="2:15" x14ac:dyDescent="0.25">
      <c r="B75" s="35">
        <f>B74+10</f>
        <v>190</v>
      </c>
      <c r="C75" s="36">
        <v>2000</v>
      </c>
      <c r="D75" s="36">
        <v>30</v>
      </c>
      <c r="E75" s="36">
        <v>15</v>
      </c>
      <c r="F75" s="36">
        <v>17.939399999999999</v>
      </c>
      <c r="G75" s="36">
        <v>18.239999999999998</v>
      </c>
      <c r="H75" s="851">
        <f t="shared" ref="H75:H88" si="11">(G75-F75)/F75</f>
        <v>1.6756413257968457E-2</v>
      </c>
    </row>
    <row r="76" spans="2:15" x14ac:dyDescent="0.25">
      <c r="B76" s="35">
        <f t="shared" ref="B76:B88" si="12">B75+10</f>
        <v>200</v>
      </c>
      <c r="C76" s="36">
        <v>2500</v>
      </c>
      <c r="D76" s="36">
        <v>30</v>
      </c>
      <c r="E76" s="36">
        <v>15</v>
      </c>
      <c r="F76" s="358">
        <v>17.337</v>
      </c>
      <c r="G76" s="358">
        <v>17.52</v>
      </c>
      <c r="H76" s="851">
        <f t="shared" si="11"/>
        <v>1.0555459422045327E-2</v>
      </c>
    </row>
    <row r="77" spans="2:15" x14ac:dyDescent="0.25">
      <c r="B77" s="35">
        <f t="shared" si="12"/>
        <v>210</v>
      </c>
      <c r="C77" s="36">
        <v>3000</v>
      </c>
      <c r="D77" s="36">
        <v>40</v>
      </c>
      <c r="E77" s="36">
        <v>15</v>
      </c>
      <c r="F77" s="358">
        <v>17.500299999999999</v>
      </c>
      <c r="G77" s="358">
        <v>17.54</v>
      </c>
      <c r="H77" s="851">
        <f t="shared" si="11"/>
        <v>2.2685325394421721E-3</v>
      </c>
      <c r="O77" s="937" t="s">
        <v>16</v>
      </c>
    </row>
    <row r="78" spans="2:15" x14ac:dyDescent="0.25">
      <c r="B78" s="35">
        <f t="shared" si="12"/>
        <v>220</v>
      </c>
      <c r="C78" s="36">
        <v>3500</v>
      </c>
      <c r="D78" s="36">
        <v>40</v>
      </c>
      <c r="E78" s="36">
        <v>15</v>
      </c>
      <c r="F78" s="358">
        <v>17.007300000000001</v>
      </c>
      <c r="G78" s="358">
        <v>17.059999999999999</v>
      </c>
      <c r="H78" s="851">
        <f t="shared" si="11"/>
        <v>3.0986693949067736E-3</v>
      </c>
    </row>
    <row r="79" spans="2:15" x14ac:dyDescent="0.25">
      <c r="B79" s="35">
        <f t="shared" si="12"/>
        <v>230</v>
      </c>
      <c r="C79" s="36">
        <v>4000</v>
      </c>
      <c r="D79" s="36">
        <v>40</v>
      </c>
      <c r="E79" s="36">
        <v>15</v>
      </c>
      <c r="F79" s="358">
        <v>16.605399999999999</v>
      </c>
      <c r="G79" s="358">
        <v>16.73</v>
      </c>
      <c r="H79" s="851">
        <f t="shared" si="11"/>
        <v>7.5035831717393704E-3</v>
      </c>
    </row>
    <row r="80" spans="2:15" x14ac:dyDescent="0.25">
      <c r="B80" s="35">
        <f t="shared" si="12"/>
        <v>240</v>
      </c>
      <c r="C80" s="36">
        <v>4500</v>
      </c>
      <c r="D80" s="36">
        <v>50</v>
      </c>
      <c r="E80" s="36">
        <v>15</v>
      </c>
      <c r="F80" s="358">
        <v>16.665700000000001</v>
      </c>
      <c r="G80" s="358">
        <v>16.87</v>
      </c>
      <c r="H80" s="851">
        <f t="shared" si="11"/>
        <v>1.2258711005238298E-2</v>
      </c>
    </row>
    <row r="81" spans="2:8" x14ac:dyDescent="0.25">
      <c r="B81" s="35">
        <f t="shared" si="12"/>
        <v>250</v>
      </c>
      <c r="C81" s="36">
        <v>5000</v>
      </c>
      <c r="D81" s="36">
        <v>50</v>
      </c>
      <c r="E81" s="36">
        <v>15</v>
      </c>
      <c r="F81" s="358">
        <v>16.322299999999998</v>
      </c>
      <c r="G81" s="358">
        <v>16.649999999999999</v>
      </c>
      <c r="H81" s="851">
        <f t="shared" si="11"/>
        <v>2.0076827407902082E-2</v>
      </c>
    </row>
    <row r="82" spans="2:8" x14ac:dyDescent="0.25">
      <c r="B82" s="35">
        <f t="shared" si="12"/>
        <v>260</v>
      </c>
      <c r="C82" s="36">
        <v>5500</v>
      </c>
      <c r="D82" s="36">
        <v>60</v>
      </c>
      <c r="E82" s="36">
        <v>50</v>
      </c>
      <c r="F82" s="358">
        <v>54.460299999999997</v>
      </c>
      <c r="G82" s="358">
        <v>56.13</v>
      </c>
      <c r="H82" s="851">
        <f t="shared" si="11"/>
        <v>3.0659030523151838E-2</v>
      </c>
    </row>
    <row r="83" spans="2:8" x14ac:dyDescent="0.25">
      <c r="B83" s="35">
        <f t="shared" si="12"/>
        <v>270</v>
      </c>
      <c r="C83" s="36">
        <v>6000</v>
      </c>
      <c r="D83" s="36">
        <v>60</v>
      </c>
      <c r="E83" s="36">
        <v>50</v>
      </c>
      <c r="F83" s="358">
        <v>53.454500000000003</v>
      </c>
      <c r="G83" s="358">
        <v>55.54</v>
      </c>
      <c r="H83" s="851">
        <f t="shared" si="11"/>
        <v>3.9014488957898698E-2</v>
      </c>
    </row>
    <row r="84" spans="2:8" x14ac:dyDescent="0.25">
      <c r="B84" s="35">
        <f t="shared" si="12"/>
        <v>280</v>
      </c>
      <c r="C84" s="36">
        <v>6500</v>
      </c>
      <c r="D84" s="36">
        <v>70</v>
      </c>
      <c r="E84" s="36">
        <v>50</v>
      </c>
      <c r="F84" s="358">
        <v>53.3996</v>
      </c>
      <c r="G84" s="358">
        <v>56.15</v>
      </c>
      <c r="H84" s="851">
        <f t="shared" si="11"/>
        <v>5.150600379029055E-2</v>
      </c>
    </row>
    <row r="85" spans="2:8" x14ac:dyDescent="0.25">
      <c r="B85" s="35">
        <f t="shared" si="12"/>
        <v>290</v>
      </c>
      <c r="C85" s="36">
        <v>7000</v>
      </c>
      <c r="D85" s="36">
        <v>70</v>
      </c>
      <c r="E85" s="36">
        <v>50</v>
      </c>
      <c r="F85" s="358">
        <v>52.456299999999999</v>
      </c>
      <c r="G85" s="358">
        <v>55.54</v>
      </c>
      <c r="H85" s="851">
        <f t="shared" si="11"/>
        <v>5.8786075266459896E-2</v>
      </c>
    </row>
    <row r="86" spans="2:8" x14ac:dyDescent="0.25">
      <c r="B86" s="35">
        <f t="shared" si="12"/>
        <v>300</v>
      </c>
      <c r="C86" s="36">
        <v>7500</v>
      </c>
      <c r="D86" s="36">
        <v>80</v>
      </c>
      <c r="E86" s="36">
        <v>50</v>
      </c>
      <c r="F86" s="358">
        <v>52.280700000000003</v>
      </c>
      <c r="G86" s="358">
        <v>55.99</v>
      </c>
      <c r="H86" s="851">
        <f t="shared" si="11"/>
        <v>7.0949700367439583E-2</v>
      </c>
    </row>
    <row r="87" spans="2:8" x14ac:dyDescent="0.25">
      <c r="B87" s="35">
        <f t="shared" si="12"/>
        <v>310</v>
      </c>
      <c r="C87" s="36">
        <v>8000</v>
      </c>
      <c r="D87" s="36">
        <v>90</v>
      </c>
      <c r="E87" s="36">
        <v>50</v>
      </c>
      <c r="F87" s="358">
        <v>52.014099999999999</v>
      </c>
      <c r="G87" s="358">
        <v>56.31</v>
      </c>
      <c r="H87" s="851">
        <f t="shared" si="11"/>
        <v>8.2591066653080664E-2</v>
      </c>
    </row>
    <row r="88" spans="2:8" ht="15.75" thickBot="1" x14ac:dyDescent="0.3">
      <c r="B88" s="38">
        <f t="shared" si="12"/>
        <v>320</v>
      </c>
      <c r="C88" s="39">
        <v>8500</v>
      </c>
      <c r="D88" s="39">
        <v>100</v>
      </c>
      <c r="E88" s="39">
        <v>50</v>
      </c>
      <c r="F88" s="39">
        <v>51.659199999999998</v>
      </c>
      <c r="G88" s="39">
        <v>56.46</v>
      </c>
      <c r="H88" s="942">
        <f t="shared" si="11"/>
        <v>9.2932139870536182E-2</v>
      </c>
    </row>
  </sheetData>
  <sheetProtection password="DFD3" sheet="1" objects="1" scenario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7</vt:i4>
      </vt:variant>
    </vt:vector>
  </HeadingPairs>
  <TitlesOfParts>
    <vt:vector size="34" baseType="lpstr">
      <vt:lpstr>About</vt:lpstr>
      <vt:lpstr>Influence diagram</vt:lpstr>
      <vt:lpstr>FAQ</vt:lpstr>
      <vt:lpstr>Start</vt:lpstr>
      <vt:lpstr>ProjectData</vt:lpstr>
      <vt:lpstr>Summary Results</vt:lpstr>
      <vt:lpstr>User Add-in Location</vt:lpstr>
      <vt:lpstr>Calculations</vt:lpstr>
      <vt:lpstr>Default Data</vt:lpstr>
      <vt:lpstr>Local Share</vt:lpstr>
      <vt:lpstr>Brine effectiveness</vt:lpstr>
      <vt:lpstr>Rates &amp; Misc</vt:lpstr>
      <vt:lpstr>Job Rates and Wages</vt:lpstr>
      <vt:lpstr>Fluid Density</vt:lpstr>
      <vt:lpstr>Binary Economies of Scale</vt:lpstr>
      <vt:lpstr>Binary  plant costs</vt:lpstr>
      <vt:lpstr>Flash Plant Costs</vt:lpstr>
      <vt:lpstr>Flash Economies of Scale</vt:lpstr>
      <vt:lpstr>Multipliers</vt:lpstr>
      <vt:lpstr>Flash O&amp;M</vt:lpstr>
      <vt:lpstr>Household Exp</vt:lpstr>
      <vt:lpstr>Deflators</vt:lpstr>
      <vt:lpstr>Drill Cost Curves</vt:lpstr>
      <vt:lpstr>BLS PPI Oil Gas Drilling</vt:lpstr>
      <vt:lpstr>CERA PCCI power plant index</vt:lpstr>
      <vt:lpstr>Binary Parasitic Losses</vt:lpstr>
      <vt:lpstr>Flash Parasitic Losses</vt:lpstr>
      <vt:lpstr>'Influence diagram'!diagBoxRange</vt:lpstr>
      <vt:lpstr>PlantScalar</vt:lpstr>
      <vt:lpstr>PLScalar</vt:lpstr>
      <vt:lpstr>Scalar</vt:lpstr>
      <vt:lpstr>Statelist</vt:lpstr>
      <vt:lpstr>States</vt:lpstr>
      <vt:lpstr>StimulationCosts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JEDI Geothermal Model</dc:title>
  <dc:creator>Marshall Goldberg (MRG) and Chris Johnson (NREL)</dc:creator>
  <cp:lastModifiedBy>Marshall Goldberg</cp:lastModifiedBy>
  <cp:lastPrinted>2014-11-01T21:44:58Z</cp:lastPrinted>
  <dcterms:created xsi:type="dcterms:W3CDTF">2011-07-19T16:21:02Z</dcterms:created>
  <dcterms:modified xsi:type="dcterms:W3CDTF">2016-12-29T15:15:53Z</dcterms:modified>
  <cp:category>Geothermal Energy</cp:category>
</cp:coreProperties>
</file>