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peng.SES8024690\Google Drive\Work\Work 2020-2021\Berkeley Lab\Projects\Reverse Engineering\Python code\Input files\"/>
    </mc:Choice>
  </mc:AlternateContent>
  <xr:revisionPtr revIDLastSave="0" documentId="13_ncr:1_{E61F0F5D-B386-46C5-82F2-B61AAFF844E0}" xr6:coauthVersionLast="47" xr6:coauthVersionMax="47" xr10:uidLastSave="{00000000-0000-0000-0000-000000000000}"/>
  <bookViews>
    <workbookView xWindow="-19298" yWindow="-98" windowWidth="19396" windowHeight="12196" activeTab="1" xr2:uid="{0C49FAE5-F3E4-48A2-B9D1-4189CCC3CB46}"/>
  </bookViews>
  <sheets>
    <sheet name="Notes" sheetId="1" r:id="rId1"/>
    <sheet name="type1_rev3" sheetId="2" r:id="rId2"/>
    <sheet name="type3_rev3" sheetId="3" r:id="rId3"/>
    <sheet name="type4_rev3" sheetId="4" r:id="rId4"/>
    <sheet name="Imperical rela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4" l="1"/>
  <c r="J2" i="4" s="1"/>
  <c r="C26" i="2"/>
  <c r="C194" i="5"/>
  <c r="D194" i="5"/>
  <c r="E194" i="5"/>
  <c r="F194" i="5"/>
  <c r="G194" i="5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M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M150" i="4"/>
  <c r="N149" i="4"/>
  <c r="N148" i="4"/>
  <c r="M148" i="4"/>
  <c r="N147" i="4"/>
  <c r="N146" i="4"/>
  <c r="N145" i="4"/>
  <c r="M145" i="4"/>
  <c r="N144" i="4"/>
  <c r="N143" i="4"/>
  <c r="N142" i="4"/>
  <c r="N141" i="4"/>
  <c r="N140" i="4"/>
  <c r="N139" i="4"/>
  <c r="M139" i="4"/>
  <c r="N138" i="4"/>
  <c r="N137" i="4"/>
  <c r="M137" i="4"/>
  <c r="N136" i="4"/>
  <c r="N135" i="4"/>
  <c r="M135" i="4"/>
  <c r="N134" i="4"/>
  <c r="N133" i="4"/>
  <c r="N132" i="4"/>
  <c r="N131" i="4"/>
  <c r="M131" i="4"/>
  <c r="N130" i="4"/>
  <c r="N129" i="4"/>
  <c r="M129" i="4"/>
  <c r="N128" i="4"/>
  <c r="N127" i="4"/>
  <c r="M127" i="4"/>
  <c r="N126" i="4"/>
  <c r="N125" i="4"/>
  <c r="N124" i="4"/>
  <c r="N123" i="4"/>
  <c r="M123" i="4"/>
  <c r="N122" i="4"/>
  <c r="N121" i="4"/>
  <c r="M121" i="4"/>
  <c r="N120" i="4"/>
  <c r="N119" i="4"/>
  <c r="M119" i="4"/>
  <c r="N118" i="4"/>
  <c r="N117" i="4"/>
  <c r="N116" i="4"/>
  <c r="N115" i="4"/>
  <c r="M115" i="4"/>
  <c r="N114" i="4"/>
  <c r="N113" i="4"/>
  <c r="M113" i="4"/>
  <c r="N112" i="4"/>
  <c r="N111" i="4"/>
  <c r="M111" i="4"/>
  <c r="N110" i="4"/>
  <c r="N109" i="4"/>
  <c r="N108" i="4"/>
  <c r="N107" i="4"/>
  <c r="M107" i="4"/>
  <c r="N106" i="4"/>
  <c r="N105" i="4"/>
  <c r="M105" i="4"/>
  <c r="N104" i="4"/>
  <c r="N103" i="4"/>
  <c r="M103" i="4"/>
  <c r="N102" i="4"/>
  <c r="N101" i="4"/>
  <c r="N100" i="4"/>
  <c r="N99" i="4"/>
  <c r="M99" i="4"/>
  <c r="N98" i="4"/>
  <c r="N97" i="4"/>
  <c r="M97" i="4"/>
  <c r="N96" i="4"/>
  <c r="N95" i="4"/>
  <c r="M95" i="4"/>
  <c r="N94" i="4"/>
  <c r="N93" i="4"/>
  <c r="N92" i="4"/>
  <c r="N91" i="4"/>
  <c r="M91" i="4"/>
  <c r="N90" i="4"/>
  <c r="N89" i="4"/>
  <c r="M89" i="4"/>
  <c r="N88" i="4"/>
  <c r="N87" i="4"/>
  <c r="M87" i="4"/>
  <c r="N86" i="4"/>
  <c r="N85" i="4"/>
  <c r="N84" i="4"/>
  <c r="N83" i="4"/>
  <c r="M83" i="4"/>
  <c r="N82" i="4"/>
  <c r="N81" i="4"/>
  <c r="M81" i="4"/>
  <c r="N80" i="4"/>
  <c r="N79" i="4"/>
  <c r="M79" i="4"/>
  <c r="N78" i="4"/>
  <c r="N77" i="4"/>
  <c r="N76" i="4"/>
  <c r="N75" i="4"/>
  <c r="M75" i="4"/>
  <c r="N74" i="4"/>
  <c r="N73" i="4"/>
  <c r="M73" i="4"/>
  <c r="N72" i="4"/>
  <c r="N71" i="4"/>
  <c r="M71" i="4"/>
  <c r="N70" i="4"/>
  <c r="N69" i="4"/>
  <c r="N68" i="4"/>
  <c r="N67" i="4"/>
  <c r="N66" i="4"/>
  <c r="N65" i="4"/>
  <c r="N64" i="4"/>
  <c r="M64" i="4"/>
  <c r="N63" i="4"/>
  <c r="N62" i="4"/>
  <c r="N61" i="4"/>
  <c r="M61" i="4"/>
  <c r="N60" i="4"/>
  <c r="N59" i="4"/>
  <c r="M59" i="4"/>
  <c r="N58" i="4"/>
  <c r="N57" i="4"/>
  <c r="N56" i="4"/>
  <c r="N55" i="4"/>
  <c r="N54" i="4"/>
  <c r="M54" i="4"/>
  <c r="N53" i="4"/>
  <c r="N52" i="4"/>
  <c r="N51" i="4"/>
  <c r="M51" i="4"/>
  <c r="N50" i="4"/>
  <c r="N49" i="4"/>
  <c r="M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M35" i="4"/>
  <c r="N34" i="4"/>
  <c r="N33" i="4"/>
  <c r="M33" i="4"/>
  <c r="N32" i="4"/>
  <c r="N31" i="4"/>
  <c r="N30" i="4"/>
  <c r="C30" i="4"/>
  <c r="N29" i="4"/>
  <c r="N28" i="4"/>
  <c r="N27" i="4"/>
  <c r="N26" i="4"/>
  <c r="N25" i="4"/>
  <c r="N24" i="4"/>
  <c r="M24" i="4"/>
  <c r="C24" i="4"/>
  <c r="N23" i="4"/>
  <c r="C23" i="4"/>
  <c r="N22" i="4"/>
  <c r="N21" i="4"/>
  <c r="N20" i="4"/>
  <c r="N19" i="4"/>
  <c r="M19" i="4"/>
  <c r="N18" i="4"/>
  <c r="N17" i="4"/>
  <c r="C17" i="4"/>
  <c r="N16" i="4"/>
  <c r="N15" i="4"/>
  <c r="N14" i="4"/>
  <c r="N13" i="4"/>
  <c r="N12" i="4"/>
  <c r="N11" i="4"/>
  <c r="N10" i="4"/>
  <c r="N9" i="4"/>
  <c r="M9" i="4"/>
  <c r="N8" i="4"/>
  <c r="N7" i="4"/>
  <c r="N6" i="4"/>
  <c r="N5" i="4"/>
  <c r="N4" i="4"/>
  <c r="N3" i="4"/>
  <c r="M3" i="4"/>
  <c r="N2" i="4"/>
  <c r="K2" i="4"/>
  <c r="M341" i="4" s="1"/>
  <c r="R452" i="3"/>
  <c r="R451" i="3"/>
  <c r="R450" i="3"/>
  <c r="R449" i="3"/>
  <c r="R448" i="3"/>
  <c r="R447" i="3"/>
  <c r="R446" i="3"/>
  <c r="R445" i="3"/>
  <c r="Q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Q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Q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Q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Q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Q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Q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Q103" i="3"/>
  <c r="R102" i="3"/>
  <c r="R101" i="3"/>
  <c r="R100" i="3"/>
  <c r="R99" i="3"/>
  <c r="R98" i="3"/>
  <c r="R97" i="3"/>
  <c r="R96" i="3"/>
  <c r="R95" i="3"/>
  <c r="R94" i="3"/>
  <c r="R93" i="3"/>
  <c r="Q93" i="3"/>
  <c r="R92" i="3"/>
  <c r="R91" i="3"/>
  <c r="R90" i="3"/>
  <c r="Q90" i="3"/>
  <c r="R89" i="3"/>
  <c r="R88" i="3"/>
  <c r="Q88" i="3"/>
  <c r="R87" i="3"/>
  <c r="R86" i="3"/>
  <c r="R85" i="3"/>
  <c r="R84" i="3"/>
  <c r="R83" i="3"/>
  <c r="R82" i="3"/>
  <c r="R81" i="3"/>
  <c r="R80" i="3"/>
  <c r="R79" i="3"/>
  <c r="Q79" i="3"/>
  <c r="R78" i="3"/>
  <c r="R77" i="3"/>
  <c r="R76" i="3"/>
  <c r="Q76" i="3"/>
  <c r="R75" i="3"/>
  <c r="R74" i="3"/>
  <c r="Q74" i="3"/>
  <c r="R73" i="3"/>
  <c r="R72" i="3"/>
  <c r="Q72" i="3"/>
  <c r="R71" i="3"/>
  <c r="R70" i="3"/>
  <c r="R69" i="3"/>
  <c r="Q69" i="3"/>
  <c r="R68" i="3"/>
  <c r="R67" i="3"/>
  <c r="R66" i="3"/>
  <c r="Q66" i="3"/>
  <c r="R65" i="3"/>
  <c r="R64" i="3"/>
  <c r="R63" i="3"/>
  <c r="C63" i="3"/>
  <c r="R62" i="3"/>
  <c r="R61" i="3"/>
  <c r="Q61" i="3"/>
  <c r="R60" i="3"/>
  <c r="R59" i="3"/>
  <c r="R58" i="3"/>
  <c r="R57" i="3"/>
  <c r="Q57" i="3"/>
  <c r="R56" i="3"/>
  <c r="R55" i="3"/>
  <c r="R54" i="3"/>
  <c r="R53" i="3"/>
  <c r="R52" i="3"/>
  <c r="R51" i="3"/>
  <c r="R50" i="3"/>
  <c r="C50" i="3"/>
  <c r="R49" i="3"/>
  <c r="R48" i="3"/>
  <c r="R47" i="3"/>
  <c r="Q47" i="3"/>
  <c r="R46" i="3"/>
  <c r="R45" i="3"/>
  <c r="Q45" i="3"/>
  <c r="R44" i="3"/>
  <c r="R43" i="3"/>
  <c r="R42" i="3"/>
  <c r="R41" i="3"/>
  <c r="R40" i="3"/>
  <c r="R39" i="3"/>
  <c r="R38" i="3"/>
  <c r="R37" i="3"/>
  <c r="R36" i="3"/>
  <c r="R35" i="3"/>
  <c r="C35" i="3"/>
  <c r="C37" i="3" s="1"/>
  <c r="R34" i="3"/>
  <c r="R33" i="3"/>
  <c r="R32" i="3"/>
  <c r="R31" i="3"/>
  <c r="R30" i="3"/>
  <c r="E30" i="3"/>
  <c r="C30" i="3"/>
  <c r="R29" i="3"/>
  <c r="C29" i="3"/>
  <c r="C69" i="3" s="1"/>
  <c r="R28" i="3"/>
  <c r="R27" i="3"/>
  <c r="R26" i="3"/>
  <c r="R25" i="3"/>
  <c r="E25" i="3"/>
  <c r="R24" i="3"/>
  <c r="R23" i="3"/>
  <c r="R22" i="3"/>
  <c r="R21" i="3"/>
  <c r="R20" i="3"/>
  <c r="R19" i="3"/>
  <c r="R18" i="3"/>
  <c r="R17" i="3"/>
  <c r="Q17" i="3"/>
  <c r="R16" i="3"/>
  <c r="R15" i="3"/>
  <c r="R14" i="3"/>
  <c r="R13" i="3"/>
  <c r="Q13" i="3"/>
  <c r="R12" i="3"/>
  <c r="R11" i="3"/>
  <c r="R10" i="3"/>
  <c r="R9" i="3"/>
  <c r="Q9" i="3"/>
  <c r="R8" i="3"/>
  <c r="R7" i="3"/>
  <c r="R6" i="3"/>
  <c r="R5" i="3"/>
  <c r="R4" i="3"/>
  <c r="R3" i="3"/>
  <c r="R2" i="3"/>
  <c r="O2" i="3"/>
  <c r="Q437" i="3" s="1"/>
  <c r="N2" i="3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C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C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C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C102" i="2"/>
  <c r="AP101" i="2"/>
  <c r="AP100" i="2"/>
  <c r="AP99" i="2"/>
  <c r="AP98" i="2"/>
  <c r="AP97" i="2"/>
  <c r="AP96" i="2"/>
  <c r="AP95" i="2"/>
  <c r="AP94" i="2"/>
  <c r="C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C48" i="2"/>
  <c r="AP47" i="2"/>
  <c r="AP46" i="2"/>
  <c r="AP45" i="2"/>
  <c r="C45" i="2"/>
  <c r="AP44" i="2"/>
  <c r="C44" i="2"/>
  <c r="AP43" i="2"/>
  <c r="C43" i="2"/>
  <c r="AP42" i="2"/>
  <c r="C42" i="2"/>
  <c r="C52" i="2" s="1"/>
  <c r="C73" i="2" s="1"/>
  <c r="AP41" i="2"/>
  <c r="AP40" i="2"/>
  <c r="AP39" i="2"/>
  <c r="C39" i="2"/>
  <c r="AP38" i="2"/>
  <c r="C38" i="2"/>
  <c r="AP37" i="2"/>
  <c r="C37" i="2"/>
  <c r="AP36" i="2"/>
  <c r="C36" i="2"/>
  <c r="C51" i="2" s="1"/>
  <c r="C71" i="2" s="1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C18" i="2"/>
  <c r="AP17" i="2"/>
  <c r="AP16" i="2"/>
  <c r="T16" i="2"/>
  <c r="AP15" i="2"/>
  <c r="T15" i="2"/>
  <c r="AP14" i="2"/>
  <c r="T14" i="2"/>
  <c r="AP13" i="2"/>
  <c r="T13" i="2"/>
  <c r="AP12" i="2"/>
  <c r="T12" i="2"/>
  <c r="AP11" i="2"/>
  <c r="T11" i="2"/>
  <c r="AP10" i="2"/>
  <c r="T10" i="2"/>
  <c r="AP9" i="2"/>
  <c r="T9" i="2"/>
  <c r="AP8" i="2"/>
  <c r="T8" i="2"/>
  <c r="AP7" i="2"/>
  <c r="T7" i="2"/>
  <c r="AP6" i="2"/>
  <c r="T6" i="2"/>
  <c r="AP5" i="2"/>
  <c r="T5" i="2"/>
  <c r="AP4" i="2"/>
  <c r="T4" i="2"/>
  <c r="AP3" i="2"/>
  <c r="T3" i="2"/>
  <c r="AP2" i="2"/>
  <c r="AM2" i="2"/>
  <c r="AO433" i="2" s="1"/>
  <c r="AL2" i="2"/>
  <c r="T2" i="2"/>
  <c r="C27" i="2" l="1"/>
  <c r="C30" i="2"/>
  <c r="C50" i="2" s="1"/>
  <c r="C98" i="2" s="1"/>
  <c r="C120" i="2" s="1"/>
  <c r="C142" i="2" s="1"/>
  <c r="C164" i="2" s="1"/>
  <c r="C25" i="2"/>
  <c r="C24" i="2"/>
  <c r="C49" i="2" s="1"/>
  <c r="C55" i="2" s="1"/>
  <c r="C32" i="2"/>
  <c r="C33" i="2"/>
  <c r="C31" i="2"/>
  <c r="E29" i="3"/>
  <c r="D29" i="3" s="1"/>
  <c r="Q213" i="3"/>
  <c r="Q245" i="3"/>
  <c r="Q277" i="3"/>
  <c r="Q309" i="3"/>
  <c r="Q341" i="3"/>
  <c r="Q397" i="3"/>
  <c r="M143" i="4"/>
  <c r="Q5" i="3"/>
  <c r="Q21" i="3"/>
  <c r="C39" i="3"/>
  <c r="C57" i="3" s="1"/>
  <c r="C58" i="3" s="1"/>
  <c r="Q64" i="3"/>
  <c r="Q75" i="3"/>
  <c r="Q84" i="3"/>
  <c r="Q87" i="3"/>
  <c r="Q89" i="3"/>
  <c r="Q221" i="3"/>
  <c r="Q253" i="3"/>
  <c r="Q285" i="3"/>
  <c r="Q317" i="3"/>
  <c r="Q349" i="3"/>
  <c r="Q413" i="3"/>
  <c r="M26" i="4"/>
  <c r="M29" i="4"/>
  <c r="M31" i="4"/>
  <c r="M40" i="4"/>
  <c r="M69" i="4"/>
  <c r="M77" i="4"/>
  <c r="M85" i="4"/>
  <c r="M93" i="4"/>
  <c r="M101" i="4"/>
  <c r="M109" i="4"/>
  <c r="M117" i="4"/>
  <c r="M125" i="4"/>
  <c r="M133" i="4"/>
  <c r="M141" i="4"/>
  <c r="Q95" i="3"/>
  <c r="Q105" i="3"/>
  <c r="Q229" i="3"/>
  <c r="Q261" i="3"/>
  <c r="Q293" i="3"/>
  <c r="Q325" i="3"/>
  <c r="Q365" i="3"/>
  <c r="Q429" i="3"/>
  <c r="M389" i="4"/>
  <c r="M13" i="4"/>
  <c r="M18" i="4"/>
  <c r="M27" i="4"/>
  <c r="M34" i="4"/>
  <c r="M39" i="4"/>
  <c r="M41" i="4"/>
  <c r="M50" i="4"/>
  <c r="M52" i="4"/>
  <c r="M58" i="4"/>
  <c r="M60" i="4"/>
  <c r="M62" i="4"/>
  <c r="M68" i="4"/>
  <c r="M70" i="4"/>
  <c r="M72" i="4"/>
  <c r="M74" i="4"/>
  <c r="M76" i="4"/>
  <c r="M78" i="4"/>
  <c r="M80" i="4"/>
  <c r="M82" i="4"/>
  <c r="M84" i="4"/>
  <c r="M86" i="4"/>
  <c r="M88" i="4"/>
  <c r="M90" i="4"/>
  <c r="M92" i="4"/>
  <c r="M94" i="4"/>
  <c r="M96" i="4"/>
  <c r="M98" i="4"/>
  <c r="M100" i="4"/>
  <c r="M102" i="4"/>
  <c r="M104" i="4"/>
  <c r="M106" i="4"/>
  <c r="M108" i="4"/>
  <c r="M110" i="4"/>
  <c r="M112" i="4"/>
  <c r="M114" i="4"/>
  <c r="M116" i="4"/>
  <c r="M118" i="4"/>
  <c r="M120" i="4"/>
  <c r="M122" i="4"/>
  <c r="M124" i="4"/>
  <c r="M126" i="4"/>
  <c r="M128" i="4"/>
  <c r="M130" i="4"/>
  <c r="M132" i="4"/>
  <c r="M134" i="4"/>
  <c r="M136" i="4"/>
  <c r="M138" i="4"/>
  <c r="M140" i="4"/>
  <c r="M142" i="4"/>
  <c r="M144" i="4"/>
  <c r="M146" i="4"/>
  <c r="M154" i="4"/>
  <c r="M325" i="4"/>
  <c r="M5" i="4"/>
  <c r="M11" i="4"/>
  <c r="M21" i="4"/>
  <c r="M37" i="4"/>
  <c r="M45" i="4"/>
  <c r="M152" i="4"/>
  <c r="AO36" i="2"/>
  <c r="AO42" i="2"/>
  <c r="AO48" i="2"/>
  <c r="AO52" i="2"/>
  <c r="AO54" i="2"/>
  <c r="AO57" i="2"/>
  <c r="AO61" i="2"/>
  <c r="AO63" i="2"/>
  <c r="AO64" i="2"/>
  <c r="AO66" i="2"/>
  <c r="AO73" i="2"/>
  <c r="AO78" i="2"/>
  <c r="AO81" i="2"/>
  <c r="AO84" i="2"/>
  <c r="AO87" i="2"/>
  <c r="AO90" i="2"/>
  <c r="AO92" i="2"/>
  <c r="AO95" i="2"/>
  <c r="AO99" i="2"/>
  <c r="AO103" i="2"/>
  <c r="AO107" i="2"/>
  <c r="AO111" i="2"/>
  <c r="AO114" i="2"/>
  <c r="C116" i="2"/>
  <c r="AO117" i="2"/>
  <c r="AO121" i="2"/>
  <c r="AO125" i="2"/>
  <c r="AO129" i="2"/>
  <c r="AO133" i="2"/>
  <c r="AO136" i="2"/>
  <c r="AO139" i="2"/>
  <c r="AO143" i="2"/>
  <c r="AO147" i="2"/>
  <c r="AO151" i="2"/>
  <c r="AO155" i="2"/>
  <c r="AO158" i="2"/>
  <c r="AO161" i="2"/>
  <c r="AO165" i="2"/>
  <c r="AO169" i="2"/>
  <c r="AO180" i="2"/>
  <c r="AO253" i="2"/>
  <c r="AO269" i="2"/>
  <c r="AO285" i="2"/>
  <c r="AO301" i="2"/>
  <c r="AO321" i="2"/>
  <c r="AO353" i="2"/>
  <c r="AO385" i="2"/>
  <c r="AO417" i="2"/>
  <c r="AO449" i="2"/>
  <c r="AO33" i="2"/>
  <c r="AO35" i="2"/>
  <c r="AO39" i="2"/>
  <c r="AO41" i="2"/>
  <c r="AO45" i="2"/>
  <c r="AO47" i="2"/>
  <c r="AO51" i="2"/>
  <c r="AO60" i="2"/>
  <c r="AO65" i="2"/>
  <c r="AO68" i="2"/>
  <c r="AO71" i="2"/>
  <c r="AO72" i="2"/>
  <c r="AO75" i="2"/>
  <c r="AO80" i="2"/>
  <c r="AO86" i="2"/>
  <c r="AO94" i="2"/>
  <c r="AO98" i="2"/>
  <c r="C101" i="2"/>
  <c r="AO102" i="2"/>
  <c r="AO106" i="2"/>
  <c r="AO110" i="2"/>
  <c r="AO116" i="2"/>
  <c r="AO120" i="2"/>
  <c r="AO124" i="2"/>
  <c r="AO128" i="2"/>
  <c r="AO132" i="2"/>
  <c r="AO138" i="2"/>
  <c r="AO142" i="2"/>
  <c r="AO146" i="2"/>
  <c r="AO150" i="2"/>
  <c r="AO154" i="2"/>
  <c r="AO160" i="2"/>
  <c r="AO164" i="2"/>
  <c r="AO168" i="2"/>
  <c r="AO257" i="2"/>
  <c r="AO273" i="2"/>
  <c r="AO289" i="2"/>
  <c r="AO305" i="2"/>
  <c r="AO329" i="2"/>
  <c r="AO361" i="2"/>
  <c r="AO393" i="2"/>
  <c r="AO425" i="2"/>
  <c r="AO3" i="2"/>
  <c r="AO15" i="2"/>
  <c r="AO18" i="2"/>
  <c r="AO24" i="2"/>
  <c r="AO29" i="2"/>
  <c r="AO9" i="2"/>
  <c r="AO13" i="2"/>
  <c r="AO20" i="2"/>
  <c r="AO26" i="2"/>
  <c r="AO32" i="2"/>
  <c r="AO38" i="2"/>
  <c r="AO44" i="2"/>
  <c r="AO50" i="2"/>
  <c r="AO53" i="2"/>
  <c r="AO56" i="2"/>
  <c r="AO59" i="2"/>
  <c r="AO62" i="2"/>
  <c r="AO70" i="2"/>
  <c r="AO77" i="2"/>
  <c r="AO79" i="2"/>
  <c r="AO83" i="2"/>
  <c r="AO85" i="2"/>
  <c r="AO89" i="2"/>
  <c r="AO91" i="2"/>
  <c r="AO93" i="2"/>
  <c r="AO97" i="2"/>
  <c r="AO101" i="2"/>
  <c r="AO105" i="2"/>
  <c r="AO109" i="2"/>
  <c r="AO113" i="2"/>
  <c r="AO115" i="2"/>
  <c r="AO119" i="2"/>
  <c r="AO123" i="2"/>
  <c r="AO127" i="2"/>
  <c r="AO131" i="2"/>
  <c r="AO135" i="2"/>
  <c r="AO137" i="2"/>
  <c r="AO141" i="2"/>
  <c r="AO145" i="2"/>
  <c r="AO149" i="2"/>
  <c r="AO153" i="2"/>
  <c r="AO157" i="2"/>
  <c r="AO159" i="2"/>
  <c r="AO163" i="2"/>
  <c r="AO167" i="2"/>
  <c r="AO171" i="2"/>
  <c r="AO173" i="2"/>
  <c r="AO175" i="2"/>
  <c r="AO177" i="2"/>
  <c r="AO179" i="2"/>
  <c r="AO181" i="2"/>
  <c r="AO183" i="2"/>
  <c r="AO185" i="2"/>
  <c r="AO187" i="2"/>
  <c r="AO189" i="2"/>
  <c r="AO245" i="2"/>
  <c r="AO261" i="2"/>
  <c r="AO277" i="2"/>
  <c r="AO293" i="2"/>
  <c r="AO309" i="2"/>
  <c r="AO337" i="2"/>
  <c r="AO369" i="2"/>
  <c r="AO401" i="2"/>
  <c r="C70" i="3"/>
  <c r="B70" i="3" s="1"/>
  <c r="AO452" i="2"/>
  <c r="AO450" i="2"/>
  <c r="AO448" i="2"/>
  <c r="AO446" i="2"/>
  <c r="AO444" i="2"/>
  <c r="AO442" i="2"/>
  <c r="AO440" i="2"/>
  <c r="AO438" i="2"/>
  <c r="AO436" i="2"/>
  <c r="AO434" i="2"/>
  <c r="AO432" i="2"/>
  <c r="AO430" i="2"/>
  <c r="AO428" i="2"/>
  <c r="AO426" i="2"/>
  <c r="AO424" i="2"/>
  <c r="AO422" i="2"/>
  <c r="AO420" i="2"/>
  <c r="AO418" i="2"/>
  <c r="AO416" i="2"/>
  <c r="AO414" i="2"/>
  <c r="AO412" i="2"/>
  <c r="AO410" i="2"/>
  <c r="AO408" i="2"/>
  <c r="AO406" i="2"/>
  <c r="AO404" i="2"/>
  <c r="AO402" i="2"/>
  <c r="AO400" i="2"/>
  <c r="AO398" i="2"/>
  <c r="AO396" i="2"/>
  <c r="AO394" i="2"/>
  <c r="AO392" i="2"/>
  <c r="AO390" i="2"/>
  <c r="AO388" i="2"/>
  <c r="AO386" i="2"/>
  <c r="AO384" i="2"/>
  <c r="AO382" i="2"/>
  <c r="AO380" i="2"/>
  <c r="AO378" i="2"/>
  <c r="AO376" i="2"/>
  <c r="AO374" i="2"/>
  <c r="AO372" i="2"/>
  <c r="AO370" i="2"/>
  <c r="AO368" i="2"/>
  <c r="AO366" i="2"/>
  <c r="AO364" i="2"/>
  <c r="AO362" i="2"/>
  <c r="AO360" i="2"/>
  <c r="AO358" i="2"/>
  <c r="AO356" i="2"/>
  <c r="AO354" i="2"/>
  <c r="AO352" i="2"/>
  <c r="AO350" i="2"/>
  <c r="AO348" i="2"/>
  <c r="AO346" i="2"/>
  <c r="AO344" i="2"/>
  <c r="AO342" i="2"/>
  <c r="AO340" i="2"/>
  <c r="AO338" i="2"/>
  <c r="AO336" i="2"/>
  <c r="AO334" i="2"/>
  <c r="AO332" i="2"/>
  <c r="AO330" i="2"/>
  <c r="AO328" i="2"/>
  <c r="AO326" i="2"/>
  <c r="AO324" i="2"/>
  <c r="AO322" i="2"/>
  <c r="AO320" i="2"/>
  <c r="AO318" i="2"/>
  <c r="AO316" i="2"/>
  <c r="AO314" i="2"/>
  <c r="AO312" i="2"/>
  <c r="AO310" i="2"/>
  <c r="AO308" i="2"/>
  <c r="AO306" i="2"/>
  <c r="AO304" i="2"/>
  <c r="AO302" i="2"/>
  <c r="AO300" i="2"/>
  <c r="AO298" i="2"/>
  <c r="AO296" i="2"/>
  <c r="AO294" i="2"/>
  <c r="AO292" i="2"/>
  <c r="AO290" i="2"/>
  <c r="AO288" i="2"/>
  <c r="AO286" i="2"/>
  <c r="AO284" i="2"/>
  <c r="AO282" i="2"/>
  <c r="AO280" i="2"/>
  <c r="AO278" i="2"/>
  <c r="AO276" i="2"/>
  <c r="AO274" i="2"/>
  <c r="AO272" i="2"/>
  <c r="AO270" i="2"/>
  <c r="AO268" i="2"/>
  <c r="AO266" i="2"/>
  <c r="AO264" i="2"/>
  <c r="AO262" i="2"/>
  <c r="AO260" i="2"/>
  <c r="AO258" i="2"/>
  <c r="AO256" i="2"/>
  <c r="AO254" i="2"/>
  <c r="AO252" i="2"/>
  <c r="AO250" i="2"/>
  <c r="AO248" i="2"/>
  <c r="AO246" i="2"/>
  <c r="AO244" i="2"/>
  <c r="AO451" i="2"/>
  <c r="AO443" i="2"/>
  <c r="AO435" i="2"/>
  <c r="AO427" i="2"/>
  <c r="AO419" i="2"/>
  <c r="AO411" i="2"/>
  <c r="AO403" i="2"/>
  <c r="AO395" i="2"/>
  <c r="AO387" i="2"/>
  <c r="AO379" i="2"/>
  <c r="AO371" i="2"/>
  <c r="AO363" i="2"/>
  <c r="AO355" i="2"/>
  <c r="AO347" i="2"/>
  <c r="AO339" i="2"/>
  <c r="AO331" i="2"/>
  <c r="AO323" i="2"/>
  <c r="AO315" i="2"/>
  <c r="AO307" i="2"/>
  <c r="AO299" i="2"/>
  <c r="AO291" i="2"/>
  <c r="AO283" i="2"/>
  <c r="AO275" i="2"/>
  <c r="AO267" i="2"/>
  <c r="AO259" i="2"/>
  <c r="AO251" i="2"/>
  <c r="AO243" i="2"/>
  <c r="AO241" i="2"/>
  <c r="AO239" i="2"/>
  <c r="AO237" i="2"/>
  <c r="AO235" i="2"/>
  <c r="AO233" i="2"/>
  <c r="AO231" i="2"/>
  <c r="AO229" i="2"/>
  <c r="AO227" i="2"/>
  <c r="AO225" i="2"/>
  <c r="AO223" i="2"/>
  <c r="AO221" i="2"/>
  <c r="AO219" i="2"/>
  <c r="AO217" i="2"/>
  <c r="AO215" i="2"/>
  <c r="AO213" i="2"/>
  <c r="AO211" i="2"/>
  <c r="AO209" i="2"/>
  <c r="AO207" i="2"/>
  <c r="AO205" i="2"/>
  <c r="AO203" i="2"/>
  <c r="AO201" i="2"/>
  <c r="AO199" i="2"/>
  <c r="AO197" i="2"/>
  <c r="AO195" i="2"/>
  <c r="AO193" i="2"/>
  <c r="AO190" i="2"/>
  <c r="AO186" i="2"/>
  <c r="AO182" i="2"/>
  <c r="AO176" i="2"/>
  <c r="AO172" i="2"/>
  <c r="AO445" i="2"/>
  <c r="AO437" i="2"/>
  <c r="AO429" i="2"/>
  <c r="AO421" i="2"/>
  <c r="AO413" i="2"/>
  <c r="AO405" i="2"/>
  <c r="AO397" i="2"/>
  <c r="AO389" i="2"/>
  <c r="AO381" i="2"/>
  <c r="AO373" i="2"/>
  <c r="AO365" i="2"/>
  <c r="AO357" i="2"/>
  <c r="AO349" i="2"/>
  <c r="AO341" i="2"/>
  <c r="AO333" i="2"/>
  <c r="AO325" i="2"/>
  <c r="AO317" i="2"/>
  <c r="AO447" i="2"/>
  <c r="AO439" i="2"/>
  <c r="AO431" i="2"/>
  <c r="AO423" i="2"/>
  <c r="AO415" i="2"/>
  <c r="AO407" i="2"/>
  <c r="AO399" i="2"/>
  <c r="AO391" i="2"/>
  <c r="AO383" i="2"/>
  <c r="AO375" i="2"/>
  <c r="AO367" i="2"/>
  <c r="AO359" i="2"/>
  <c r="AO351" i="2"/>
  <c r="AO343" i="2"/>
  <c r="AO335" i="2"/>
  <c r="AO327" i="2"/>
  <c r="AO319" i="2"/>
  <c r="AO311" i="2"/>
  <c r="AO303" i="2"/>
  <c r="AO295" i="2"/>
  <c r="AO287" i="2"/>
  <c r="AO279" i="2"/>
  <c r="AO271" i="2"/>
  <c r="AO263" i="2"/>
  <c r="AO255" i="2"/>
  <c r="AO247" i="2"/>
  <c r="AO242" i="2"/>
  <c r="AO240" i="2"/>
  <c r="AO238" i="2"/>
  <c r="AO236" i="2"/>
  <c r="AO234" i="2"/>
  <c r="AO232" i="2"/>
  <c r="AO230" i="2"/>
  <c r="AO228" i="2"/>
  <c r="AO226" i="2"/>
  <c r="AO224" i="2"/>
  <c r="AO222" i="2"/>
  <c r="AO220" i="2"/>
  <c r="AO218" i="2"/>
  <c r="AO216" i="2"/>
  <c r="AO214" i="2"/>
  <c r="AO212" i="2"/>
  <c r="AO210" i="2"/>
  <c r="AO208" i="2"/>
  <c r="AO206" i="2"/>
  <c r="AO204" i="2"/>
  <c r="AO202" i="2"/>
  <c r="AO200" i="2"/>
  <c r="AO198" i="2"/>
  <c r="AO196" i="2"/>
  <c r="AO194" i="2"/>
  <c r="AO191" i="2"/>
  <c r="AO188" i="2"/>
  <c r="AO184" i="2"/>
  <c r="AO178" i="2"/>
  <c r="AO174" i="2"/>
  <c r="AO7" i="2"/>
  <c r="AO11" i="2"/>
  <c r="AO30" i="2"/>
  <c r="AO2" i="2"/>
  <c r="AO6" i="2"/>
  <c r="AO10" i="2"/>
  <c r="AO14" i="2"/>
  <c r="AO17" i="2"/>
  <c r="AO21" i="2"/>
  <c r="AO23" i="2"/>
  <c r="AO27" i="2"/>
  <c r="AO5" i="2"/>
  <c r="AO4" i="2"/>
  <c r="AO8" i="2"/>
  <c r="AO12" i="2"/>
  <c r="AO16" i="2"/>
  <c r="AO19" i="2"/>
  <c r="AO22" i="2"/>
  <c r="AO25" i="2"/>
  <c r="AO28" i="2"/>
  <c r="AO31" i="2"/>
  <c r="AO34" i="2"/>
  <c r="AO37" i="2"/>
  <c r="AO40" i="2"/>
  <c r="AO43" i="2"/>
  <c r="AO46" i="2"/>
  <c r="AO49" i="2"/>
  <c r="AO55" i="2"/>
  <c r="AO58" i="2"/>
  <c r="AO67" i="2"/>
  <c r="AO69" i="2"/>
  <c r="AO74" i="2"/>
  <c r="AO76" i="2"/>
  <c r="AO82" i="2"/>
  <c r="AO88" i="2"/>
  <c r="AO96" i="2"/>
  <c r="AO100" i="2"/>
  <c r="AO104" i="2"/>
  <c r="AO108" i="2"/>
  <c r="AO112" i="2"/>
  <c r="AO118" i="2"/>
  <c r="AO122" i="2"/>
  <c r="AO126" i="2"/>
  <c r="AO130" i="2"/>
  <c r="AO134" i="2"/>
  <c r="AO140" i="2"/>
  <c r="AO144" i="2"/>
  <c r="AO148" i="2"/>
  <c r="AO152" i="2"/>
  <c r="AO156" i="2"/>
  <c r="AO162" i="2"/>
  <c r="AO166" i="2"/>
  <c r="AO170" i="2"/>
  <c r="AO192" i="2"/>
  <c r="AO249" i="2"/>
  <c r="AO265" i="2"/>
  <c r="AO281" i="2"/>
  <c r="AO297" i="2"/>
  <c r="AO313" i="2"/>
  <c r="AO345" i="2"/>
  <c r="AO377" i="2"/>
  <c r="AO409" i="2"/>
  <c r="AO441" i="2"/>
  <c r="Q3" i="3"/>
  <c r="Q11" i="3"/>
  <c r="Q19" i="3"/>
  <c r="Q26" i="3"/>
  <c r="Q28" i="3"/>
  <c r="Q29" i="3"/>
  <c r="Q30" i="3"/>
  <c r="Q36" i="3"/>
  <c r="Q38" i="3"/>
  <c r="Q40" i="3"/>
  <c r="Q42" i="3"/>
  <c r="Q44" i="3"/>
  <c r="Q49" i="3"/>
  <c r="Q52" i="3"/>
  <c r="Q54" i="3"/>
  <c r="Q56" i="3"/>
  <c r="Q63" i="3"/>
  <c r="Q68" i="3"/>
  <c r="Q78" i="3"/>
  <c r="Q92" i="3"/>
  <c r="Q97" i="3"/>
  <c r="Q99" i="3"/>
  <c r="Q102" i="3"/>
  <c r="Q107" i="3"/>
  <c r="Q109" i="3"/>
  <c r="Q111" i="3"/>
  <c r="Q113" i="3"/>
  <c r="Q115" i="3"/>
  <c r="Q117" i="3"/>
  <c r="Q119" i="3"/>
  <c r="Q121" i="3"/>
  <c r="Q123" i="3"/>
  <c r="Q125" i="3"/>
  <c r="Q127" i="3"/>
  <c r="Q129" i="3"/>
  <c r="Q131" i="3"/>
  <c r="Q133" i="3"/>
  <c r="Q135" i="3"/>
  <c r="Q137" i="3"/>
  <c r="Q139" i="3"/>
  <c r="Q141" i="3"/>
  <c r="Q143" i="3"/>
  <c r="Q145" i="3"/>
  <c r="Q147" i="3"/>
  <c r="Q149" i="3"/>
  <c r="Q151" i="3"/>
  <c r="Q153" i="3"/>
  <c r="Q155" i="3"/>
  <c r="Q157" i="3"/>
  <c r="Q159" i="3"/>
  <c r="Q161" i="3"/>
  <c r="Q163" i="3"/>
  <c r="Q165" i="3"/>
  <c r="Q167" i="3"/>
  <c r="Q169" i="3"/>
  <c r="Q171" i="3"/>
  <c r="Q173" i="3"/>
  <c r="Q175" i="3"/>
  <c r="Q177" i="3"/>
  <c r="Q179" i="3"/>
  <c r="Q181" i="3"/>
  <c r="Q183" i="3"/>
  <c r="Q185" i="3"/>
  <c r="Q187" i="3"/>
  <c r="Q189" i="3"/>
  <c r="Q191" i="3"/>
  <c r="Q193" i="3"/>
  <c r="Q195" i="3"/>
  <c r="Q197" i="3"/>
  <c r="Q199" i="3"/>
  <c r="Q201" i="3"/>
  <c r="Q203" i="3"/>
  <c r="Q211" i="3"/>
  <c r="Q219" i="3"/>
  <c r="Q227" i="3"/>
  <c r="Q235" i="3"/>
  <c r="Q243" i="3"/>
  <c r="Q251" i="3"/>
  <c r="Q259" i="3"/>
  <c r="Q267" i="3"/>
  <c r="Q275" i="3"/>
  <c r="Q283" i="3"/>
  <c r="Q291" i="3"/>
  <c r="Q299" i="3"/>
  <c r="Q307" i="3"/>
  <c r="Q315" i="3"/>
  <c r="Q323" i="3"/>
  <c r="Q331" i="3"/>
  <c r="Q339" i="3"/>
  <c r="Q347" i="3"/>
  <c r="Q359" i="3"/>
  <c r="Q375" i="3"/>
  <c r="Q391" i="3"/>
  <c r="Q407" i="3"/>
  <c r="Q423" i="3"/>
  <c r="Q439" i="3"/>
  <c r="Q46" i="3"/>
  <c r="Q51" i="3"/>
  <c r="Q58" i="3"/>
  <c r="Q60" i="3"/>
  <c r="Q65" i="3"/>
  <c r="Q67" i="3"/>
  <c r="Q71" i="3"/>
  <c r="Q73" i="3"/>
  <c r="Q77" i="3"/>
  <c r="Q80" i="3"/>
  <c r="Q81" i="3"/>
  <c r="Q82" i="3"/>
  <c r="Q83" i="3"/>
  <c r="Q86" i="3"/>
  <c r="Q91" i="3"/>
  <c r="Q94" i="3"/>
  <c r="Q101" i="3"/>
  <c r="Q104" i="3"/>
  <c r="Q106" i="3"/>
  <c r="Q209" i="3"/>
  <c r="Q217" i="3"/>
  <c r="Q225" i="3"/>
  <c r="Q233" i="3"/>
  <c r="Q241" i="3"/>
  <c r="Q249" i="3"/>
  <c r="Q257" i="3"/>
  <c r="Q265" i="3"/>
  <c r="Q273" i="3"/>
  <c r="Q281" i="3"/>
  <c r="Q289" i="3"/>
  <c r="Q297" i="3"/>
  <c r="Q305" i="3"/>
  <c r="Q313" i="3"/>
  <c r="Q321" i="3"/>
  <c r="Q329" i="3"/>
  <c r="Q337" i="3"/>
  <c r="Q345" i="3"/>
  <c r="Q357" i="3"/>
  <c r="Q373" i="3"/>
  <c r="Q389" i="3"/>
  <c r="Q405" i="3"/>
  <c r="Q421" i="3"/>
  <c r="Q452" i="3"/>
  <c r="Q450" i="3"/>
  <c r="Q448" i="3"/>
  <c r="Q446" i="3"/>
  <c r="Q444" i="3"/>
  <c r="Q442" i="3"/>
  <c r="Q440" i="3"/>
  <c r="Q438" i="3"/>
  <c r="Q436" i="3"/>
  <c r="Q434" i="3"/>
  <c r="Q432" i="3"/>
  <c r="Q430" i="3"/>
  <c r="Q428" i="3"/>
  <c r="Q426" i="3"/>
  <c r="Q424" i="3"/>
  <c r="Q422" i="3"/>
  <c r="Q420" i="3"/>
  <c r="Q418" i="3"/>
  <c r="Q416" i="3"/>
  <c r="Q414" i="3"/>
  <c r="Q412" i="3"/>
  <c r="Q410" i="3"/>
  <c r="Q408" i="3"/>
  <c r="Q406" i="3"/>
  <c r="Q404" i="3"/>
  <c r="Q402" i="3"/>
  <c r="Q400" i="3"/>
  <c r="Q398" i="3"/>
  <c r="Q396" i="3"/>
  <c r="Q394" i="3"/>
  <c r="Q392" i="3"/>
  <c r="Q390" i="3"/>
  <c r="Q388" i="3"/>
  <c r="Q386" i="3"/>
  <c r="Q384" i="3"/>
  <c r="Q382" i="3"/>
  <c r="Q380" i="3"/>
  <c r="Q378" i="3"/>
  <c r="Q376" i="3"/>
  <c r="Q374" i="3"/>
  <c r="Q372" i="3"/>
  <c r="Q370" i="3"/>
  <c r="Q368" i="3"/>
  <c r="Q366" i="3"/>
  <c r="Q364" i="3"/>
  <c r="Q362" i="3"/>
  <c r="Q360" i="3"/>
  <c r="Q358" i="3"/>
  <c r="Q356" i="3"/>
  <c r="Q354" i="3"/>
  <c r="Q352" i="3"/>
  <c r="Q350" i="3"/>
  <c r="Q449" i="3"/>
  <c r="Q441" i="3"/>
  <c r="Q433" i="3"/>
  <c r="Q425" i="3"/>
  <c r="Q417" i="3"/>
  <c r="Q409" i="3"/>
  <c r="Q401" i="3"/>
  <c r="Q393" i="3"/>
  <c r="Q385" i="3"/>
  <c r="Q377" i="3"/>
  <c r="Q369" i="3"/>
  <c r="Q361" i="3"/>
  <c r="Q353" i="3"/>
  <c r="Q348" i="3"/>
  <c r="Q346" i="3"/>
  <c r="Q344" i="3"/>
  <c r="Q342" i="3"/>
  <c r="Q340" i="3"/>
  <c r="Q338" i="3"/>
  <c r="Q336" i="3"/>
  <c r="Q334" i="3"/>
  <c r="Q332" i="3"/>
  <c r="Q330" i="3"/>
  <c r="Q328" i="3"/>
  <c r="Q326" i="3"/>
  <c r="Q324" i="3"/>
  <c r="Q322" i="3"/>
  <c r="Q320" i="3"/>
  <c r="Q318" i="3"/>
  <c r="Q316" i="3"/>
  <c r="Q314" i="3"/>
  <c r="Q312" i="3"/>
  <c r="Q310" i="3"/>
  <c r="Q308" i="3"/>
  <c r="Q306" i="3"/>
  <c r="Q304" i="3"/>
  <c r="Q302" i="3"/>
  <c r="Q300" i="3"/>
  <c r="Q298" i="3"/>
  <c r="Q296" i="3"/>
  <c r="Q294" i="3"/>
  <c r="Q292" i="3"/>
  <c r="Q290" i="3"/>
  <c r="Q288" i="3"/>
  <c r="Q286" i="3"/>
  <c r="Q284" i="3"/>
  <c r="Q282" i="3"/>
  <c r="Q280" i="3"/>
  <c r="Q278" i="3"/>
  <c r="Q276" i="3"/>
  <c r="Q274" i="3"/>
  <c r="Q272" i="3"/>
  <c r="Q270" i="3"/>
  <c r="Q268" i="3"/>
  <c r="Q266" i="3"/>
  <c r="Q264" i="3"/>
  <c r="Q262" i="3"/>
  <c r="Q260" i="3"/>
  <c r="Q258" i="3"/>
  <c r="Q256" i="3"/>
  <c r="Q254" i="3"/>
  <c r="Q252" i="3"/>
  <c r="Q250" i="3"/>
  <c r="Q248" i="3"/>
  <c r="Q246" i="3"/>
  <c r="Q244" i="3"/>
  <c r="Q242" i="3"/>
  <c r="Q240" i="3"/>
  <c r="Q238" i="3"/>
  <c r="Q236" i="3"/>
  <c r="Q234" i="3"/>
  <c r="Q232" i="3"/>
  <c r="Q230" i="3"/>
  <c r="Q228" i="3"/>
  <c r="Q226" i="3"/>
  <c r="Q224" i="3"/>
  <c r="Q222" i="3"/>
  <c r="Q220" i="3"/>
  <c r="Q218" i="3"/>
  <c r="Q216" i="3"/>
  <c r="Q214" i="3"/>
  <c r="Q212" i="3"/>
  <c r="Q210" i="3"/>
  <c r="Q208" i="3"/>
  <c r="Q206" i="3"/>
  <c r="Q204" i="3"/>
  <c r="Q451" i="3"/>
  <c r="Q443" i="3"/>
  <c r="Q435" i="3"/>
  <c r="Q427" i="3"/>
  <c r="Q419" i="3"/>
  <c r="Q411" i="3"/>
  <c r="Q403" i="3"/>
  <c r="Q395" i="3"/>
  <c r="Q387" i="3"/>
  <c r="Q379" i="3"/>
  <c r="Q371" i="3"/>
  <c r="Q363" i="3"/>
  <c r="Q355" i="3"/>
  <c r="Q62" i="3"/>
  <c r="Q59" i="3"/>
  <c r="Q50" i="3"/>
  <c r="Q37" i="3"/>
  <c r="Q34" i="3"/>
  <c r="Q32" i="3"/>
  <c r="Q24" i="3"/>
  <c r="Q22" i="3"/>
  <c r="Q20" i="3"/>
  <c r="Q18" i="3"/>
  <c r="Q16" i="3"/>
  <c r="Q14" i="3"/>
  <c r="Q12" i="3"/>
  <c r="Q10" i="3"/>
  <c r="Q8" i="3"/>
  <c r="Q6" i="3"/>
  <c r="Q4" i="3"/>
  <c r="Q2" i="3"/>
  <c r="Q7" i="3"/>
  <c r="Q15" i="3"/>
  <c r="Q23" i="3"/>
  <c r="Q25" i="3"/>
  <c r="Q27" i="3"/>
  <c r="Q31" i="3"/>
  <c r="Q33" i="3"/>
  <c r="Q35" i="3"/>
  <c r="Q39" i="3"/>
  <c r="Q41" i="3"/>
  <c r="Q43" i="3"/>
  <c r="Q48" i="3"/>
  <c r="Q53" i="3"/>
  <c r="Q55" i="3"/>
  <c r="B69" i="3"/>
  <c r="Q70" i="3"/>
  <c r="Q85" i="3"/>
  <c r="Q96" i="3"/>
  <c r="Q98" i="3"/>
  <c r="Q100" i="3"/>
  <c r="Q108" i="3"/>
  <c r="Q110" i="3"/>
  <c r="Q112" i="3"/>
  <c r="Q114" i="3"/>
  <c r="Q116" i="3"/>
  <c r="Q118" i="3"/>
  <c r="Q120" i="3"/>
  <c r="Q122" i="3"/>
  <c r="Q124" i="3"/>
  <c r="Q126" i="3"/>
  <c r="Q128" i="3"/>
  <c r="Q130" i="3"/>
  <c r="Q132" i="3"/>
  <c r="Q134" i="3"/>
  <c r="Q136" i="3"/>
  <c r="Q138" i="3"/>
  <c r="Q140" i="3"/>
  <c r="Q142" i="3"/>
  <c r="Q144" i="3"/>
  <c r="Q146" i="3"/>
  <c r="Q148" i="3"/>
  <c r="Q150" i="3"/>
  <c r="Q152" i="3"/>
  <c r="Q154" i="3"/>
  <c r="Q156" i="3"/>
  <c r="Q158" i="3"/>
  <c r="Q160" i="3"/>
  <c r="Q162" i="3"/>
  <c r="Q164" i="3"/>
  <c r="Q166" i="3"/>
  <c r="Q168" i="3"/>
  <c r="Q170" i="3"/>
  <c r="Q172" i="3"/>
  <c r="Q174" i="3"/>
  <c r="Q176" i="3"/>
  <c r="Q178" i="3"/>
  <c r="Q180" i="3"/>
  <c r="Q182" i="3"/>
  <c r="Q184" i="3"/>
  <c r="Q186" i="3"/>
  <c r="Q188" i="3"/>
  <c r="Q190" i="3"/>
  <c r="Q192" i="3"/>
  <c r="Q194" i="3"/>
  <c r="Q196" i="3"/>
  <c r="Q198" i="3"/>
  <c r="Q200" i="3"/>
  <c r="Q202" i="3"/>
  <c r="Q207" i="3"/>
  <c r="Q215" i="3"/>
  <c r="Q223" i="3"/>
  <c r="Q231" i="3"/>
  <c r="Q239" i="3"/>
  <c r="Q247" i="3"/>
  <c r="Q255" i="3"/>
  <c r="Q263" i="3"/>
  <c r="Q271" i="3"/>
  <c r="Q279" i="3"/>
  <c r="Q287" i="3"/>
  <c r="Q295" i="3"/>
  <c r="Q303" i="3"/>
  <c r="Q311" i="3"/>
  <c r="Q319" i="3"/>
  <c r="Q327" i="3"/>
  <c r="Q335" i="3"/>
  <c r="Q343" i="3"/>
  <c r="Q351" i="3"/>
  <c r="Q367" i="3"/>
  <c r="Q383" i="3"/>
  <c r="Q399" i="3"/>
  <c r="Q415" i="3"/>
  <c r="Q431" i="3"/>
  <c r="Q447" i="3"/>
  <c r="C31" i="3"/>
  <c r="C32" i="3" s="1"/>
  <c r="C68" i="3"/>
  <c r="M452" i="4"/>
  <c r="M450" i="4"/>
  <c r="M448" i="4"/>
  <c r="M446" i="4"/>
  <c r="M444" i="4"/>
  <c r="M442" i="4"/>
  <c r="M440" i="4"/>
  <c r="M438" i="4"/>
  <c r="M436" i="4"/>
  <c r="M434" i="4"/>
  <c r="M432" i="4"/>
  <c r="M430" i="4"/>
  <c r="M428" i="4"/>
  <c r="M426" i="4"/>
  <c r="M424" i="4"/>
  <c r="M422" i="4"/>
  <c r="M420" i="4"/>
  <c r="M418" i="4"/>
  <c r="M416" i="4"/>
  <c r="M414" i="4"/>
  <c r="M412" i="4"/>
  <c r="M410" i="4"/>
  <c r="M408" i="4"/>
  <c r="M406" i="4"/>
  <c r="M404" i="4"/>
  <c r="M402" i="4"/>
  <c r="M400" i="4"/>
  <c r="M398" i="4"/>
  <c r="M396" i="4"/>
  <c r="M394" i="4"/>
  <c r="M392" i="4"/>
  <c r="M390" i="4"/>
  <c r="M388" i="4"/>
  <c r="M386" i="4"/>
  <c r="M384" i="4"/>
  <c r="M382" i="4"/>
  <c r="M380" i="4"/>
  <c r="M378" i="4"/>
  <c r="M376" i="4"/>
  <c r="M374" i="4"/>
  <c r="M372" i="4"/>
  <c r="M370" i="4"/>
  <c r="M368" i="4"/>
  <c r="M366" i="4"/>
  <c r="M364" i="4"/>
  <c r="M362" i="4"/>
  <c r="M360" i="4"/>
  <c r="M358" i="4"/>
  <c r="M356" i="4"/>
  <c r="M354" i="4"/>
  <c r="M352" i="4"/>
  <c r="M350" i="4"/>
  <c r="M348" i="4"/>
  <c r="M346" i="4"/>
  <c r="M344" i="4"/>
  <c r="M342" i="4"/>
  <c r="M340" i="4"/>
  <c r="M338" i="4"/>
  <c r="M336" i="4"/>
  <c r="M334" i="4"/>
  <c r="M332" i="4"/>
  <c r="M330" i="4"/>
  <c r="M328" i="4"/>
  <c r="M326" i="4"/>
  <c r="M324" i="4"/>
  <c r="M322" i="4"/>
  <c r="M320" i="4"/>
  <c r="M318" i="4"/>
  <c r="M316" i="4"/>
  <c r="M314" i="4"/>
  <c r="M312" i="4"/>
  <c r="M310" i="4"/>
  <c r="M308" i="4"/>
  <c r="M306" i="4"/>
  <c r="M304" i="4"/>
  <c r="M302" i="4"/>
  <c r="M300" i="4"/>
  <c r="M298" i="4"/>
  <c r="M296" i="4"/>
  <c r="M294" i="4"/>
  <c r="M292" i="4"/>
  <c r="M290" i="4"/>
  <c r="M288" i="4"/>
  <c r="M286" i="4"/>
  <c r="M284" i="4"/>
  <c r="M447" i="4"/>
  <c r="M439" i="4"/>
  <c r="M431" i="4"/>
  <c r="M423" i="4"/>
  <c r="M415" i="4"/>
  <c r="M407" i="4"/>
  <c r="M399" i="4"/>
  <c r="M391" i="4"/>
  <c r="M383" i="4"/>
  <c r="M375" i="4"/>
  <c r="M367" i="4"/>
  <c r="M359" i="4"/>
  <c r="M351" i="4"/>
  <c r="M343" i="4"/>
  <c r="M335" i="4"/>
  <c r="M327" i="4"/>
  <c r="M319" i="4"/>
  <c r="M311" i="4"/>
  <c r="M303" i="4"/>
  <c r="M295" i="4"/>
  <c r="M287" i="4"/>
  <c r="M282" i="4"/>
  <c r="M280" i="4"/>
  <c r="M278" i="4"/>
  <c r="M276" i="4"/>
  <c r="M274" i="4"/>
  <c r="M272" i="4"/>
  <c r="M270" i="4"/>
  <c r="M268" i="4"/>
  <c r="M266" i="4"/>
  <c r="M264" i="4"/>
  <c r="M262" i="4"/>
  <c r="M260" i="4"/>
  <c r="M258" i="4"/>
  <c r="M256" i="4"/>
  <c r="C18" i="4" s="1"/>
  <c r="C19" i="4" s="1"/>
  <c r="C20" i="4" s="1"/>
  <c r="M254" i="4"/>
  <c r="M252" i="4"/>
  <c r="M250" i="4"/>
  <c r="M248" i="4"/>
  <c r="M246" i="4"/>
  <c r="M244" i="4"/>
  <c r="M242" i="4"/>
  <c r="M240" i="4"/>
  <c r="M238" i="4"/>
  <c r="M236" i="4"/>
  <c r="M234" i="4"/>
  <c r="M232" i="4"/>
  <c r="M230" i="4"/>
  <c r="M228" i="4"/>
  <c r="M226" i="4"/>
  <c r="M224" i="4"/>
  <c r="M222" i="4"/>
  <c r="M220" i="4"/>
  <c r="M218" i="4"/>
  <c r="M216" i="4"/>
  <c r="M214" i="4"/>
  <c r="M212" i="4"/>
  <c r="M210" i="4"/>
  <c r="M208" i="4"/>
  <c r="M206" i="4"/>
  <c r="M204" i="4"/>
  <c r="M202" i="4"/>
  <c r="M200" i="4"/>
  <c r="M198" i="4"/>
  <c r="M196" i="4"/>
  <c r="M194" i="4"/>
  <c r="M192" i="4"/>
  <c r="M190" i="4"/>
  <c r="M188" i="4"/>
  <c r="M186" i="4"/>
  <c r="M184" i="4"/>
  <c r="M182" i="4"/>
  <c r="M180" i="4"/>
  <c r="M178" i="4"/>
  <c r="M176" i="4"/>
  <c r="M174" i="4"/>
  <c r="M172" i="4"/>
  <c r="M170" i="4"/>
  <c r="M168" i="4"/>
  <c r="M166" i="4"/>
  <c r="M164" i="4"/>
  <c r="M162" i="4"/>
  <c r="M160" i="4"/>
  <c r="M158" i="4"/>
  <c r="M156" i="4"/>
  <c r="M449" i="4"/>
  <c r="M441" i="4"/>
  <c r="M433" i="4"/>
  <c r="M425" i="4"/>
  <c r="M417" i="4"/>
  <c r="M409" i="4"/>
  <c r="M401" i="4"/>
  <c r="M393" i="4"/>
  <c r="M385" i="4"/>
  <c r="M377" i="4"/>
  <c r="M369" i="4"/>
  <c r="M361" i="4"/>
  <c r="M353" i="4"/>
  <c r="M345" i="4"/>
  <c r="M337" i="4"/>
  <c r="M329" i="4"/>
  <c r="M321" i="4"/>
  <c r="M313" i="4"/>
  <c r="M305" i="4"/>
  <c r="M297" i="4"/>
  <c r="M289" i="4"/>
  <c r="M451" i="4"/>
  <c r="M443" i="4"/>
  <c r="M435" i="4"/>
  <c r="M427" i="4"/>
  <c r="M419" i="4"/>
  <c r="M411" i="4"/>
  <c r="M403" i="4"/>
  <c r="M395" i="4"/>
  <c r="M387" i="4"/>
  <c r="M379" i="4"/>
  <c r="M371" i="4"/>
  <c r="M363" i="4"/>
  <c r="M355" i="4"/>
  <c r="M347" i="4"/>
  <c r="M339" i="4"/>
  <c r="M331" i="4"/>
  <c r="M323" i="4"/>
  <c r="M315" i="4"/>
  <c r="M307" i="4"/>
  <c r="M299" i="4"/>
  <c r="M291" i="4"/>
  <c r="M283" i="4"/>
  <c r="M281" i="4"/>
  <c r="M279" i="4"/>
  <c r="M277" i="4"/>
  <c r="M275" i="4"/>
  <c r="M273" i="4"/>
  <c r="M271" i="4"/>
  <c r="M269" i="4"/>
  <c r="M267" i="4"/>
  <c r="M265" i="4"/>
  <c r="M263" i="4"/>
  <c r="M261" i="4"/>
  <c r="M259" i="4"/>
  <c r="M257" i="4"/>
  <c r="M255" i="4"/>
  <c r="M253" i="4"/>
  <c r="M251" i="4"/>
  <c r="M249" i="4"/>
  <c r="M247" i="4"/>
  <c r="M245" i="4"/>
  <c r="M243" i="4"/>
  <c r="M241" i="4"/>
  <c r="M239" i="4"/>
  <c r="M237" i="4"/>
  <c r="M235" i="4"/>
  <c r="M233" i="4"/>
  <c r="M231" i="4"/>
  <c r="M229" i="4"/>
  <c r="M227" i="4"/>
  <c r="M225" i="4"/>
  <c r="M223" i="4"/>
  <c r="M221" i="4"/>
  <c r="M219" i="4"/>
  <c r="M217" i="4"/>
  <c r="M215" i="4"/>
  <c r="M213" i="4"/>
  <c r="M211" i="4"/>
  <c r="M209" i="4"/>
  <c r="M207" i="4"/>
  <c r="M205" i="4"/>
  <c r="M203" i="4"/>
  <c r="M201" i="4"/>
  <c r="M199" i="4"/>
  <c r="M197" i="4"/>
  <c r="M195" i="4"/>
  <c r="M193" i="4"/>
  <c r="M191" i="4"/>
  <c r="M189" i="4"/>
  <c r="M187" i="4"/>
  <c r="M185" i="4"/>
  <c r="M183" i="4"/>
  <c r="M181" i="4"/>
  <c r="M179" i="4"/>
  <c r="M177" i="4"/>
  <c r="M175" i="4"/>
  <c r="M173" i="4"/>
  <c r="M171" i="4"/>
  <c r="M169" i="4"/>
  <c r="M167" i="4"/>
  <c r="M165" i="4"/>
  <c r="M163" i="4"/>
  <c r="M161" i="4"/>
  <c r="M159" i="4"/>
  <c r="M157" i="4"/>
  <c r="M445" i="4"/>
  <c r="M413" i="4"/>
  <c r="M381" i="4"/>
  <c r="M349" i="4"/>
  <c r="M317" i="4"/>
  <c r="M285" i="4"/>
  <c r="M67" i="4"/>
  <c r="M65" i="4"/>
  <c r="M57" i="4"/>
  <c r="M55" i="4"/>
  <c r="M47" i="4"/>
  <c r="M42" i="4"/>
  <c r="M36" i="4"/>
  <c r="M30" i="4"/>
  <c r="M23" i="4"/>
  <c r="M17" i="4"/>
  <c r="M16" i="4"/>
  <c r="M14" i="4"/>
  <c r="M12" i="4"/>
  <c r="M10" i="4"/>
  <c r="M8" i="4"/>
  <c r="M6" i="4"/>
  <c r="M4" i="4"/>
  <c r="M2" i="4"/>
  <c r="M429" i="4"/>
  <c r="M397" i="4"/>
  <c r="M365" i="4"/>
  <c r="M333" i="4"/>
  <c r="M301" i="4"/>
  <c r="M66" i="4"/>
  <c r="M63" i="4"/>
  <c r="M56" i="4"/>
  <c r="M53" i="4"/>
  <c r="M48" i="4"/>
  <c r="M43" i="4"/>
  <c r="M38" i="4"/>
  <c r="M32" i="4"/>
  <c r="M28" i="4"/>
  <c r="M25" i="4"/>
  <c r="M7" i="4"/>
  <c r="M15" i="4"/>
  <c r="D17" i="4"/>
  <c r="M20" i="4"/>
  <c r="M22" i="4"/>
  <c r="M44" i="4"/>
  <c r="M46" i="4"/>
  <c r="M293" i="4"/>
  <c r="M357" i="4"/>
  <c r="M421" i="4"/>
  <c r="M147" i="4"/>
  <c r="M149" i="4"/>
  <c r="M151" i="4"/>
  <c r="M153" i="4"/>
  <c r="M155" i="4"/>
  <c r="M309" i="4"/>
  <c r="M373" i="4"/>
  <c r="M437" i="4"/>
  <c r="C56" i="2" l="1"/>
  <c r="C97" i="2"/>
  <c r="C119" i="2" s="1"/>
  <c r="C141" i="2" s="1"/>
  <c r="C163" i="2" s="1"/>
  <c r="C79" i="3"/>
  <c r="C45" i="3"/>
  <c r="C46" i="3" s="1"/>
  <c r="C48" i="3" s="1"/>
  <c r="C49" i="3" s="1"/>
  <c r="B107" i="3"/>
  <c r="C25" i="4"/>
  <c r="C19" i="2"/>
  <c r="C78" i="3"/>
  <c r="C82" i="3" s="1"/>
  <c r="C86" i="3" s="1"/>
  <c r="C89" i="3" s="1"/>
  <c r="C101" i="3" s="1"/>
  <c r="C83" i="3"/>
  <c r="B68" i="3"/>
  <c r="C65" i="3"/>
  <c r="C59" i="3"/>
  <c r="C61" i="3" s="1"/>
  <c r="C26" i="4"/>
  <c r="C28" i="4" s="1"/>
  <c r="C29" i="4" s="1"/>
  <c r="C31" i="4" s="1"/>
  <c r="C42" i="4"/>
  <c r="C44" i="4" s="1"/>
  <c r="C53" i="4" s="1"/>
  <c r="B79" i="3"/>
  <c r="C123" i="2"/>
  <c r="C138" i="2"/>
  <c r="C93" i="3" l="1"/>
  <c r="C83" i="2"/>
  <c r="C80" i="2"/>
  <c r="C20" i="2"/>
  <c r="C21" i="2" s="1"/>
  <c r="C58" i="2"/>
  <c r="C95" i="2"/>
  <c r="C117" i="2" s="1"/>
  <c r="C139" i="2" s="1"/>
  <c r="C161" i="2" s="1"/>
  <c r="C59" i="2"/>
  <c r="C81" i="2"/>
  <c r="C82" i="2"/>
  <c r="C51" i="3"/>
  <c r="C71" i="3" s="1"/>
  <c r="C52" i="3"/>
  <c r="C53" i="3" s="1"/>
  <c r="C145" i="2"/>
  <c r="C160" i="2"/>
  <c r="C63" i="4"/>
  <c r="B83" i="3"/>
  <c r="B78" i="3"/>
  <c r="B82" i="3" s="1"/>
  <c r="C32" i="4"/>
  <c r="C33" i="4" s="1"/>
  <c r="C36" i="4"/>
  <c r="C68" i="4"/>
  <c r="C37" i="4"/>
  <c r="B93" i="3"/>
  <c r="C62" i="3"/>
  <c r="C64" i="3" s="1"/>
  <c r="C61" i="2" l="1"/>
  <c r="C64" i="2" s="1"/>
  <c r="F64" i="2" s="1"/>
  <c r="C87" i="2"/>
  <c r="C89" i="2"/>
  <c r="C60" i="2"/>
  <c r="C88" i="2"/>
  <c r="C86" i="2"/>
  <c r="C39" i="4"/>
  <c r="B71" i="3"/>
  <c r="B108" i="3"/>
  <c r="C167" i="2"/>
  <c r="C76" i="3"/>
  <c r="C75" i="3"/>
  <c r="C38" i="4"/>
  <c r="C47" i="4" s="1"/>
  <c r="C49" i="4" s="1"/>
  <c r="C54" i="4" s="1"/>
  <c r="B86" i="3"/>
  <c r="B89" i="3" s="1"/>
  <c r="B101" i="3" s="1"/>
  <c r="C92" i="3" l="1"/>
  <c r="C111" i="2"/>
  <c r="C112" i="2" s="1"/>
  <c r="C65" i="2"/>
  <c r="C96" i="2" s="1"/>
  <c r="C64" i="4"/>
  <c r="C65" i="4" s="1"/>
  <c r="C55" i="4"/>
  <c r="C58" i="4" s="1"/>
  <c r="B76" i="3"/>
  <c r="B75" i="3"/>
  <c r="B81" i="3" s="1"/>
  <c r="B85" i="3" s="1"/>
  <c r="B88" i="3" s="1"/>
  <c r="C81" i="3"/>
  <c r="C85" i="3" s="1"/>
  <c r="C88" i="3" s="1"/>
  <c r="C66" i="2" l="1"/>
  <c r="C70" i="2" s="1"/>
  <c r="C72" i="2" s="1"/>
  <c r="C67" i="2"/>
  <c r="F65" i="2"/>
  <c r="G65" i="2" s="1"/>
  <c r="C99" i="2"/>
  <c r="C104" i="2" s="1"/>
  <c r="C100" i="2"/>
  <c r="C102" i="3"/>
  <c r="C103" i="3" s="1"/>
  <c r="C90" i="3"/>
  <c r="C96" i="3" s="1"/>
  <c r="B90" i="3"/>
  <c r="B96" i="3" s="1"/>
  <c r="B102" i="3"/>
  <c r="B103" i="3" s="1"/>
  <c r="B92" i="3"/>
  <c r="C77" i="2" l="1"/>
  <c r="C74" i="2"/>
  <c r="F72" i="2"/>
  <c r="C103" i="2"/>
  <c r="C105" i="2"/>
  <c r="C106" i="2" l="1"/>
  <c r="C107" i="2" s="1"/>
  <c r="C108" i="2" s="1"/>
  <c r="C110" i="2" s="1"/>
  <c r="C109" i="2" l="1"/>
  <c r="C113" i="2"/>
  <c r="C118" i="2" s="1"/>
  <c r="C133" i="2" s="1"/>
  <c r="C134" i="2" s="1"/>
  <c r="C122" i="2" l="1"/>
  <c r="C127" i="2" s="1"/>
  <c r="C121" i="2"/>
  <c r="C126" i="2" s="1"/>
  <c r="C125" i="2" l="1"/>
  <c r="C128" i="2" s="1"/>
  <c r="C129" i="2" s="1"/>
  <c r="C131" i="2" s="1"/>
  <c r="C130" i="2" l="1"/>
  <c r="C132" i="2" s="1"/>
  <c r="C135" i="2" l="1"/>
  <c r="C140" i="2" s="1"/>
  <c r="C143" i="2" s="1"/>
  <c r="C148" i="2" s="1"/>
  <c r="C144" i="2" l="1"/>
  <c r="C147" i="2" s="1"/>
  <c r="C155" i="2"/>
  <c r="C156" i="2" s="1"/>
  <c r="C149" i="2" l="1"/>
  <c r="C150" i="2" s="1"/>
  <c r="C151" i="2" s="1"/>
  <c r="C152" i="2" s="1"/>
  <c r="C154" i="2" s="1"/>
  <c r="C153" i="2" l="1"/>
  <c r="C157" i="2"/>
  <c r="C162" i="2" s="1"/>
  <c r="C166" i="2" s="1"/>
  <c r="C165" i="2" l="1"/>
  <c r="C170" i="2" s="1"/>
  <c r="C177" i="2"/>
  <c r="C178" i="2" s="1"/>
  <c r="C182" i="2"/>
  <c r="C184" i="2" s="1"/>
  <c r="C171" i="2"/>
  <c r="C185" i="2" l="1"/>
  <c r="C186" i="2" s="1"/>
  <c r="C187" i="2" s="1"/>
  <c r="C188" i="2" s="1"/>
  <c r="C193" i="2" s="1"/>
  <c r="C183" i="2"/>
  <c r="C169" i="2"/>
  <c r="C172" i="2" s="1"/>
  <c r="C173" i="2" s="1"/>
  <c r="C192" i="2" l="1"/>
  <c r="C189" i="2"/>
  <c r="C175" i="2"/>
  <c r="C174" i="2"/>
  <c r="C176" i="2" s="1"/>
  <c r="C179" i="2" l="1"/>
  <c r="C190" i="2" s="1"/>
</calcChain>
</file>

<file path=xl/sharedStrings.xml><?xml version="1.0" encoding="utf-8"?>
<sst xmlns="http://schemas.openxmlformats.org/spreadsheetml/2006/main" count="1147" uniqueCount="287">
  <si>
    <t>Type 1 Tank sizing code</t>
  </si>
  <si>
    <t>units</t>
  </si>
  <si>
    <t>Green = input fields</t>
  </si>
  <si>
    <t>6061_T6_Aluminum</t>
  </si>
  <si>
    <t>Temp C</t>
  </si>
  <si>
    <t>Sy (bar)</t>
  </si>
  <si>
    <t>Su (Bar)</t>
  </si>
  <si>
    <t>Density (kg/ccm)</t>
  </si>
  <si>
    <t>Cost/kg</t>
  </si>
  <si>
    <t>316SS</t>
  </si>
  <si>
    <t>SY (bar)</t>
  </si>
  <si>
    <t>SU (bar)</t>
  </si>
  <si>
    <t>4130_cromoly</t>
  </si>
  <si>
    <t>Su (bar)</t>
  </si>
  <si>
    <t>4340_steel</t>
  </si>
  <si>
    <t>Volume Target (ccm)</t>
  </si>
  <si>
    <t>Length (fixed)</t>
  </si>
  <si>
    <t>Radius(cm)</t>
  </si>
  <si>
    <t>Volume (ccm)</t>
  </si>
  <si>
    <t>R copy for lookup</t>
  </si>
  <si>
    <t>Design Criteria:</t>
  </si>
  <si>
    <t>#1: Peak wall stress &lt; Sy @ P*1.5 "Yield Criteria"</t>
  </si>
  <si>
    <t>#2: Peak wall stress &lt; Su @ P*SF  "Burst Criteria"</t>
  </si>
  <si>
    <t>Most limiting of #1 or #2 is used to estimate wall thickness</t>
  </si>
  <si>
    <t>Input parameters</t>
  </si>
  <si>
    <t>Notes</t>
  </si>
  <si>
    <t>Material List</t>
  </si>
  <si>
    <t>Operating Temperature</t>
  </si>
  <si>
    <t>C</t>
  </si>
  <si>
    <t>When temperature varies by cycle, use max temperature</t>
  </si>
  <si>
    <t>Operating Pressure [P]</t>
  </si>
  <si>
    <t>Bar</t>
  </si>
  <si>
    <t>When pressure varies by cycle, use max pressure</t>
  </si>
  <si>
    <t>Tank Material</t>
  </si>
  <si>
    <t>-</t>
  </si>
  <si>
    <t>list of 4 choices</t>
  </si>
  <si>
    <t>Primary Geometry Specification: Internal</t>
  </si>
  <si>
    <t>Tank Length (Internal) [L0]</t>
  </si>
  <si>
    <t>cm</t>
  </si>
  <si>
    <t>Only 2 of these 3 are Independent, input 0 if variable is free</t>
  </si>
  <si>
    <t>Tank Radius (Internal) [R0]</t>
  </si>
  <si>
    <t>Tank Volume Goal (Internal) [V0]</t>
  </si>
  <si>
    <t>ccm</t>
  </si>
  <si>
    <t>Only 2 of these 3 are Independent, input nonzero guess if variable is free</t>
  </si>
  <si>
    <t>Tank Geometry Calculation</t>
  </si>
  <si>
    <t>Tank Internal Length (cm) [L]</t>
  </si>
  <si>
    <t>High-Temperature Characteristics of Stainless Steels</t>
  </si>
  <si>
    <t>Tank Internal Radius (cm) [R]</t>
  </si>
  <si>
    <t>Tank Internal Volume Actual (ccm) [V]</t>
  </si>
  <si>
    <t>Hemispherical end caps assumed, always calculated from L and R</t>
  </si>
  <si>
    <t>Volume goal attainment</t>
  </si>
  <si>
    <t>%</t>
  </si>
  <si>
    <t>To get a closer match, specify Tank Radius [R0] directly</t>
  </si>
  <si>
    <t>All material yield Strength</t>
  </si>
  <si>
    <t>All material Ultimate Strength</t>
  </si>
  <si>
    <t>All material density</t>
  </si>
  <si>
    <t>kg/ccm</t>
  </si>
  <si>
    <t>All material cost</t>
  </si>
  <si>
    <t>$/kg</t>
  </si>
  <si>
    <t xml:space="preserve">   adjust in V2</t>
  </si>
  <si>
    <t xml:space="preserve">   adjust in AC2</t>
  </si>
  <si>
    <t xml:space="preserve">   adjust in AJ2</t>
  </si>
  <si>
    <t>Selected Material</t>
  </si>
  <si>
    <t>Material Name</t>
  </si>
  <si>
    <t>Sy</t>
  </si>
  <si>
    <t>Su</t>
  </si>
  <si>
    <t>density</t>
  </si>
  <si>
    <t>cost</t>
  </si>
  <si>
    <t>Wall Thickness Calculation</t>
  </si>
  <si>
    <t>Tank Material yield strength at operating temp [Sy]</t>
  </si>
  <si>
    <t>Tank Material ultimate strength at operating temp [Su]</t>
  </si>
  <si>
    <t>Safety Factor on Burst [SF]</t>
  </si>
  <si>
    <t>Debateable: 2.25 for CNG tanks, discussion of 2.0 for Hydrogen</t>
  </si>
  <si>
    <t>Tank Wall thickness #1  (from Sy)</t>
  </si>
  <si>
    <t>Tank Wall thickness #2  (from Su)</t>
  </si>
  <si>
    <t>Limiting Design Criteria</t>
  </si>
  <si>
    <t>Limiting Tank Wall Thickness</t>
  </si>
  <si>
    <t>Maximum wall thickness of either criteria</t>
  </si>
  <si>
    <t>Tank External Geometry Calculation</t>
  </si>
  <si>
    <t>Tank External Length</t>
  </si>
  <si>
    <t>in</t>
  </si>
  <si>
    <t>Tank External Radius</t>
  </si>
  <si>
    <t>Tank External Volume</t>
  </si>
  <si>
    <t>L/D Ratio (External)</t>
  </si>
  <si>
    <t>Tank Wall Material Calculation (thin wall estimate)</t>
  </si>
  <si>
    <t>Total Volume of tank wall material</t>
  </si>
  <si>
    <t>Tank Wall material density</t>
  </si>
  <si>
    <t>Look up based on material</t>
  </si>
  <si>
    <t>Tank wall mass</t>
  </si>
  <si>
    <t>kg</t>
  </si>
  <si>
    <t>&lt;   Not the final estimate.  See thick wall evaluation below</t>
  </si>
  <si>
    <t>lbs</t>
  </si>
  <si>
    <t>Tank Wall material cost/kg</t>
  </si>
  <si>
    <t>Look up based on material (Representative 2007 Prices)</t>
  </si>
  <si>
    <t>Tank Wall material cost</t>
  </si>
  <si>
    <t>$</t>
  </si>
  <si>
    <t>Tank Efficiency</t>
  </si>
  <si>
    <t>Gravimetric</t>
  </si>
  <si>
    <t>L/kg</t>
  </si>
  <si>
    <t>Note this value does not include hydrogen, adsorbtion material, balance of plant, etc.</t>
  </si>
  <si>
    <t>Quick-Compare wall thickness (thin wall estimate)</t>
  </si>
  <si>
    <t>Quick-Compare Tank Mass (thin wall estimate)</t>
  </si>
  <si>
    <t>&lt;  Check thin wall evaluation below</t>
  </si>
  <si>
    <t>Tank von Mises Parameters - Accuracy Check</t>
  </si>
  <si>
    <t>Pressure</t>
  </si>
  <si>
    <t>ri</t>
  </si>
  <si>
    <t>ro</t>
  </si>
  <si>
    <t>yield strength</t>
  </si>
  <si>
    <t>ultimate strength</t>
  </si>
  <si>
    <t>s1 (Hoop)</t>
  </si>
  <si>
    <t>BAR</t>
  </si>
  <si>
    <t>s2 (Axial)</t>
  </si>
  <si>
    <t>s3 (Radial)</t>
  </si>
  <si>
    <t>bar</t>
  </si>
  <si>
    <t>vm a</t>
  </si>
  <si>
    <t>constant</t>
  </si>
  <si>
    <t>vm b</t>
  </si>
  <si>
    <t>bar^2</t>
  </si>
  <si>
    <t>vm c</t>
  </si>
  <si>
    <t>vm d</t>
  </si>
  <si>
    <t>vm e</t>
  </si>
  <si>
    <t>Peak von Mises stress in tank at proof pressure</t>
  </si>
  <si>
    <t>Peak von Mises stress in tank at burst load pressure</t>
  </si>
  <si>
    <t>Yield at proof test conditions?</t>
  </si>
  <si>
    <t>Exceed Ultimate at Burst Test conditions?</t>
  </si>
  <si>
    <t>Thin wall ratio (Ri/t)</t>
  </si>
  <si>
    <t>Is Ri/t ratio greater than 10?</t>
  </si>
  <si>
    <t>If not "thin wall", above estimates are questionable.  See results below.</t>
  </si>
  <si>
    <t>Wall thickness adjustment factor</t>
  </si>
  <si>
    <t>If not 1.0,  see refined results below.</t>
  </si>
  <si>
    <t>Tank von Mises Parameters - Refinement Cycle 1</t>
  </si>
  <si>
    <t>Tank von Mises Parameters - Refinement Cycle 2</t>
  </si>
  <si>
    <t>Tank von Mises Parameters - Refinement Cycle 3</t>
  </si>
  <si>
    <t>Von Mises Based Refinement</t>
  </si>
  <si>
    <t>Proposed Wall Thickness</t>
  </si>
  <si>
    <t>Best estimate of necessary tank wall thickness</t>
  </si>
  <si>
    <t>Percent change from base thickness</t>
  </si>
  <si>
    <t>Tank Wall material volume</t>
  </si>
  <si>
    <t>Tank mass after refinement</t>
  </si>
  <si>
    <t xml:space="preserve">  Best estimate of tank mass</t>
  </si>
  <si>
    <t>Change from initial mass estimate</t>
  </si>
  <si>
    <t>Remaining vonMises error</t>
  </si>
  <si>
    <t>Confirm that this is sufficiently small</t>
  </si>
  <si>
    <t>Final exterior L/D</t>
  </si>
  <si>
    <t>Tank Wall material cost after refinement</t>
  </si>
  <si>
    <t>Estimate of raw material cost of tank wall, excludes manufacturing and all other costs</t>
  </si>
  <si>
    <t>Type 3 Tank sizing code</t>
  </si>
  <si>
    <t>Notes on Calculation Strategy</t>
  </si>
  <si>
    <t>1) Code estimates tank size based on room temperature properties, but is valid for all temperatures</t>
  </si>
  <si>
    <t>2) Code calculates two estimates: lower bound and high bounding tank mass</t>
  </si>
  <si>
    <t>3) Lower bound = best estimate</t>
  </si>
  <si>
    <t xml:space="preserve">4) 3d FEA models show lower bound predicted thickness is best estimate for range of interest </t>
  </si>
  <si>
    <t>5) For a conservative estimate of mass, use high bound, or something in between the extremes</t>
  </si>
  <si>
    <t>6) All important cases should be evaluated with FEA to confirm the estimates will work</t>
  </si>
  <si>
    <t>7) Practical fiber winding methods may affect results - estimates assume a favorable stack</t>
  </si>
  <si>
    <t>8) Fiber translation efficiency is an input.  80% is based on Quantum 350 bar experience</t>
  </si>
  <si>
    <t>9) hemispherical end caps with no openings are assumed in calculation.</t>
  </si>
  <si>
    <t>10) Goal is estimate the mass and amount of material required in a realistic design.</t>
  </si>
  <si>
    <t>11) Actual realistic tank design should be addressed by models of precise geometry and composite layups</t>
  </si>
  <si>
    <t>na</t>
  </si>
  <si>
    <t>Spreadsheet valid for all temperatures</t>
  </si>
  <si>
    <t>Operating Pressure</t>
  </si>
  <si>
    <t>Carbon Fiber</t>
  </si>
  <si>
    <t>No choice: Carbon Fiber Composite</t>
  </si>
  <si>
    <t>Liner Material</t>
  </si>
  <si>
    <t>Aluminum</t>
  </si>
  <si>
    <t>No choice: Aluminum</t>
  </si>
  <si>
    <t>Fiber Translation Efficiency</t>
  </si>
  <si>
    <t>Practical difference between stress analysis and actual burst test.</t>
  </si>
  <si>
    <t>To get a closer match, specify Radius directly</t>
  </si>
  <si>
    <t>Tank Liner estimate</t>
  </si>
  <si>
    <t>total burst pressure load</t>
  </si>
  <si>
    <t>liner burst load factor</t>
  </si>
  <si>
    <t>This factor appropriately sizes the liner in cases up to 300 bar and 30cm R</t>
  </si>
  <si>
    <t>liner burst load</t>
  </si>
  <si>
    <t>Liner ultimate strength (Room Temp.)</t>
  </si>
  <si>
    <t>Aluminum RT UTS</t>
  </si>
  <si>
    <t>Liner Thickness [t]</t>
  </si>
  <si>
    <t>Minimum liner thickness is 3mm.</t>
  </si>
  <si>
    <t>Upper Bound Wall Thickness Calculation</t>
  </si>
  <si>
    <t>Uses Type 4 Basis, ignores liner strength contribution [CONSERVATIVE]</t>
  </si>
  <si>
    <t xml:space="preserve">Carbon Fiber Composite Material strength </t>
  </si>
  <si>
    <t>Safety Factor</t>
  </si>
  <si>
    <t>Burst pressure is SF* operating pressure</t>
  </si>
  <si>
    <t>Wall Radius = R+t</t>
  </si>
  <si>
    <t>Tank Wall thickness (ideal)</t>
  </si>
  <si>
    <t>Includes translation efficiency.  Does not take into account discrete layers.</t>
  </si>
  <si>
    <t>Layer thickness increment</t>
  </si>
  <si>
    <t>thickness of each carbon fiber layer</t>
  </si>
  <si>
    <t># layers</t>
  </si>
  <si>
    <t>Rounded up thickness</t>
  </si>
  <si>
    <t xml:space="preserve">Minimum layer thickness </t>
  </si>
  <si>
    <t>3 layers minimum</t>
  </si>
  <si>
    <t>Final wall thickness</t>
  </si>
  <si>
    <t>Final safety factor</t>
  </si>
  <si>
    <t>Because the thickness has to be rounded up from ideal, additional safety is added</t>
  </si>
  <si>
    <t>Estimated burst pressure</t>
  </si>
  <si>
    <t>Lower Bound Wall Thickness Calculation</t>
  </si>
  <si>
    <t>Uses Type 4 Basis but assumes liner contributes strength [BEST ESTIMATE]</t>
  </si>
  <si>
    <t>Liner ultimate strength (RT)</t>
  </si>
  <si>
    <t>Liner can support</t>
  </si>
  <si>
    <t xml:space="preserve">Adjusted Burst Pressure on Composite </t>
  </si>
  <si>
    <t>Includes translation efficiency factor</t>
  </si>
  <si>
    <t>does not take into account discrete layers of carbon fiber composite</t>
  </si>
  <si>
    <t>Load share estimate</t>
  </si>
  <si>
    <t>%CF</t>
  </si>
  <si>
    <t>% of burst load carried by carbon fiber composite. Rest carried by liner. Estimate only.</t>
  </si>
  <si>
    <t>Mass Calculations</t>
  </si>
  <si>
    <t>Low Bound</t>
  </si>
  <si>
    <t>High Bound</t>
  </si>
  <si>
    <t>Internal Radius (cm)</t>
  </si>
  <si>
    <t>Internal Length (cm)</t>
  </si>
  <si>
    <t>liner thickness (cm)</t>
  </si>
  <si>
    <t>wall thickness (cm)</t>
  </si>
  <si>
    <t>liner density (kg/ccm)</t>
  </si>
  <si>
    <t>wall density (kg/ccm)</t>
  </si>
  <si>
    <t>Ext Radius (cm)</t>
  </si>
  <si>
    <t>Ext Length (cm)</t>
  </si>
  <si>
    <t>Liner Ext Radius (cm)</t>
  </si>
  <si>
    <t>Liner Ext Length (cm)</t>
  </si>
  <si>
    <t>exterior volume (L)</t>
  </si>
  <si>
    <t>Liner ext volume (L)</t>
  </si>
  <si>
    <t>internal volume (L)</t>
  </si>
  <si>
    <t>wall volume (ccm)</t>
  </si>
  <si>
    <t>liner volume (ccm)</t>
  </si>
  <si>
    <t>Carbon Fiber Composite mass (kg)</t>
  </si>
  <si>
    <t>Use lower bound masses unless conservative estimate is needed</t>
  </si>
  <si>
    <t>Aluminum liner mass (kg)</t>
  </si>
  <si>
    <t>total mass (kg)</t>
  </si>
  <si>
    <t>exterior L:D</t>
  </si>
  <si>
    <t>Layers of composite (minimum is 3)</t>
  </si>
  <si>
    <t>&lt;- Layer difference is indication of how much strength liner contributes</t>
  </si>
  <si>
    <t>Gravimetric (L/kg)</t>
  </si>
  <si>
    <t>Tank Material Cost</t>
  </si>
  <si>
    <t>aluminim material cost ($/kg)</t>
  </si>
  <si>
    <t>Raw material cost estimate based on representative 2007 prices.</t>
  </si>
  <si>
    <t>Carbon fiber composite cost ($/kg)</t>
  </si>
  <si>
    <t>aluminum line cost ($)</t>
  </si>
  <si>
    <t>Use lower bound costs unless conservative estimate is needed</t>
  </si>
  <si>
    <t>Carbon fiber composite cost ($)</t>
  </si>
  <si>
    <t>Tank Wall total material cost ($)</t>
  </si>
  <si>
    <t>Thin Wall Check</t>
  </si>
  <si>
    <t>Liner r/t</t>
  </si>
  <si>
    <t>composite r/t</t>
  </si>
  <si>
    <t>Type 4 Tank sizing code</t>
  </si>
  <si>
    <t>Room Temperature analysis, assumed valid for all temperatures</t>
  </si>
  <si>
    <t>No choice: HDPE</t>
  </si>
  <si>
    <t>Liner thickness set by functional requirements, not load bearing</t>
  </si>
  <si>
    <t>Practical difference between stress analysis and actual burst test. 100% = no difference</t>
  </si>
  <si>
    <t>Tank Material strength at operating temp</t>
  </si>
  <si>
    <t>Room temperature 2:1 hoop:axial fiber orientation, 60% fiber vf</t>
  </si>
  <si>
    <t>Safety Factor (Design Basis)</t>
  </si>
  <si>
    <t>may be debateable: 2.25 and 2.35 have been considered</t>
  </si>
  <si>
    <t>includes translation efficiency.  Does not account for discrete layers.</t>
  </si>
  <si>
    <t>Maximum safety factor</t>
  </si>
  <si>
    <t>Safety Factor x (Final Wall Thickness / Ideal Wall Thickness)</t>
  </si>
  <si>
    <t>Estimated maximum burst pressure</t>
  </si>
  <si>
    <t>indication of potential conservatism using even number of lamina thicknesses</t>
  </si>
  <si>
    <t>Liner Geometry and Mass Calculation</t>
  </si>
  <si>
    <t>Total volume of liner material</t>
  </si>
  <si>
    <t>Liner material density</t>
  </si>
  <si>
    <t>HDPE</t>
  </si>
  <si>
    <t>Liner mass</t>
  </si>
  <si>
    <t>Tank Wall Material Calculation</t>
  </si>
  <si>
    <t>Carbon fiber composite (T700S)</t>
  </si>
  <si>
    <t>Summary</t>
  </si>
  <si>
    <t>Liner Mass</t>
  </si>
  <si>
    <t>Composite mass</t>
  </si>
  <si>
    <t>Total mass</t>
  </si>
  <si>
    <t>Total Tank Mass</t>
  </si>
  <si>
    <t>Tank Cost</t>
  </si>
  <si>
    <t>HDPE material cost</t>
  </si>
  <si>
    <t>Carbon fiber composite material cost</t>
  </si>
  <si>
    <t>liner cost</t>
  </si>
  <si>
    <t>composite cost</t>
  </si>
  <si>
    <t>total tank cost</t>
  </si>
  <si>
    <t>Total of composite and HDPE only, manufacturing and all other costs not included</t>
  </si>
  <si>
    <t>Checks</t>
  </si>
  <si>
    <t>Composite R/t</t>
  </si>
  <si>
    <t>&lt;- confirm this is greater than 10.0</t>
  </si>
  <si>
    <t>Burst</t>
  </si>
  <si>
    <t>NO</t>
  </si>
  <si>
    <t>Thin Wall</t>
  </si>
  <si>
    <t>Yes</t>
  </si>
  <si>
    <t>Thick Wall</t>
  </si>
  <si>
    <t>External volume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</si>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</sst>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%"/>
    <numFmt numFmtId="166" formatCode="#,##0.0000"/>
    <numFmt numFmtId="167" formatCode="0.000"/>
    <numFmt numFmtId="168" formatCode="#,##0.0"/>
    <numFmt numFmtId="169" formatCode="&quot;$&quot;#,##0.00"/>
    <numFmt numFmtId="170" formatCode="0.000E+00"/>
    <numFmt numFmtId="171" formatCode="0.00000"/>
    <numFmt numFmtId="172" formatCode="0.0E+00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CC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6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164" fontId="0" fillId="0" borderId="0" xfId="0" applyNumberFormat="1"/>
    <xf numFmtId="0" fontId="0" fillId="0" borderId="10" xfId="0" applyBorder="1"/>
    <xf numFmtId="165" fontId="0" fillId="0" borderId="0" xfId="0" applyNumberFormat="1"/>
    <xf numFmtId="0" fontId="0" fillId="0" borderId="11" xfId="0" applyBorder="1"/>
    <xf numFmtId="166" fontId="0" fillId="0" borderId="0" xfId="0" applyNumberFormat="1"/>
    <xf numFmtId="0" fontId="0" fillId="0" borderId="0" xfId="0" quotePrefix="1"/>
    <xf numFmtId="167" fontId="0" fillId="0" borderId="0" xfId="0" applyNumberFormat="1"/>
    <xf numFmtId="2" fontId="0" fillId="3" borderId="0" xfId="0" applyNumberFormat="1" applyFill="1"/>
    <xf numFmtId="11" fontId="0" fillId="0" borderId="0" xfId="0" applyNumberFormat="1"/>
    <xf numFmtId="0" fontId="0" fillId="0" borderId="0" xfId="0" applyAlignment="1">
      <alignment horizontal="left"/>
    </xf>
    <xf numFmtId="164" fontId="1" fillId="0" borderId="0" xfId="0" applyNumberFormat="1" applyFont="1"/>
    <xf numFmtId="3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0" borderId="0" xfId="0" applyFont="1" applyProtection="1">
      <protection locked="0"/>
    </xf>
    <xf numFmtId="0" fontId="2" fillId="0" borderId="0" xfId="0" applyFont="1"/>
    <xf numFmtId="167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0" fillId="4" borderId="0" xfId="0" applyNumberFormat="1" applyFill="1"/>
    <xf numFmtId="2" fontId="0" fillId="5" borderId="0" xfId="0" applyNumberFormat="1" applyFill="1"/>
    <xf numFmtId="0" fontId="0" fillId="5" borderId="0" xfId="0" applyFill="1"/>
    <xf numFmtId="9" fontId="0" fillId="0" borderId="0" xfId="1" applyFont="1"/>
    <xf numFmtId="1" fontId="0" fillId="0" borderId="0" xfId="0" applyNumberFormat="1"/>
    <xf numFmtId="0" fontId="0" fillId="6" borderId="0" xfId="0" applyFill="1"/>
    <xf numFmtId="10" fontId="0" fillId="0" borderId="0" xfId="0" applyNumberFormat="1"/>
    <xf numFmtId="0" fontId="0" fillId="2" borderId="0" xfId="0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3" fontId="0" fillId="2" borderId="7" xfId="0" applyNumberFormat="1" applyFill="1" applyBorder="1" applyProtection="1">
      <protection locked="0"/>
    </xf>
    <xf numFmtId="164" fontId="0" fillId="3" borderId="0" xfId="0" applyNumberFormat="1" applyFill="1"/>
    <xf numFmtId="0" fontId="0" fillId="3" borderId="0" xfId="0" applyFill="1"/>
    <xf numFmtId="4" fontId="0" fillId="0" borderId="0" xfId="0" applyNumberFormat="1"/>
    <xf numFmtId="2" fontId="1" fillId="3" borderId="0" xfId="0" applyNumberFormat="1" applyFont="1" applyFill="1"/>
    <xf numFmtId="0" fontId="2" fillId="3" borderId="0" xfId="0" applyFont="1" applyFill="1"/>
    <xf numFmtId="0" fontId="1" fillId="3" borderId="0" xfId="0" applyFont="1" applyFill="1"/>
    <xf numFmtId="167" fontId="0" fillId="4" borderId="0" xfId="0" applyNumberFormat="1" applyFill="1"/>
    <xf numFmtId="0" fontId="0" fillId="8" borderId="0" xfId="0" applyFill="1"/>
    <xf numFmtId="0" fontId="0" fillId="0" borderId="0" xfId="0"/>
    <xf numFmtId="0" fontId="2" fillId="5" borderId="0" xfId="0" applyFont="1" applyFill="1"/>
    <xf numFmtId="2" fontId="0" fillId="7" borderId="1" xfId="0" applyNumberFormat="1" applyFill="1" applyBorder="1"/>
    <xf numFmtId="2" fontId="0" fillId="7" borderId="3" xfId="0" applyNumberFormat="1" applyFill="1" applyBorder="1"/>
    <xf numFmtId="2" fontId="0" fillId="7" borderId="8" xfId="0" applyNumberFormat="1" applyFill="1" applyBorder="1"/>
    <xf numFmtId="2" fontId="0" fillId="7" borderId="11" xfId="0" applyNumberFormat="1" applyFill="1" applyBorder="1"/>
    <xf numFmtId="0" fontId="0" fillId="7" borderId="0" xfId="0" applyFill="1"/>
    <xf numFmtId="169" fontId="0" fillId="7" borderId="0" xfId="0" applyNumberFormat="1" applyFill="1"/>
    <xf numFmtId="170" fontId="0" fillId="0" borderId="0" xfId="0" applyNumberFormat="1"/>
    <xf numFmtId="169" fontId="0" fillId="0" borderId="0" xfId="0" applyNumberFormat="1"/>
    <xf numFmtId="169" fontId="0" fillId="9" borderId="0" xfId="0" applyNumberFormat="1" applyFill="1"/>
    <xf numFmtId="171" fontId="0" fillId="0" borderId="0" xfId="0" applyNumberFormat="1"/>
    <xf numFmtId="168" fontId="2" fillId="3" borderId="0" xfId="0" applyNumberFormat="1" applyFont="1" applyFill="1"/>
    <xf numFmtId="172" fontId="1" fillId="0" borderId="0" xfId="0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External volume (m^3)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364993264985099"/>
          <c:w val="0.82053018372703412"/>
          <c:h val="0.70959974022281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843438320209971"/>
                  <c:y val="-2.4757744304794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'Imperical relations'!$C$9:$G$9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</c:numCache>
            </c:numRef>
          </c:xVal>
          <c:yVal>
            <c:numRef>
              <c:f>'Imperical relations'!$C$194:$G$194</c:f>
              <c:numCache>
                <c:formatCode>General</c:formatCode>
                <c:ptCount val="5"/>
                <c:pt idx="0">
                  <c:v>3.0307892250110497</c:v>
                </c:pt>
                <c:pt idx="1">
                  <c:v>3.1849441189740926</c:v>
                </c:pt>
                <c:pt idx="2">
                  <c:v>3.3555250203299494</c:v>
                </c:pt>
                <c:pt idx="3">
                  <c:v>3.5452811442797287</c:v>
                </c:pt>
                <c:pt idx="4">
                  <c:v>3.7575413099990684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2-4838-ACBB-CE8511166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24783"/>
        <c:axId val="1521828111"/>
      </c:scatterChart>
      <c:valAx>
        <c:axId val="15218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8111"/>
        <c:crosses val="autoZero"/>
        <c:crossBetween val="midCat"/>
      </c:valAx>
      <c:valAx>
        <c:axId val="15218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($/tank)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535433070866136E-2"/>
                  <c:y val="2.011905098463952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'Imperical relations'!$C$9:$G$9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</c:numCache>
            </c:numRef>
          </c:xVal>
          <c:yVal>
            <c:numRef>
              <c:f>'Imperical relations'!$C$193:$G$193</c:f>
              <c:numCache>
                <c:formatCode>General</c:formatCode>
                <c:ptCount val="5"/>
                <c:pt idx="0">
                  <c:v>429.53765645793993</c:v>
                </c:pt>
                <c:pt idx="1">
                  <c:v>2256.3271041328826</c:v>
                </c:pt>
                <c:pt idx="2">
                  <c:v>4277.7704885152634</c:v>
                </c:pt>
                <c:pt idx="3">
                  <c:v>6526.446971963529</c:v>
                </c:pt>
                <c:pt idx="4">
                  <c:v>9041.8042267957044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B-44A1-82B4-42B01D236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24783"/>
        <c:axId val="1521828111"/>
      </c:scatterChart>
      <c:valAx>
        <c:axId val="15218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8111"/>
        <c:crosses val="autoZero"/>
        <c:crossBetween val="midCat"/>
      </c:valAx>
      <c:valAx>
        <c:axId val="15218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Mass</a:t>
            </a:r>
            <a:r>
              <a:rPr lang="en-US" baseline="0"/>
              <a:t> (kg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364993264985099"/>
          <c:w val="0.82053018372703412"/>
          <c:h val="0.709599740222817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322594050743657"/>
                  <c:y val="-2.481669842805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'Imperical relations'!$C$9:$G$9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90</c:v>
                </c:pt>
                <c:pt idx="3">
                  <c:v>130</c:v>
                </c:pt>
                <c:pt idx="4">
                  <c:v>170</c:v>
                </c:pt>
              </c:numCache>
            </c:numRef>
          </c:xVal>
          <c:yVal>
            <c:numRef>
              <c:f>'Imperical relations'!$C$188:$G$188</c:f>
              <c:numCache>
                <c:formatCode>General</c:formatCode>
                <c:ptCount val="5"/>
                <c:pt idx="0">
                  <c:v>96.525316057964019</c:v>
                </c:pt>
                <c:pt idx="1">
                  <c:v>507.03979868154664</c:v>
                </c:pt>
                <c:pt idx="2">
                  <c:v>961.29673899219392</c:v>
                </c:pt>
                <c:pt idx="3">
                  <c:v>1466.6172970704558</c:v>
                </c:pt>
                <c:pt idx="4">
                  <c:v>2031.866118381057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9-4245-90C3-C1F349AC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824783"/>
        <c:axId val="1521828111"/>
      </c:scatterChart>
      <c:valAx>
        <c:axId val="152182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8111"/>
        <c:crosses val="autoZero"/>
        <c:crossBetween val="midCat"/>
      </c:valAx>
      <c:valAx>
        <c:axId val="15218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82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144</xdr:row>
      <xdr:rowOff>84137</xdr:rowOff>
    </xdr:from>
    <xdr:to>
      <xdr:col>22</xdr:col>
      <xdr:colOff>19050</xdr:colOff>
      <xdr:row>166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A3D40-7F61-4F5F-9D69-F920543CC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144</xdr:row>
      <xdr:rowOff>142875</xdr:rowOff>
    </xdr:from>
    <xdr:to>
      <xdr:col>13</xdr:col>
      <xdr:colOff>476250</xdr:colOff>
      <xdr:row>167</xdr:row>
      <xdr:rowOff>58738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A950B5-58A4-4D22-BC01-2A1F106C3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542925</xdr:colOff>
      <xdr:row>168</xdr:row>
      <xdr:rowOff>66675</xdr:rowOff>
    </xdr:from>
    <xdr:to>
      <xdr:col>16</xdr:col>
      <xdr:colOff>238125</xdr:colOff>
      <xdr:row>190</xdr:row>
      <xdr:rowOff>141288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F404A3-B536-48FF-96CE-27FE4AC5B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sheetProtection password="8E8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P452"/>
  <sheetViews>
    <sheetView tabSelected="1" topLeftCell="A8" workbookViewId="0">
      <selection activeCell="D17" sqref="D17"/>
    </sheetView>
  </sheetViews>
  <sheetFormatPr defaultRowHeight="12.75" x14ac:dyDescent="0.2"/>
  <cols>
    <col min="1" max="1" width="46.85546875" style="47" bestFit="1" customWidth="1"/>
    <col min="2" max="2" width="10.42578125" style="47" customWidth="1"/>
    <col min="3" max="3" width="16.5703125" style="47" bestFit="1" customWidth="1"/>
    <col min="4" max="4" width="70.85546875" style="47" customWidth="1"/>
    <col min="9" max="9" width="17.5703125" style="47" bestFit="1" customWidth="1"/>
    <col min="14" max="14" width="15.42578125" style="47" bestFit="1" customWidth="1"/>
    <col min="21" max="21" width="15.42578125" style="47" bestFit="1" customWidth="1"/>
    <col min="23" max="23" width="12.5703125" style="47" bestFit="1" customWidth="1"/>
    <col min="30" max="30" width="10" style="47" bestFit="1" customWidth="1"/>
    <col min="38" max="38" width="21.5703125" style="47" customWidth="1"/>
    <col min="39" max="39" width="12.140625" style="47" bestFit="1" customWidth="1"/>
    <col min="40" max="40" width="10.5703125" style="47" customWidth="1"/>
    <col min="41" max="41" width="12.5703125" style="47" bestFit="1" customWidth="1"/>
  </cols>
  <sheetData>
    <row r="1" spans="1:42" ht="12.95" customHeight="1" x14ac:dyDescent="0.2">
      <c r="A1" t="s">
        <v>0</v>
      </c>
      <c r="B1" t="s">
        <v>1</v>
      </c>
      <c r="D1" s="1" t="s">
        <v>2</v>
      </c>
      <c r="I1" s="23" t="s">
        <v>3</v>
      </c>
      <c r="J1" t="s">
        <v>4</v>
      </c>
      <c r="K1" t="s">
        <v>5</v>
      </c>
      <c r="L1" t="s">
        <v>4</v>
      </c>
      <c r="M1" t="s">
        <v>6</v>
      </c>
      <c r="N1" t="s">
        <v>7</v>
      </c>
      <c r="O1" t="s">
        <v>8</v>
      </c>
      <c r="P1" s="23" t="s">
        <v>9</v>
      </c>
      <c r="Q1" t="s">
        <v>4</v>
      </c>
      <c r="R1" t="s">
        <v>10</v>
      </c>
      <c r="S1" t="s">
        <v>4</v>
      </c>
      <c r="T1" t="s">
        <v>11</v>
      </c>
      <c r="U1" t="s">
        <v>7</v>
      </c>
      <c r="V1" t="s">
        <v>8</v>
      </c>
      <c r="W1" s="23" t="s">
        <v>12</v>
      </c>
      <c r="X1" t="s">
        <v>4</v>
      </c>
      <c r="Y1" t="s">
        <v>5</v>
      </c>
      <c r="Z1" t="s">
        <v>4</v>
      </c>
      <c r="AA1" t="s">
        <v>13</v>
      </c>
      <c r="AB1" t="s">
        <v>7</v>
      </c>
      <c r="AC1" t="s">
        <v>8</v>
      </c>
      <c r="AD1" s="23" t="s">
        <v>14</v>
      </c>
      <c r="AE1" t="s">
        <v>4</v>
      </c>
      <c r="AF1" t="s">
        <v>5</v>
      </c>
      <c r="AG1" t="s">
        <v>4</v>
      </c>
      <c r="AH1" t="s">
        <v>13</v>
      </c>
      <c r="AI1" t="s">
        <v>7</v>
      </c>
      <c r="AJ1" t="s">
        <v>8</v>
      </c>
      <c r="AL1" t="s">
        <v>15</v>
      </c>
      <c r="AM1" t="s">
        <v>16</v>
      </c>
      <c r="AN1" t="s">
        <v>17</v>
      </c>
      <c r="AO1" t="s">
        <v>18</v>
      </c>
      <c r="AP1" t="s">
        <v>19</v>
      </c>
    </row>
    <row r="2" spans="1:42" x14ac:dyDescent="0.2">
      <c r="D2" t="s">
        <v>20</v>
      </c>
      <c r="J2">
        <v>-251.9216666666666</v>
      </c>
      <c r="K2">
        <v>3871.2270717241381</v>
      </c>
      <c r="L2">
        <v>-239.99734799999999</v>
      </c>
      <c r="M2">
        <v>4504.7474549999997</v>
      </c>
      <c r="N2">
        <v>2.663E-3</v>
      </c>
      <c r="O2" s="54">
        <v>4.45</v>
      </c>
      <c r="Q2" s="2">
        <v>-253.15</v>
      </c>
      <c r="R2" s="3">
        <v>6413.7931034482763</v>
      </c>
      <c r="S2" s="3">
        <v>-273</v>
      </c>
      <c r="T2" s="4">
        <f>2.4*$T$17</f>
        <v>13896</v>
      </c>
      <c r="U2">
        <v>8.0269999999999994E-3</v>
      </c>
      <c r="V2" s="54">
        <v>4.92</v>
      </c>
      <c r="X2">
        <v>-253.15</v>
      </c>
      <c r="Y2">
        <v>7239</v>
      </c>
      <c r="Z2">
        <v>-253.15</v>
      </c>
      <c r="AA2">
        <v>8963</v>
      </c>
      <c r="AB2">
        <v>7.7000000000000002E-3</v>
      </c>
      <c r="AC2" s="54">
        <v>2.5499999999999998</v>
      </c>
      <c r="AE2">
        <v>-253.15</v>
      </c>
      <c r="AF2">
        <v>10043</v>
      </c>
      <c r="AG2">
        <v>-253.15</v>
      </c>
      <c r="AH2">
        <v>11187</v>
      </c>
      <c r="AI2">
        <v>7.8499999999999993E-3</v>
      </c>
      <c r="AJ2" s="54">
        <v>3.01</v>
      </c>
      <c r="AL2" s="16">
        <f>C15</f>
        <v>3000000</v>
      </c>
      <c r="AM2">
        <f>C13</f>
        <v>1000</v>
      </c>
      <c r="AN2">
        <v>5</v>
      </c>
      <c r="AO2" s="55">
        <f t="shared" ref="AO2:AO65" si="0">4/3*PI()*AN2^3+PI()*AN2^2*($AM$2-2*AN2)</f>
        <v>78278.016951945683</v>
      </c>
      <c r="AP2">
        <f t="shared" ref="AP2:AP65" si="1">AN2</f>
        <v>5</v>
      </c>
    </row>
    <row r="3" spans="1:42" x14ac:dyDescent="0.2">
      <c r="D3" s="20" t="s">
        <v>21</v>
      </c>
      <c r="J3">
        <v>-250.27444444444441</v>
      </c>
      <c r="K3">
        <v>3829.5110813793099</v>
      </c>
      <c r="L3">
        <v>-214.77033</v>
      </c>
      <c r="M3">
        <v>4217.4241200000006</v>
      </c>
      <c r="Q3" s="5">
        <v>-233.15</v>
      </c>
      <c r="R3">
        <v>6099.2135511191764</v>
      </c>
      <c r="S3">
        <v>-250</v>
      </c>
      <c r="T3" s="9">
        <f>2.29*$T$17</f>
        <v>13259.1</v>
      </c>
      <c r="X3">
        <v>-233.15</v>
      </c>
      <c r="Y3">
        <v>7239</v>
      </c>
      <c r="Z3">
        <v>-233.15</v>
      </c>
      <c r="AA3">
        <v>8963</v>
      </c>
      <c r="AE3">
        <v>-233.15</v>
      </c>
      <c r="AF3">
        <v>10043</v>
      </c>
      <c r="AG3">
        <v>-233.15</v>
      </c>
      <c r="AH3">
        <v>11187</v>
      </c>
      <c r="AN3">
        <v>5.0999999999999996</v>
      </c>
      <c r="AO3" s="55">
        <f t="shared" si="0"/>
        <v>81435.001315142945</v>
      </c>
      <c r="AP3">
        <f t="shared" si="1"/>
        <v>5.0999999999999996</v>
      </c>
    </row>
    <row r="4" spans="1:42" x14ac:dyDescent="0.2">
      <c r="D4" t="s">
        <v>22</v>
      </c>
      <c r="J4">
        <v>-246.9805555555555</v>
      </c>
      <c r="K4">
        <v>3787.795091034483</v>
      </c>
      <c r="L4">
        <v>-200.7547644</v>
      </c>
      <c r="M4">
        <v>4041.315720000001</v>
      </c>
      <c r="Q4" s="5">
        <v>-213.15</v>
      </c>
      <c r="R4">
        <v>5784.6339987900783</v>
      </c>
      <c r="S4">
        <v>-225</v>
      </c>
      <c r="T4" s="9">
        <f>2.172*$T$17</f>
        <v>12575.880000000001</v>
      </c>
      <c r="X4">
        <v>-213.15</v>
      </c>
      <c r="Y4">
        <v>7239</v>
      </c>
      <c r="Z4">
        <v>-213.15</v>
      </c>
      <c r="AA4">
        <v>8963</v>
      </c>
      <c r="AE4">
        <v>-213.15</v>
      </c>
      <c r="AF4">
        <v>10043</v>
      </c>
      <c r="AG4">
        <v>-213.15</v>
      </c>
      <c r="AH4">
        <v>11187</v>
      </c>
      <c r="AN4">
        <v>5.2</v>
      </c>
      <c r="AO4" s="55">
        <f t="shared" si="0"/>
        <v>84654.176646510721</v>
      </c>
      <c r="AP4">
        <f t="shared" si="1"/>
        <v>5.2</v>
      </c>
    </row>
    <row r="5" spans="1:42" x14ac:dyDescent="0.2">
      <c r="D5" t="s">
        <v>23</v>
      </c>
      <c r="J5">
        <v>-243.6861111111111</v>
      </c>
      <c r="K5">
        <v>3746.0791006896561</v>
      </c>
      <c r="L5">
        <v>-181.13375039999991</v>
      </c>
      <c r="M5">
        <v>3874.4778150000002</v>
      </c>
      <c r="Q5" s="5">
        <v>-196.15</v>
      </c>
      <c r="R5">
        <v>5517.2413793103451</v>
      </c>
      <c r="S5">
        <v>-200</v>
      </c>
      <c r="T5" s="9">
        <f>2.05*$T$17</f>
        <v>11869.499999999998</v>
      </c>
      <c r="X5">
        <v>-196.15</v>
      </c>
      <c r="Y5">
        <v>7239</v>
      </c>
      <c r="Z5">
        <v>-196.15</v>
      </c>
      <c r="AA5">
        <v>8963</v>
      </c>
      <c r="AE5">
        <v>-196.15</v>
      </c>
      <c r="AF5">
        <v>10043</v>
      </c>
      <c r="AG5">
        <v>-196.15</v>
      </c>
      <c r="AH5">
        <v>11187</v>
      </c>
      <c r="AN5">
        <v>5.3</v>
      </c>
      <c r="AO5" s="55">
        <f t="shared" si="0"/>
        <v>87935.530379678297</v>
      </c>
      <c r="AP5">
        <f t="shared" si="1"/>
        <v>5.3</v>
      </c>
    </row>
    <row r="6" spans="1:42" x14ac:dyDescent="0.2">
      <c r="J6">
        <v>-240.39222222222219</v>
      </c>
      <c r="K6">
        <v>3696.00308</v>
      </c>
      <c r="L6">
        <v>-164.31573839999999</v>
      </c>
      <c r="M6">
        <v>3753.9613800000002</v>
      </c>
      <c r="Q6" s="5">
        <v>-193.15</v>
      </c>
      <c r="R6">
        <v>5465.5172413793107</v>
      </c>
      <c r="S6">
        <v>-180</v>
      </c>
      <c r="T6" s="9">
        <f>1.96*$T$17</f>
        <v>11348.4</v>
      </c>
      <c r="X6">
        <v>-193.15</v>
      </c>
      <c r="Y6">
        <v>7239</v>
      </c>
      <c r="Z6">
        <v>-193.15</v>
      </c>
      <c r="AA6">
        <v>8963</v>
      </c>
      <c r="AE6">
        <v>-193.15</v>
      </c>
      <c r="AF6">
        <v>10043</v>
      </c>
      <c r="AG6">
        <v>-193.15</v>
      </c>
      <c r="AH6">
        <v>11187</v>
      </c>
      <c r="AN6">
        <v>5.4</v>
      </c>
      <c r="AO6" s="55">
        <f t="shared" si="0"/>
        <v>91279.049948275147</v>
      </c>
      <c r="AP6">
        <f t="shared" si="1"/>
        <v>5.4</v>
      </c>
    </row>
    <row r="7" spans="1:42" ht="12.95" customHeight="1" x14ac:dyDescent="0.2">
      <c r="A7" s="23" t="s">
        <v>24</v>
      </c>
      <c r="B7" s="23"/>
      <c r="D7" t="s">
        <v>25</v>
      </c>
      <c r="F7" s="23" t="s">
        <v>26</v>
      </c>
      <c r="J7">
        <v>-235.45111111111109</v>
      </c>
      <c r="K7">
        <v>3654.2870896551722</v>
      </c>
      <c r="L7">
        <v>-141.89116680000001</v>
      </c>
      <c r="M7">
        <v>3614.93496</v>
      </c>
      <c r="Q7" s="5">
        <v>-173.15</v>
      </c>
      <c r="R7">
        <v>5120.6896551724139</v>
      </c>
      <c r="S7">
        <v>-160</v>
      </c>
      <c r="T7" s="9">
        <f>1.86*$T$17</f>
        <v>10769.400000000001</v>
      </c>
      <c r="X7">
        <v>-173.15</v>
      </c>
      <c r="Y7">
        <v>7239</v>
      </c>
      <c r="Z7">
        <v>-173.15</v>
      </c>
      <c r="AA7">
        <v>8963</v>
      </c>
      <c r="AE7">
        <v>-173.15</v>
      </c>
      <c r="AF7">
        <v>10043</v>
      </c>
      <c r="AG7">
        <v>-173.15</v>
      </c>
      <c r="AH7">
        <v>11187</v>
      </c>
      <c r="AN7">
        <v>5.5</v>
      </c>
      <c r="AO7" s="55">
        <f t="shared" si="0"/>
        <v>94684.722785930571</v>
      </c>
      <c r="AP7">
        <f t="shared" si="1"/>
        <v>5.5</v>
      </c>
    </row>
    <row r="8" spans="1:42" x14ac:dyDescent="0.2">
      <c r="A8" t="s">
        <v>27</v>
      </c>
      <c r="B8" t="s">
        <v>28</v>
      </c>
      <c r="C8" s="34">
        <v>-50</v>
      </c>
      <c r="D8" t="s">
        <v>29</v>
      </c>
      <c r="E8">
        <v>1</v>
      </c>
      <c r="F8" t="s">
        <v>3</v>
      </c>
      <c r="J8">
        <v>-230.51</v>
      </c>
      <c r="K8">
        <v>3595.8790924137929</v>
      </c>
      <c r="L8">
        <v>-122.27015280000001</v>
      </c>
      <c r="M8">
        <v>3512.959515</v>
      </c>
      <c r="Q8" s="5">
        <v>-168.15</v>
      </c>
      <c r="R8">
        <v>5034.4827586206893</v>
      </c>
      <c r="S8">
        <v>-140</v>
      </c>
      <c r="T8" s="9">
        <f>1.77*$T$17</f>
        <v>10248.299999999999</v>
      </c>
      <c r="X8">
        <v>-168.15</v>
      </c>
      <c r="Y8">
        <v>7239</v>
      </c>
      <c r="Z8">
        <v>-168.15</v>
      </c>
      <c r="AA8">
        <v>8963</v>
      </c>
      <c r="AE8">
        <v>-168.15</v>
      </c>
      <c r="AF8">
        <v>10043</v>
      </c>
      <c r="AG8">
        <v>-168.15</v>
      </c>
      <c r="AH8">
        <v>11187</v>
      </c>
      <c r="AN8">
        <v>5.6</v>
      </c>
      <c r="AO8" s="55">
        <f t="shared" si="0"/>
        <v>98152.536326274014</v>
      </c>
      <c r="AP8">
        <f t="shared" si="1"/>
        <v>5.6</v>
      </c>
    </row>
    <row r="9" spans="1:42" x14ac:dyDescent="0.2">
      <c r="A9" t="s">
        <v>30</v>
      </c>
      <c r="B9" t="s">
        <v>31</v>
      </c>
      <c r="C9" s="34">
        <v>170</v>
      </c>
      <c r="D9" t="s">
        <v>32</v>
      </c>
      <c r="E9">
        <v>2</v>
      </c>
      <c r="F9" t="s">
        <v>9</v>
      </c>
      <c r="J9">
        <v>-225.56888888888889</v>
      </c>
      <c r="K9">
        <v>3545.8311255172421</v>
      </c>
      <c r="L9">
        <v>-101.24736</v>
      </c>
      <c r="M9">
        <v>3438.82656</v>
      </c>
      <c r="Q9" s="5">
        <v>-153.15</v>
      </c>
      <c r="R9">
        <v>4850.5747126436781</v>
      </c>
      <c r="S9">
        <v>-120</v>
      </c>
      <c r="T9" s="9">
        <f>1.67*$T$17</f>
        <v>9669.2999999999993</v>
      </c>
      <c r="U9" s="20"/>
      <c r="X9">
        <v>-153.15</v>
      </c>
      <c r="Y9">
        <v>7239</v>
      </c>
      <c r="Z9">
        <v>-153.15</v>
      </c>
      <c r="AA9">
        <v>8963</v>
      </c>
      <c r="AE9">
        <v>-153.15</v>
      </c>
      <c r="AF9">
        <v>10043</v>
      </c>
      <c r="AG9">
        <v>-153.15</v>
      </c>
      <c r="AH9">
        <v>11187</v>
      </c>
      <c r="AN9">
        <v>5.7</v>
      </c>
      <c r="AO9" s="55">
        <f t="shared" si="0"/>
        <v>101682.47800293488</v>
      </c>
      <c r="AP9">
        <f t="shared" si="1"/>
        <v>5.7</v>
      </c>
    </row>
    <row r="10" spans="1:42" x14ac:dyDescent="0.2">
      <c r="A10" t="s">
        <v>33</v>
      </c>
      <c r="B10" s="21" t="s">
        <v>34</v>
      </c>
      <c r="C10" s="34" t="s">
        <v>3</v>
      </c>
      <c r="D10" s="20" t="s">
        <v>35</v>
      </c>
      <c r="E10">
        <v>3</v>
      </c>
      <c r="F10" t="s">
        <v>12</v>
      </c>
      <c r="J10">
        <v>-222.27444444444441</v>
      </c>
      <c r="K10">
        <v>3512.4471117241378</v>
      </c>
      <c r="L10">
        <v>-80.224567199999996</v>
      </c>
      <c r="M10">
        <v>3373.9330949999999</v>
      </c>
      <c r="Q10" s="5">
        <v>-133.15</v>
      </c>
      <c r="R10">
        <v>4605.363984674329</v>
      </c>
      <c r="S10">
        <v>-100</v>
      </c>
      <c r="T10" s="9">
        <f>1.58*$T$17</f>
        <v>9148.2000000000007</v>
      </c>
      <c r="X10">
        <v>-133.15</v>
      </c>
      <c r="Y10">
        <v>7239</v>
      </c>
      <c r="Z10">
        <v>-133.15</v>
      </c>
      <c r="AA10">
        <v>8963</v>
      </c>
      <c r="AE10">
        <v>-133.15</v>
      </c>
      <c r="AF10">
        <v>10043</v>
      </c>
      <c r="AG10">
        <v>-133.15</v>
      </c>
      <c r="AH10">
        <v>11187</v>
      </c>
      <c r="AN10">
        <v>5.8</v>
      </c>
      <c r="AO10" s="55">
        <f t="shared" si="0"/>
        <v>105274.5352495425</v>
      </c>
      <c r="AP10">
        <f t="shared" si="1"/>
        <v>5.8</v>
      </c>
    </row>
    <row r="11" spans="1:42" x14ac:dyDescent="0.2">
      <c r="E11">
        <v>4</v>
      </c>
      <c r="F11" t="s">
        <v>14</v>
      </c>
      <c r="J11">
        <v>-218.9805555555555</v>
      </c>
      <c r="K11">
        <v>3487.4231282758619</v>
      </c>
      <c r="L11">
        <v>-56.399050199999976</v>
      </c>
      <c r="M11">
        <v>3327.5806200000002</v>
      </c>
      <c r="Q11" s="5">
        <v>-113.15</v>
      </c>
      <c r="R11">
        <v>4360.1532567049808</v>
      </c>
      <c r="S11">
        <v>-80</v>
      </c>
      <c r="T11" s="9">
        <f>1.48*$T$17</f>
        <v>8569.2000000000007</v>
      </c>
      <c r="X11">
        <v>-113.15</v>
      </c>
      <c r="Y11">
        <v>7239</v>
      </c>
      <c r="Z11">
        <v>-113.15</v>
      </c>
      <c r="AA11">
        <v>8963</v>
      </c>
      <c r="AE11">
        <v>-113.15</v>
      </c>
      <c r="AF11">
        <v>10043</v>
      </c>
      <c r="AG11">
        <v>-113.15</v>
      </c>
      <c r="AH11">
        <v>11187</v>
      </c>
      <c r="AN11">
        <v>5.9</v>
      </c>
      <c r="AO11" s="55">
        <f t="shared" si="0"/>
        <v>108928.69549972629</v>
      </c>
      <c r="AP11">
        <f t="shared" si="1"/>
        <v>5.9</v>
      </c>
    </row>
    <row r="12" spans="1:42" ht="13.5" customHeight="1" thickBot="1" x14ac:dyDescent="0.25">
      <c r="A12" s="23" t="s">
        <v>36</v>
      </c>
      <c r="B12" s="23"/>
      <c r="J12">
        <v>-214.0394444444444</v>
      </c>
      <c r="K12">
        <v>3445.707137931035</v>
      </c>
      <c r="L12">
        <v>-25.565805959999981</v>
      </c>
      <c r="M12">
        <v>3244.1771699999999</v>
      </c>
      <c r="Q12" s="5">
        <v>-93.15</v>
      </c>
      <c r="R12">
        <v>4114.9425287356316</v>
      </c>
      <c r="S12">
        <v>-60</v>
      </c>
      <c r="T12" s="9">
        <f>1.39*$T$17</f>
        <v>8048.0999999999995</v>
      </c>
      <c r="X12">
        <v>-93.15</v>
      </c>
      <c r="Y12">
        <v>7239</v>
      </c>
      <c r="Z12">
        <v>-93.15</v>
      </c>
      <c r="AA12">
        <v>8963</v>
      </c>
      <c r="AE12">
        <v>-93.15</v>
      </c>
      <c r="AF12">
        <v>10043</v>
      </c>
      <c r="AG12">
        <v>-93.15</v>
      </c>
      <c r="AH12">
        <v>11187</v>
      </c>
      <c r="AN12">
        <v>6</v>
      </c>
      <c r="AO12" s="55">
        <f t="shared" si="0"/>
        <v>112644.94618711561</v>
      </c>
      <c r="AP12">
        <f t="shared" si="1"/>
        <v>6</v>
      </c>
    </row>
    <row r="13" spans="1:42" ht="15.95" customHeight="1" thickTop="1" x14ac:dyDescent="0.2">
      <c r="A13" t="s">
        <v>37</v>
      </c>
      <c r="B13" t="s">
        <v>38</v>
      </c>
      <c r="C13" s="36">
        <v>1000</v>
      </c>
      <c r="D13" t="s">
        <v>39</v>
      </c>
      <c r="J13">
        <v>-210.745</v>
      </c>
      <c r="K13">
        <v>3403.9911475862068</v>
      </c>
      <c r="L13">
        <v>8.0705513999999994</v>
      </c>
      <c r="M13">
        <v>3142.2017249999999</v>
      </c>
      <c r="Q13" s="5">
        <v>-78.150000000000006</v>
      </c>
      <c r="R13">
        <v>3931.03448275862</v>
      </c>
      <c r="S13">
        <v>-40</v>
      </c>
      <c r="T13" s="9">
        <f>1.29*$T$17</f>
        <v>7469.1</v>
      </c>
      <c r="X13">
        <v>-78.150000000000006</v>
      </c>
      <c r="Y13">
        <v>7239</v>
      </c>
      <c r="Z13">
        <v>-78.150000000000006</v>
      </c>
      <c r="AA13">
        <v>8963</v>
      </c>
      <c r="AE13">
        <v>-78.150000000000006</v>
      </c>
      <c r="AF13">
        <v>10043</v>
      </c>
      <c r="AG13">
        <v>-78.150000000000006</v>
      </c>
      <c r="AH13">
        <v>11187</v>
      </c>
      <c r="AN13">
        <v>6.1</v>
      </c>
      <c r="AO13" s="55">
        <f t="shared" si="0"/>
        <v>116423.27474533988</v>
      </c>
      <c r="AP13">
        <f t="shared" si="1"/>
        <v>6.1</v>
      </c>
    </row>
    <row r="14" spans="1:42" ht="15.6" customHeight="1" x14ac:dyDescent="0.2">
      <c r="A14" t="s">
        <v>40</v>
      </c>
      <c r="B14" t="s">
        <v>38</v>
      </c>
      <c r="C14" s="37"/>
      <c r="D14" t="s">
        <v>39</v>
      </c>
      <c r="J14">
        <v>-205.80388888888891</v>
      </c>
      <c r="K14">
        <v>3370.6351875862069</v>
      </c>
      <c r="L14">
        <v>57.123642000000018</v>
      </c>
      <c r="M14">
        <v>2975.3669205000001</v>
      </c>
      <c r="Q14" s="5">
        <v>-40.15</v>
      </c>
      <c r="R14">
        <v>3103.4482758620688</v>
      </c>
      <c r="S14">
        <v>-20</v>
      </c>
      <c r="T14" s="9">
        <f>1.2*$T$17</f>
        <v>6948</v>
      </c>
      <c r="X14">
        <v>-40.15</v>
      </c>
      <c r="Y14">
        <v>7239</v>
      </c>
      <c r="Z14">
        <v>-40.15</v>
      </c>
      <c r="AA14">
        <v>8963</v>
      </c>
      <c r="AE14">
        <v>-40.15</v>
      </c>
      <c r="AF14">
        <v>10043</v>
      </c>
      <c r="AG14">
        <v>-40.15</v>
      </c>
      <c r="AH14">
        <v>11187</v>
      </c>
      <c r="AN14">
        <v>6.2</v>
      </c>
      <c r="AO14" s="55">
        <f t="shared" si="0"/>
        <v>120263.6686080285</v>
      </c>
      <c r="AP14">
        <f t="shared" si="1"/>
        <v>6.2</v>
      </c>
    </row>
    <row r="15" spans="1:42" ht="15.95" customHeight="1" thickBot="1" x14ac:dyDescent="0.25">
      <c r="A15" t="s">
        <v>41</v>
      </c>
      <c r="B15" t="s">
        <v>42</v>
      </c>
      <c r="C15" s="38">
        <v>3000000</v>
      </c>
      <c r="D15" t="s">
        <v>43</v>
      </c>
      <c r="J15">
        <v>-200.86277777777781</v>
      </c>
      <c r="K15">
        <v>3345.611204137932</v>
      </c>
      <c r="L15">
        <v>101.97167399999999</v>
      </c>
      <c r="M15">
        <v>2780.717530500001</v>
      </c>
      <c r="Q15" s="5">
        <v>-0.14999999999997729</v>
      </c>
      <c r="R15">
        <v>2758.620689655173</v>
      </c>
      <c r="S15">
        <v>-10</v>
      </c>
      <c r="T15" s="9">
        <f>1.15*$T$17</f>
        <v>6658.4999999999991</v>
      </c>
      <c r="X15">
        <v>-0.14999999999997729</v>
      </c>
      <c r="Y15">
        <v>7239</v>
      </c>
      <c r="Z15">
        <v>-0.14999999999997729</v>
      </c>
      <c r="AA15">
        <v>8963</v>
      </c>
      <c r="AE15">
        <v>-0.14999999999997729</v>
      </c>
      <c r="AF15">
        <v>10043</v>
      </c>
      <c r="AG15">
        <v>-0.14999999999997729</v>
      </c>
      <c r="AH15">
        <v>11187</v>
      </c>
      <c r="AN15">
        <v>6.3</v>
      </c>
      <c r="AO15" s="55">
        <f t="shared" si="0"/>
        <v>124166.11520881076</v>
      </c>
      <c r="AP15">
        <f t="shared" si="1"/>
        <v>6.3</v>
      </c>
    </row>
    <row r="16" spans="1:42" ht="12.95" customHeight="1" thickTop="1" x14ac:dyDescent="0.2">
      <c r="J16">
        <v>-195.9216666666666</v>
      </c>
      <c r="K16">
        <v>3312.2271903448268</v>
      </c>
      <c r="L16">
        <v>130.0022496</v>
      </c>
      <c r="M16">
        <v>2613.8734245000001</v>
      </c>
      <c r="Q16" s="6">
        <v>0</v>
      </c>
      <c r="R16" s="7">
        <v>2758</v>
      </c>
      <c r="S16" s="7">
        <v>0</v>
      </c>
      <c r="T16" s="11">
        <f>1.1*$T$17</f>
        <v>6369.0000000000009</v>
      </c>
      <c r="X16">
        <v>0</v>
      </c>
      <c r="Y16">
        <v>7239</v>
      </c>
      <c r="Z16">
        <v>0</v>
      </c>
      <c r="AA16">
        <v>8963</v>
      </c>
      <c r="AE16">
        <v>0</v>
      </c>
      <c r="AF16">
        <v>10043</v>
      </c>
      <c r="AG16">
        <v>0</v>
      </c>
      <c r="AH16">
        <v>11187</v>
      </c>
      <c r="AN16">
        <v>6.4</v>
      </c>
      <c r="AO16" s="55">
        <f t="shared" si="0"/>
        <v>128130.60198131618</v>
      </c>
      <c r="AP16">
        <f t="shared" si="1"/>
        <v>6.4</v>
      </c>
    </row>
    <row r="17" spans="1:42" ht="12.95" customHeight="1" x14ac:dyDescent="0.2">
      <c r="A17" s="23" t="s">
        <v>44</v>
      </c>
      <c r="B17" s="23"/>
      <c r="J17">
        <v>-190.9805555555555</v>
      </c>
      <c r="K17">
        <v>3278.8431765517239</v>
      </c>
      <c r="L17">
        <v>144.01725959999999</v>
      </c>
      <c r="M17">
        <v>2382.1482554999998</v>
      </c>
      <c r="Q17" s="2">
        <v>27</v>
      </c>
      <c r="R17" s="3">
        <v>2900</v>
      </c>
      <c r="S17" s="3">
        <v>27</v>
      </c>
      <c r="T17" s="4">
        <v>5790</v>
      </c>
      <c r="X17">
        <v>427</v>
      </c>
      <c r="Y17">
        <v>7239</v>
      </c>
      <c r="Z17">
        <v>427</v>
      </c>
      <c r="AA17">
        <v>8963</v>
      </c>
      <c r="AE17">
        <v>427</v>
      </c>
      <c r="AF17">
        <v>10043</v>
      </c>
      <c r="AG17">
        <v>427</v>
      </c>
      <c r="AH17">
        <v>11187</v>
      </c>
      <c r="AN17">
        <v>6.4999999999999902</v>
      </c>
      <c r="AO17" s="55">
        <f t="shared" si="0"/>
        <v>132157.11635917364</v>
      </c>
      <c r="AP17">
        <f t="shared" si="1"/>
        <v>6.4999999999999902</v>
      </c>
    </row>
    <row r="18" spans="1:42" x14ac:dyDescent="0.2">
      <c r="A18" t="s">
        <v>45</v>
      </c>
      <c r="B18" t="s">
        <v>38</v>
      </c>
      <c r="C18" s="8">
        <f>IF(C13=0,(C15-4/3*PI()*C14^3)/(PI()*C14^2)+2*C14,C13)</f>
        <v>1000</v>
      </c>
      <c r="J18">
        <v>-186.0394444444444</v>
      </c>
      <c r="K18">
        <v>3245.487216551724</v>
      </c>
      <c r="L18">
        <v>172.04783520000001</v>
      </c>
      <c r="M18">
        <v>1872.3485430000001</v>
      </c>
      <c r="Q18" s="5">
        <v>149</v>
      </c>
      <c r="R18">
        <v>2010</v>
      </c>
      <c r="S18">
        <v>149</v>
      </c>
      <c r="T18" s="9">
        <v>5170</v>
      </c>
      <c r="U18" s="20" t="s">
        <v>46</v>
      </c>
      <c r="X18">
        <v>538</v>
      </c>
      <c r="Y18">
        <v>7239</v>
      </c>
      <c r="Z18">
        <v>538</v>
      </c>
      <c r="AA18">
        <v>8963</v>
      </c>
      <c r="AE18">
        <v>538</v>
      </c>
      <c r="AF18">
        <v>10043</v>
      </c>
      <c r="AG18">
        <v>538</v>
      </c>
      <c r="AH18">
        <v>11187</v>
      </c>
      <c r="AN18">
        <v>6.5999999999999899</v>
      </c>
      <c r="AO18" s="55">
        <f t="shared" si="0"/>
        <v>136245.64577601335</v>
      </c>
      <c r="AP18">
        <f t="shared" si="1"/>
        <v>6.5999999999999899</v>
      </c>
    </row>
    <row r="19" spans="1:42" x14ac:dyDescent="0.2">
      <c r="A19" t="s">
        <v>47</v>
      </c>
      <c r="B19" t="s">
        <v>38</v>
      </c>
      <c r="C19" s="8">
        <f>IF(C14=0,VLOOKUP(C15,AO:AP,2),C14)</f>
        <v>31.1999999999999</v>
      </c>
      <c r="J19">
        <v>-181.09777777777779</v>
      </c>
      <c r="K19">
        <v>3220.4632331034491</v>
      </c>
      <c r="L19">
        <v>214.09286520000009</v>
      </c>
      <c r="M19">
        <v>1065.9425985</v>
      </c>
      <c r="Q19" s="5">
        <v>260</v>
      </c>
      <c r="R19">
        <v>1720</v>
      </c>
      <c r="S19">
        <v>260</v>
      </c>
      <c r="T19" s="9">
        <v>5030</v>
      </c>
      <c r="X19">
        <v>649</v>
      </c>
      <c r="Y19">
        <v>7239</v>
      </c>
      <c r="Z19">
        <v>649</v>
      </c>
      <c r="AA19">
        <v>8963</v>
      </c>
      <c r="AE19">
        <v>649</v>
      </c>
      <c r="AF19">
        <v>10043</v>
      </c>
      <c r="AG19">
        <v>649</v>
      </c>
      <c r="AH19">
        <v>11187</v>
      </c>
      <c r="AN19">
        <v>6.6999999999999904</v>
      </c>
      <c r="AO19" s="55">
        <f t="shared" si="0"/>
        <v>140396.17766546432</v>
      </c>
      <c r="AP19">
        <f t="shared" si="1"/>
        <v>6.6999999999999904</v>
      </c>
    </row>
    <row r="20" spans="1:42" x14ac:dyDescent="0.2">
      <c r="A20" t="s">
        <v>48</v>
      </c>
      <c r="B20" t="s">
        <v>42</v>
      </c>
      <c r="C20" s="19">
        <f>(4/3*PI()*C19^3+PI()*C19^2*(C18-2*C19))</f>
        <v>2994542.3920940524</v>
      </c>
      <c r="D20" t="s">
        <v>49</v>
      </c>
      <c r="J20">
        <v>-174.51</v>
      </c>
      <c r="K20">
        <v>3187.0792193103439</v>
      </c>
      <c r="L20">
        <v>228.10843080000001</v>
      </c>
      <c r="M20">
        <v>834.21432900000002</v>
      </c>
      <c r="Q20" s="5">
        <v>371</v>
      </c>
      <c r="R20">
        <v>1590</v>
      </c>
      <c r="S20">
        <v>371</v>
      </c>
      <c r="T20" s="9">
        <v>5000</v>
      </c>
      <c r="X20">
        <v>650</v>
      </c>
      <c r="Y20">
        <v>7239</v>
      </c>
      <c r="Z20">
        <v>650</v>
      </c>
      <c r="AA20">
        <v>8963</v>
      </c>
      <c r="AE20">
        <v>650</v>
      </c>
      <c r="AF20">
        <v>10043</v>
      </c>
      <c r="AG20">
        <v>650</v>
      </c>
      <c r="AH20">
        <v>11187</v>
      </c>
      <c r="AN20">
        <v>6.7999999999999901</v>
      </c>
      <c r="AO20" s="55">
        <f t="shared" si="0"/>
        <v>144608.69946115589</v>
      </c>
      <c r="AP20">
        <f t="shared" si="1"/>
        <v>6.7999999999999901</v>
      </c>
    </row>
    <row r="21" spans="1:42" ht="15.6" customHeight="1" x14ac:dyDescent="0.2">
      <c r="A21" t="s">
        <v>50</v>
      </c>
      <c r="B21" t="s">
        <v>51</v>
      </c>
      <c r="C21" s="10">
        <f>C20/C15</f>
        <v>0.99818079736468412</v>
      </c>
      <c r="D21" s="20" t="s">
        <v>52</v>
      </c>
      <c r="J21">
        <v>-169.56888888888889</v>
      </c>
      <c r="K21">
        <v>3162.0552358620689</v>
      </c>
      <c r="L21">
        <v>246.32766599999999</v>
      </c>
      <c r="M21">
        <v>621.0270495000002</v>
      </c>
      <c r="Q21" s="5">
        <v>482</v>
      </c>
      <c r="R21">
        <v>1480</v>
      </c>
      <c r="S21">
        <v>482</v>
      </c>
      <c r="T21" s="9">
        <v>4840</v>
      </c>
      <c r="X21">
        <v>1000</v>
      </c>
      <c r="Y21">
        <v>7239</v>
      </c>
      <c r="Z21">
        <v>1000</v>
      </c>
      <c r="AA21">
        <v>8963</v>
      </c>
      <c r="AE21">
        <v>1000</v>
      </c>
      <c r="AF21">
        <v>10043</v>
      </c>
      <c r="AG21">
        <v>1000</v>
      </c>
      <c r="AH21">
        <v>11187</v>
      </c>
      <c r="AN21">
        <v>6.8999999999999897</v>
      </c>
      <c r="AO21" s="55">
        <f t="shared" si="0"/>
        <v>148883.19859671753</v>
      </c>
      <c r="AP21">
        <f t="shared" si="1"/>
        <v>6.8999999999999897</v>
      </c>
    </row>
    <row r="22" spans="1:42" x14ac:dyDescent="0.2">
      <c r="C22" s="10"/>
      <c r="D22" s="20"/>
      <c r="J22">
        <v>-162.9805555555555</v>
      </c>
      <c r="K22">
        <v>3137.031252413793</v>
      </c>
      <c r="L22">
        <v>267.35045880000013</v>
      </c>
      <c r="M22">
        <v>426.37765949999999</v>
      </c>
      <c r="Q22" s="5">
        <v>593</v>
      </c>
      <c r="R22">
        <v>1400</v>
      </c>
      <c r="S22">
        <v>593</v>
      </c>
      <c r="T22" s="9">
        <v>4520</v>
      </c>
      <c r="AN22">
        <v>6.9999999999999902</v>
      </c>
      <c r="AO22" s="55">
        <f t="shared" si="0"/>
        <v>153219.66250577857</v>
      </c>
      <c r="AP22">
        <f t="shared" si="1"/>
        <v>6.9999999999999902</v>
      </c>
    </row>
    <row r="23" spans="1:42" ht="12.95" customHeight="1" x14ac:dyDescent="0.2">
      <c r="A23" s="23" t="s">
        <v>53</v>
      </c>
      <c r="C23" s="10"/>
      <c r="D23" s="20"/>
      <c r="J23">
        <v>-156.39222222222219</v>
      </c>
      <c r="K23">
        <v>3111.9792151724141</v>
      </c>
      <c r="L23">
        <v>305.19126360000013</v>
      </c>
      <c r="M23">
        <v>268.80280829999998</v>
      </c>
      <c r="Q23" s="5">
        <v>704</v>
      </c>
      <c r="R23">
        <v>1310</v>
      </c>
      <c r="S23">
        <v>704</v>
      </c>
      <c r="T23" s="9">
        <v>3450</v>
      </c>
      <c r="AN23">
        <v>7.0999999999999899</v>
      </c>
      <c r="AO23" s="55">
        <f t="shared" si="0"/>
        <v>157618.07862196839</v>
      </c>
      <c r="AP23">
        <f t="shared" si="1"/>
        <v>7.0999999999999899</v>
      </c>
    </row>
    <row r="24" spans="1:42" x14ac:dyDescent="0.2">
      <c r="A24" t="s">
        <v>3</v>
      </c>
      <c r="B24" t="s">
        <v>31</v>
      </c>
      <c r="C24" s="19">
        <f>VLOOKUP($C$8,J:K,2)</f>
        <v>2953.4752841379309</v>
      </c>
      <c r="D24" s="20"/>
      <c r="J24">
        <v>-148.15666666666661</v>
      </c>
      <c r="K24">
        <v>3086.9552317241378</v>
      </c>
      <c r="L24">
        <v>343.03206840000001</v>
      </c>
      <c r="M24">
        <v>203.9192649</v>
      </c>
      <c r="Q24" s="5">
        <v>816</v>
      </c>
      <c r="R24">
        <v>1100</v>
      </c>
      <c r="S24">
        <v>816</v>
      </c>
      <c r="T24" s="9">
        <v>1860</v>
      </c>
      <c r="AN24">
        <v>7.1999999999999904</v>
      </c>
      <c r="AO24" s="55">
        <f t="shared" si="0"/>
        <v>162078.4343789164</v>
      </c>
      <c r="AP24">
        <f t="shared" si="1"/>
        <v>7.1999999999999904</v>
      </c>
    </row>
    <row r="25" spans="1:42" x14ac:dyDescent="0.2">
      <c r="A25" t="s">
        <v>9</v>
      </c>
      <c r="B25" t="s">
        <v>31</v>
      </c>
      <c r="C25" s="19">
        <f>VLOOKUP($C$8,Q:R,2)</f>
        <v>3931.03448275862</v>
      </c>
      <c r="D25" s="20"/>
      <c r="J25">
        <v>-139.9216666666666</v>
      </c>
      <c r="K25">
        <v>3061.9312482758619</v>
      </c>
      <c r="L25" s="32">
        <v>350</v>
      </c>
      <c r="M25" s="32">
        <v>10000</v>
      </c>
      <c r="Q25" s="6">
        <v>927</v>
      </c>
      <c r="R25" s="7">
        <v>1</v>
      </c>
      <c r="S25" s="7">
        <v>927</v>
      </c>
      <c r="T25" s="11">
        <v>800</v>
      </c>
      <c r="AN25">
        <v>7.2999999999999901</v>
      </c>
      <c r="AO25" s="55">
        <f t="shared" si="0"/>
        <v>166600.71721025193</v>
      </c>
      <c r="AP25">
        <f t="shared" si="1"/>
        <v>7.2999999999999901</v>
      </c>
    </row>
    <row r="26" spans="1:42" x14ac:dyDescent="0.2">
      <c r="A26" t="s">
        <v>12</v>
      </c>
      <c r="B26" t="s">
        <v>31</v>
      </c>
      <c r="C26" s="19">
        <f>VLOOKUP($C$8,X:Y,2)</f>
        <v>7239</v>
      </c>
      <c r="D26" s="20"/>
      <c r="J26">
        <v>-128.39222222222219</v>
      </c>
      <c r="K26">
        <v>3036.907264827586</v>
      </c>
      <c r="L26" s="32">
        <v>1000</v>
      </c>
      <c r="M26" s="32">
        <v>10000</v>
      </c>
      <c r="AN26">
        <v>7.3999999999999897</v>
      </c>
      <c r="AO26" s="55">
        <f t="shared" si="0"/>
        <v>171184.91454960441</v>
      </c>
      <c r="AP26">
        <f t="shared" si="1"/>
        <v>7.3999999999999897</v>
      </c>
    </row>
    <row r="27" spans="1:42" x14ac:dyDescent="0.2">
      <c r="A27" t="s">
        <v>14</v>
      </c>
      <c r="B27" t="s">
        <v>31</v>
      </c>
      <c r="C27" s="19">
        <f>VLOOKUP($C$8,AE:AF,2)</f>
        <v>10043</v>
      </c>
      <c r="D27" s="20"/>
      <c r="J27">
        <v>-116.86277777777779</v>
      </c>
      <c r="K27">
        <v>3020.215257931035</v>
      </c>
      <c r="AN27">
        <v>7.4999999999999902</v>
      </c>
      <c r="AO27" s="55">
        <f t="shared" si="0"/>
        <v>175831.01383060327</v>
      </c>
      <c r="AP27">
        <f t="shared" si="1"/>
        <v>7.4999999999999902</v>
      </c>
    </row>
    <row r="28" spans="1:42" x14ac:dyDescent="0.2">
      <c r="C28" s="19"/>
      <c r="D28" s="20"/>
      <c r="J28">
        <v>-106.9805555555555</v>
      </c>
      <c r="K28">
        <v>3003.5232510344831</v>
      </c>
      <c r="AN28">
        <v>7.5999999999999899</v>
      </c>
      <c r="AO28" s="55">
        <f t="shared" si="0"/>
        <v>180539.00248687781</v>
      </c>
      <c r="AP28">
        <f t="shared" si="1"/>
        <v>7.5999999999999899</v>
      </c>
    </row>
    <row r="29" spans="1:42" ht="12.95" customHeight="1" x14ac:dyDescent="0.2">
      <c r="A29" s="23" t="s">
        <v>54</v>
      </c>
      <c r="C29" s="19"/>
      <c r="D29" s="20"/>
      <c r="J29">
        <v>-95.451111111111089</v>
      </c>
      <c r="K29">
        <v>2995.1912744827591</v>
      </c>
      <c r="AN29">
        <v>7.6999999999999904</v>
      </c>
      <c r="AO29" s="55">
        <f t="shared" si="0"/>
        <v>185308.86795205748</v>
      </c>
      <c r="AP29">
        <f t="shared" si="1"/>
        <v>7.6999999999999904</v>
      </c>
    </row>
    <row r="30" spans="1:42" x14ac:dyDescent="0.2">
      <c r="A30" t="s">
        <v>3</v>
      </c>
      <c r="B30" t="s">
        <v>31</v>
      </c>
      <c r="C30" s="19">
        <f>VLOOKUP($C$8,L:M,2)</f>
        <v>3327.5806200000002</v>
      </c>
      <c r="D30" s="20"/>
      <c r="J30">
        <v>-85.568888888888864</v>
      </c>
      <c r="K30">
        <v>2986.8312441379321</v>
      </c>
      <c r="AN30">
        <v>7.7999999999999901</v>
      </c>
      <c r="AO30" s="55">
        <f t="shared" si="0"/>
        <v>190140.59765977162</v>
      </c>
      <c r="AP30">
        <f t="shared" si="1"/>
        <v>7.7999999999999901</v>
      </c>
    </row>
    <row r="31" spans="1:42" x14ac:dyDescent="0.2">
      <c r="A31" t="s">
        <v>9</v>
      </c>
      <c r="B31" t="s">
        <v>31</v>
      </c>
      <c r="C31" s="19">
        <f>VLOOKUP($C$8,S:T,2)</f>
        <v>8048.0999999999995</v>
      </c>
      <c r="D31" s="20"/>
      <c r="J31">
        <v>-75.686111111111103</v>
      </c>
      <c r="K31">
        <v>2970.1672910344828</v>
      </c>
      <c r="AN31">
        <v>7.8999999999999897</v>
      </c>
      <c r="AO31" s="55">
        <f t="shared" si="0"/>
        <v>195034.17904364967</v>
      </c>
      <c r="AP31">
        <f t="shared" si="1"/>
        <v>7.8999999999999897</v>
      </c>
    </row>
    <row r="32" spans="1:42" x14ac:dyDescent="0.2">
      <c r="A32" t="s">
        <v>12</v>
      </c>
      <c r="B32" t="s">
        <v>31</v>
      </c>
      <c r="C32" s="19">
        <f>VLOOKUP($C$8,Z:AA,2)</f>
        <v>8963</v>
      </c>
      <c r="D32" s="20"/>
      <c r="J32">
        <v>-65.803944444444426</v>
      </c>
      <c r="K32">
        <v>2970.1672910344828</v>
      </c>
      <c r="AN32">
        <v>7.9999999999999902</v>
      </c>
      <c r="AO32" s="55">
        <f t="shared" si="0"/>
        <v>199989.59953732096</v>
      </c>
      <c r="AP32">
        <f t="shared" si="1"/>
        <v>7.9999999999999902</v>
      </c>
    </row>
    <row r="33" spans="1:42" x14ac:dyDescent="0.2">
      <c r="A33" t="s">
        <v>14</v>
      </c>
      <c r="B33" t="s">
        <v>31</v>
      </c>
      <c r="C33" s="19">
        <f>VLOOKUP($C$8,AG:AH,2)</f>
        <v>11187</v>
      </c>
      <c r="D33" s="20"/>
      <c r="J33">
        <v>-55.921555555555528</v>
      </c>
      <c r="K33">
        <v>2953.4752841379309</v>
      </c>
      <c r="AN33">
        <v>8.0999999999999908</v>
      </c>
      <c r="AO33" s="55">
        <f t="shared" si="0"/>
        <v>205006.84657441499</v>
      </c>
      <c r="AP33">
        <f t="shared" si="1"/>
        <v>8.0999999999999908</v>
      </c>
    </row>
    <row r="34" spans="1:42" x14ac:dyDescent="0.2">
      <c r="C34" s="19"/>
      <c r="D34" s="20"/>
      <c r="J34">
        <v>-46.039222222222207</v>
      </c>
      <c r="K34">
        <v>2945.115253793103</v>
      </c>
      <c r="AN34">
        <v>8.1999999999999904</v>
      </c>
      <c r="AO34" s="55">
        <f t="shared" si="0"/>
        <v>210085.90758856086</v>
      </c>
      <c r="AP34">
        <f t="shared" si="1"/>
        <v>8.1999999999999904</v>
      </c>
    </row>
    <row r="35" spans="1:42" ht="12.95" customHeight="1" x14ac:dyDescent="0.2">
      <c r="A35" s="23" t="s">
        <v>55</v>
      </c>
      <c r="C35" s="19"/>
      <c r="D35" s="20"/>
      <c r="J35">
        <v>-36.156888888888858</v>
      </c>
      <c r="K35">
        <v>2928.451300689655</v>
      </c>
      <c r="AN35">
        <v>8.2999999999999901</v>
      </c>
      <c r="AO35" s="55">
        <f t="shared" si="0"/>
        <v>215226.77001338822</v>
      </c>
      <c r="AP35">
        <f t="shared" si="1"/>
        <v>8.2999999999999901</v>
      </c>
    </row>
    <row r="36" spans="1:42" x14ac:dyDescent="0.2">
      <c r="A36" t="s">
        <v>3</v>
      </c>
      <c r="B36" t="s">
        <v>56</v>
      </c>
      <c r="C36" s="12">
        <f>N2</f>
        <v>2.663E-3</v>
      </c>
      <c r="D36" s="20"/>
      <c r="J36">
        <v>-29.568611111111071</v>
      </c>
      <c r="K36">
        <v>2911.759293793104</v>
      </c>
      <c r="AN36">
        <v>8.3999999999999897</v>
      </c>
      <c r="AO36" s="55">
        <f t="shared" si="0"/>
        <v>220429.42128252645</v>
      </c>
      <c r="AP36">
        <f t="shared" si="1"/>
        <v>8.3999999999999897</v>
      </c>
    </row>
    <row r="37" spans="1:42" x14ac:dyDescent="0.2">
      <c r="A37" t="s">
        <v>9</v>
      </c>
      <c r="B37" t="s">
        <v>56</v>
      </c>
      <c r="C37" s="12">
        <f>U2</f>
        <v>8.0269999999999994E-3</v>
      </c>
      <c r="D37" s="20"/>
      <c r="J37">
        <v>-19.686272222222211</v>
      </c>
      <c r="K37">
        <v>2895.0672868965521</v>
      </c>
      <c r="AN37">
        <v>8.4999999999999893</v>
      </c>
      <c r="AO37" s="55">
        <f t="shared" si="0"/>
        <v>225693.84882960477</v>
      </c>
      <c r="AP37">
        <f t="shared" si="1"/>
        <v>8.4999999999999893</v>
      </c>
    </row>
    <row r="38" spans="1:42" x14ac:dyDescent="0.2">
      <c r="A38" t="s">
        <v>12</v>
      </c>
      <c r="B38" t="s">
        <v>56</v>
      </c>
      <c r="C38" s="12">
        <f>AB2</f>
        <v>7.7000000000000002E-3</v>
      </c>
      <c r="D38" s="20"/>
      <c r="J38">
        <v>-9.8039444444444257</v>
      </c>
      <c r="K38">
        <v>2878.3752800000002</v>
      </c>
      <c r="AN38">
        <v>8.5999999999999908</v>
      </c>
      <c r="AO38" s="55">
        <f t="shared" si="0"/>
        <v>231020.0400882528</v>
      </c>
      <c r="AP38">
        <f t="shared" si="1"/>
        <v>8.5999999999999908</v>
      </c>
    </row>
    <row r="39" spans="1:42" x14ac:dyDescent="0.2">
      <c r="A39" t="s">
        <v>14</v>
      </c>
      <c r="B39" t="s">
        <v>56</v>
      </c>
      <c r="C39" s="12">
        <f>AI2</f>
        <v>7.8499999999999993E-3</v>
      </c>
      <c r="D39" s="20"/>
      <c r="J39">
        <v>7.8444444444471628E-2</v>
      </c>
      <c r="K39">
        <v>2861.6832731034478</v>
      </c>
      <c r="AN39">
        <v>8.6999999999999904</v>
      </c>
      <c r="AO39" s="55">
        <f t="shared" si="0"/>
        <v>236407.98249209969</v>
      </c>
      <c r="AP39">
        <f t="shared" si="1"/>
        <v>8.6999999999999904</v>
      </c>
    </row>
    <row r="40" spans="1:42" x14ac:dyDescent="0.2">
      <c r="C40" s="19"/>
      <c r="D40" s="20"/>
      <c r="J40">
        <v>6.6666666666666856</v>
      </c>
      <c r="K40">
        <v>2853.3512965517239</v>
      </c>
      <c r="AN40">
        <v>8.7999999999999901</v>
      </c>
      <c r="AO40" s="55">
        <f t="shared" si="0"/>
        <v>241857.66347477495</v>
      </c>
      <c r="AP40">
        <f t="shared" si="1"/>
        <v>8.7999999999999901</v>
      </c>
    </row>
    <row r="41" spans="1:42" ht="12.95" customHeight="1" x14ac:dyDescent="0.2">
      <c r="A41" s="23" t="s">
        <v>57</v>
      </c>
      <c r="C41" s="19"/>
      <c r="D41" s="20"/>
      <c r="J41">
        <v>13.25488888888896</v>
      </c>
      <c r="K41">
        <v>2836.659289655172</v>
      </c>
      <c r="AN41">
        <v>8.8999999999999897</v>
      </c>
      <c r="AO41" s="55">
        <f t="shared" si="0"/>
        <v>247369.07046990792</v>
      </c>
      <c r="AP41">
        <f t="shared" si="1"/>
        <v>8.8999999999999897</v>
      </c>
    </row>
    <row r="42" spans="1:42" x14ac:dyDescent="0.2">
      <c r="A42" t="s">
        <v>3</v>
      </c>
      <c r="B42" t="s">
        <v>58</v>
      </c>
      <c r="C42" s="41">
        <f>O2</f>
        <v>4.45</v>
      </c>
      <c r="D42" s="20"/>
      <c r="J42">
        <v>21.490222222222201</v>
      </c>
      <c r="K42">
        <v>2811.635306206897</v>
      </c>
      <c r="AN42">
        <v>8.9999999999999893</v>
      </c>
      <c r="AO42" s="55">
        <f t="shared" si="0"/>
        <v>252942.19091112798</v>
      </c>
      <c r="AP42">
        <f t="shared" si="1"/>
        <v>8.9999999999999893</v>
      </c>
    </row>
    <row r="43" spans="1:42" x14ac:dyDescent="0.2">
      <c r="A43" t="s">
        <v>9</v>
      </c>
      <c r="B43" t="s">
        <v>58</v>
      </c>
      <c r="C43" s="41">
        <f>V2</f>
        <v>4.92</v>
      </c>
      <c r="D43" t="s">
        <v>59</v>
      </c>
      <c r="J43">
        <v>26.431388888888929</v>
      </c>
      <c r="K43">
        <v>2803.2949135172421</v>
      </c>
      <c r="AN43">
        <v>9.0999999999999908</v>
      </c>
      <c r="AO43" s="55">
        <f t="shared" si="0"/>
        <v>258577.01223206474</v>
      </c>
      <c r="AP43">
        <f t="shared" si="1"/>
        <v>9.0999999999999908</v>
      </c>
    </row>
    <row r="44" spans="1:42" x14ac:dyDescent="0.2">
      <c r="A44" t="s">
        <v>12</v>
      </c>
      <c r="B44" t="s">
        <v>58</v>
      </c>
      <c r="C44" s="41">
        <f>AC2</f>
        <v>2.5499999999999998</v>
      </c>
      <c r="D44" t="s">
        <v>60</v>
      </c>
      <c r="J44">
        <v>33.019611111111203</v>
      </c>
      <c r="K44">
        <v>2778.2653193103451</v>
      </c>
      <c r="AN44">
        <v>9.1999999999999904</v>
      </c>
      <c r="AO44" s="55">
        <f t="shared" si="0"/>
        <v>264273.52186634723</v>
      </c>
      <c r="AP44">
        <f t="shared" si="1"/>
        <v>9.1999999999999904</v>
      </c>
    </row>
    <row r="45" spans="1:42" x14ac:dyDescent="0.2">
      <c r="A45" t="s">
        <v>14</v>
      </c>
      <c r="B45" t="s">
        <v>58</v>
      </c>
      <c r="C45" s="41">
        <f>AJ2</f>
        <v>3.01</v>
      </c>
      <c r="D45" t="s">
        <v>61</v>
      </c>
      <c r="J45">
        <v>39.607777777777812</v>
      </c>
      <c r="K45">
        <v>2761.5789231724139</v>
      </c>
      <c r="AN45">
        <v>9.2999999999999794</v>
      </c>
      <c r="AO45" s="55">
        <f t="shared" si="0"/>
        <v>270031.70724760432</v>
      </c>
      <c r="AP45">
        <f t="shared" si="1"/>
        <v>9.2999999999999794</v>
      </c>
    </row>
    <row r="46" spans="1:42" x14ac:dyDescent="0.2">
      <c r="C46" s="10"/>
      <c r="D46" s="20"/>
      <c r="J46">
        <v>47.843333333333362</v>
      </c>
      <c r="K46">
        <v>2736.5493289655169</v>
      </c>
      <c r="AN46">
        <v>9.3999999999999808</v>
      </c>
      <c r="AO46" s="55">
        <f t="shared" si="0"/>
        <v>275851.55580946687</v>
      </c>
      <c r="AP46">
        <f t="shared" si="1"/>
        <v>9.3999999999999808</v>
      </c>
    </row>
    <row r="47" spans="1:42" ht="12.95" customHeight="1" x14ac:dyDescent="0.2">
      <c r="A47" s="23" t="s">
        <v>62</v>
      </c>
      <c r="C47" s="10"/>
      <c r="D47" s="20"/>
      <c r="J47">
        <v>56.078333333333319</v>
      </c>
      <c r="K47">
        <v>2711.5197347586209</v>
      </c>
      <c r="AN47">
        <v>9.4999999999999805</v>
      </c>
      <c r="AO47" s="55">
        <f t="shared" si="0"/>
        <v>281733.05498556333</v>
      </c>
      <c r="AP47">
        <f t="shared" si="1"/>
        <v>9.4999999999999805</v>
      </c>
    </row>
    <row r="48" spans="1:42" x14ac:dyDescent="0.2">
      <c r="A48" s="20" t="s">
        <v>63</v>
      </c>
      <c r="C48" s="10" t="str">
        <f>C10</f>
        <v>6061_T6_Aluminum</v>
      </c>
      <c r="D48" s="20"/>
      <c r="J48">
        <v>62.666666666666742</v>
      </c>
      <c r="K48">
        <v>2694.83333862069</v>
      </c>
      <c r="AN48">
        <v>9.5999999999999801</v>
      </c>
      <c r="AO48" s="55">
        <f t="shared" si="0"/>
        <v>287676.19220952317</v>
      </c>
      <c r="AP48">
        <f t="shared" si="1"/>
        <v>9.5999999999999801</v>
      </c>
    </row>
    <row r="49" spans="1:42" x14ac:dyDescent="0.2">
      <c r="A49" s="20" t="s">
        <v>64</v>
      </c>
      <c r="B49" t="s">
        <v>31</v>
      </c>
      <c r="C49">
        <f>IF(C10="6061_T6_Aluminum",C24,IF(C10="316SS",C25,IF(C10="4130_cromoly",C26,C27)))</f>
        <v>2953.4752841379309</v>
      </c>
      <c r="D49" s="20"/>
      <c r="J49">
        <v>69.254999999999995</v>
      </c>
      <c r="K49">
        <v>2669.8037444137931</v>
      </c>
      <c r="AN49">
        <v>9.6999999999999797</v>
      </c>
      <c r="AO49" s="55">
        <f t="shared" si="0"/>
        <v>293680.95491497585</v>
      </c>
      <c r="AP49">
        <f t="shared" si="1"/>
        <v>9.6999999999999797</v>
      </c>
    </row>
    <row r="50" spans="1:42" x14ac:dyDescent="0.2">
      <c r="A50" s="20" t="s">
        <v>65</v>
      </c>
      <c r="B50" t="s">
        <v>31</v>
      </c>
      <c r="C50">
        <f>IF(C10="6061_T6_Aluminum",C30,IF(C10="316SS",C31,IF(C10="4130_cromoly",C32,C33)))</f>
        <v>3327.5806200000002</v>
      </c>
      <c r="D50" s="20"/>
      <c r="J50">
        <v>77.489999999999995</v>
      </c>
      <c r="K50">
        <v>2644.7741502068961</v>
      </c>
      <c r="AN50">
        <v>9.7999999999999794</v>
      </c>
      <c r="AO50" s="55">
        <f t="shared" si="0"/>
        <v>299747.33053555078</v>
      </c>
      <c r="AP50">
        <f t="shared" si="1"/>
        <v>9.7999999999999794</v>
      </c>
    </row>
    <row r="51" spans="1:42" x14ac:dyDescent="0.2">
      <c r="A51" s="20" t="s">
        <v>66</v>
      </c>
      <c r="B51" t="s">
        <v>56</v>
      </c>
      <c r="C51">
        <f>IF(C10="6061_T6_Aluminum",C36,IF(C10="316SS",C37,IF(C10="4130_cromoly",C38,C39)))</f>
        <v>2.663E-3</v>
      </c>
      <c r="D51" s="20"/>
      <c r="J51">
        <v>87.372777777777799</v>
      </c>
      <c r="K51">
        <v>2603.0581598620688</v>
      </c>
      <c r="AN51">
        <v>9.8999999999999808</v>
      </c>
      <c r="AO51" s="55">
        <f t="shared" si="0"/>
        <v>305875.30650487746</v>
      </c>
      <c r="AP51">
        <f t="shared" si="1"/>
        <v>9.8999999999999808</v>
      </c>
    </row>
    <row r="52" spans="1:42" x14ac:dyDescent="0.2">
      <c r="A52" s="20" t="s">
        <v>67</v>
      </c>
      <c r="B52" t="s">
        <v>58</v>
      </c>
      <c r="C52">
        <f>IF(C10="6061_T6_Aluminum",C42,IF(C10="316SS",C43,IF(C10="4130_cromoly",C44,C45)))</f>
        <v>4.45</v>
      </c>
      <c r="D52" s="20"/>
      <c r="J52">
        <v>95.607777777777812</v>
      </c>
      <c r="K52">
        <v>2569.6853675862071</v>
      </c>
      <c r="AN52">
        <v>9.9999999999999805</v>
      </c>
      <c r="AO52" s="55">
        <f t="shared" si="0"/>
        <v>312064.87025658484</v>
      </c>
      <c r="AP52">
        <f t="shared" si="1"/>
        <v>9.9999999999999805</v>
      </c>
    </row>
    <row r="53" spans="1:42" x14ac:dyDescent="0.2">
      <c r="J53">
        <v>103.84333333333331</v>
      </c>
      <c r="K53">
        <v>2544.6557733793102</v>
      </c>
      <c r="AN53">
        <v>10.1</v>
      </c>
      <c r="AO53" s="55">
        <f t="shared" si="0"/>
        <v>318316.00922430394</v>
      </c>
      <c r="AP53">
        <f t="shared" si="1"/>
        <v>10.1</v>
      </c>
    </row>
    <row r="54" spans="1:42" ht="12.95" customHeight="1" x14ac:dyDescent="0.2">
      <c r="A54" s="23" t="s">
        <v>68</v>
      </c>
      <c r="B54" s="23"/>
      <c r="J54">
        <v>112.0783333333334</v>
      </c>
      <c r="K54">
        <v>2511.282981103448</v>
      </c>
      <c r="AN54">
        <v>10.199999999999999</v>
      </c>
      <c r="AO54" s="55">
        <f t="shared" si="0"/>
        <v>324628.71084166161</v>
      </c>
      <c r="AP54">
        <f t="shared" si="1"/>
        <v>10.199999999999999</v>
      </c>
    </row>
    <row r="55" spans="1:42" x14ac:dyDescent="0.2">
      <c r="A55" s="20" t="s">
        <v>69</v>
      </c>
      <c r="B55" s="20" t="s">
        <v>31</v>
      </c>
      <c r="C55">
        <f>C49</f>
        <v>2953.4752841379309</v>
      </c>
      <c r="J55">
        <v>120.3138888888889</v>
      </c>
      <c r="K55">
        <v>2477.9101888275859</v>
      </c>
      <c r="AN55">
        <v>10.3</v>
      </c>
      <c r="AO55" s="55">
        <f t="shared" si="0"/>
        <v>331002.96254228841</v>
      </c>
      <c r="AP55">
        <f t="shared" si="1"/>
        <v>10.3</v>
      </c>
    </row>
    <row r="56" spans="1:42" x14ac:dyDescent="0.2">
      <c r="A56" s="20" t="s">
        <v>70</v>
      </c>
      <c r="B56" s="20" t="s">
        <v>31</v>
      </c>
      <c r="C56">
        <f>C50</f>
        <v>3327.5806200000002</v>
      </c>
      <c r="J56">
        <v>125.255</v>
      </c>
      <c r="K56">
        <v>2444.5373965517242</v>
      </c>
      <c r="AN56">
        <v>10.4</v>
      </c>
      <c r="AO56" s="55">
        <f t="shared" si="0"/>
        <v>337438.75175981363</v>
      </c>
      <c r="AP56">
        <f t="shared" si="1"/>
        <v>10.4</v>
      </c>
    </row>
    <row r="57" spans="1:42" x14ac:dyDescent="0.2">
      <c r="A57" s="20" t="s">
        <v>71</v>
      </c>
      <c r="B57" s="21" t="s">
        <v>34</v>
      </c>
      <c r="C57">
        <v>2.25</v>
      </c>
      <c r="D57" t="s">
        <v>72</v>
      </c>
      <c r="J57" s="32">
        <v>130</v>
      </c>
      <c r="K57" s="32">
        <v>10000</v>
      </c>
      <c r="AN57">
        <v>10.5</v>
      </c>
      <c r="AO57" s="55">
        <f t="shared" si="0"/>
        <v>343936.06592786679</v>
      </c>
      <c r="AP57">
        <f t="shared" si="1"/>
        <v>10.5</v>
      </c>
    </row>
    <row r="58" spans="1:42" x14ac:dyDescent="0.2">
      <c r="A58" t="s">
        <v>73</v>
      </c>
      <c r="B58" t="s">
        <v>38</v>
      </c>
      <c r="C58" s="26">
        <f>C9*C19/C55*1.5</f>
        <v>2.6937757166037009</v>
      </c>
      <c r="J58" s="32">
        <v>1000</v>
      </c>
      <c r="K58" s="32">
        <v>10000</v>
      </c>
      <c r="AN58">
        <v>10.6</v>
      </c>
      <c r="AO58" s="55">
        <f t="shared" si="0"/>
        <v>350494.89248007722</v>
      </c>
      <c r="AP58">
        <f t="shared" si="1"/>
        <v>10.6</v>
      </c>
    </row>
    <row r="59" spans="1:42" x14ac:dyDescent="0.2">
      <c r="A59" t="s">
        <v>74</v>
      </c>
      <c r="B59" t="s">
        <v>38</v>
      </c>
      <c r="C59" s="26">
        <f>C9*C19/C56*C57</f>
        <v>3.5863894411069026</v>
      </c>
      <c r="AN59">
        <v>10.7</v>
      </c>
      <c r="AO59" s="55">
        <f t="shared" si="0"/>
        <v>357115.21885007428</v>
      </c>
      <c r="AP59">
        <f t="shared" si="1"/>
        <v>10.7</v>
      </c>
    </row>
    <row r="60" spans="1:42" x14ac:dyDescent="0.2">
      <c r="A60" t="s">
        <v>75</v>
      </c>
      <c r="B60" s="13" t="s">
        <v>34</v>
      </c>
      <c r="C60" s="26" t="str">
        <f>IF(C59&lt;C58,"Proof","Burst")</f>
        <v>Burst</v>
      </c>
      <c r="AN60">
        <v>10.8</v>
      </c>
      <c r="AO60" s="55">
        <f t="shared" si="0"/>
        <v>363797.03247148759</v>
      </c>
      <c r="AP60">
        <f t="shared" si="1"/>
        <v>10.8</v>
      </c>
    </row>
    <row r="61" spans="1:42" x14ac:dyDescent="0.2">
      <c r="A61" t="s">
        <v>76</v>
      </c>
      <c r="B61" t="s">
        <v>38</v>
      </c>
      <c r="C61" s="45">
        <f>MAX(C58:C59)</f>
        <v>3.5863894411069026</v>
      </c>
      <c r="D61" t="s">
        <v>77</v>
      </c>
      <c r="AN61">
        <v>10.9</v>
      </c>
      <c r="AO61" s="55">
        <f t="shared" si="0"/>
        <v>370540.32077794621</v>
      </c>
      <c r="AP61">
        <f t="shared" si="1"/>
        <v>10.9</v>
      </c>
    </row>
    <row r="62" spans="1:42" x14ac:dyDescent="0.2">
      <c r="AN62">
        <v>11</v>
      </c>
      <c r="AO62" s="55">
        <f t="shared" si="0"/>
        <v>377345.07120307966</v>
      </c>
      <c r="AP62">
        <f t="shared" si="1"/>
        <v>11</v>
      </c>
    </row>
    <row r="63" spans="1:42" ht="12.95" customHeight="1" x14ac:dyDescent="0.2">
      <c r="A63" s="23" t="s">
        <v>78</v>
      </c>
      <c r="B63" s="23"/>
      <c r="AN63">
        <v>11.1</v>
      </c>
      <c r="AO63" s="55">
        <f t="shared" si="0"/>
        <v>384211.27118051721</v>
      </c>
      <c r="AP63">
        <f t="shared" si="1"/>
        <v>11.1</v>
      </c>
    </row>
    <row r="64" spans="1:42" x14ac:dyDescent="0.2">
      <c r="A64" t="s">
        <v>79</v>
      </c>
      <c r="B64" t="s">
        <v>38</v>
      </c>
      <c r="C64">
        <f>C18+2*C61</f>
        <v>1007.1727788822138</v>
      </c>
      <c r="E64" s="20" t="s">
        <v>80</v>
      </c>
      <c r="F64" s="26">
        <f>0.3937*C64</f>
        <v>396.52392304592757</v>
      </c>
      <c r="AN64">
        <v>11.2</v>
      </c>
      <c r="AO64" s="55">
        <f t="shared" si="0"/>
        <v>391138.90814388852</v>
      </c>
      <c r="AP64">
        <f t="shared" si="1"/>
        <v>11.2</v>
      </c>
    </row>
    <row r="65" spans="1:42" x14ac:dyDescent="0.2">
      <c r="A65" t="s">
        <v>81</v>
      </c>
      <c r="B65" t="s">
        <v>38</v>
      </c>
      <c r="C65">
        <f>C19+C61</f>
        <v>34.786389441106806</v>
      </c>
      <c r="E65" s="20" t="s">
        <v>80</v>
      </c>
      <c r="F65" s="26">
        <f>0.3937*C65</f>
        <v>13.695401522963749</v>
      </c>
      <c r="G65">
        <f>F65*2</f>
        <v>27.390803045927498</v>
      </c>
      <c r="AN65">
        <v>11.3</v>
      </c>
      <c r="AO65" s="55">
        <f t="shared" si="0"/>
        <v>398127.96952682285</v>
      </c>
      <c r="AP65">
        <f t="shared" si="1"/>
        <v>11.3</v>
      </c>
    </row>
    <row r="66" spans="1:42" x14ac:dyDescent="0.2">
      <c r="A66" t="s">
        <v>82</v>
      </c>
      <c r="B66" t="s">
        <v>42</v>
      </c>
      <c r="C66" s="55">
        <f>(4/3*PI()*C65^3+PI()*C65^2*(C64-2*C65))</f>
        <v>3740724.0419834037</v>
      </c>
      <c r="AN66">
        <v>11.4</v>
      </c>
      <c r="AO66" s="55">
        <f t="shared" ref="AO66:AO129" si="2">4/3*PI()*AN66^3+PI()*AN66^2*($AM$2-2*AN66)</f>
        <v>405178.44276294956</v>
      </c>
      <c r="AP66">
        <f t="shared" ref="AP66:AP129" si="3">AN66</f>
        <v>11.4</v>
      </c>
    </row>
    <row r="67" spans="1:42" x14ac:dyDescent="0.2">
      <c r="A67" t="s">
        <v>83</v>
      </c>
      <c r="B67" s="21" t="s">
        <v>34</v>
      </c>
      <c r="C67" s="8">
        <f>C64/(2*C65)</f>
        <v>14.476535148716032</v>
      </c>
      <c r="AN67">
        <v>11.5</v>
      </c>
      <c r="AO67" s="55">
        <f t="shared" si="2"/>
        <v>412290.31528589787</v>
      </c>
      <c r="AP67">
        <f t="shared" si="3"/>
        <v>11.5</v>
      </c>
    </row>
    <row r="68" spans="1:42" x14ac:dyDescent="0.2">
      <c r="AN68">
        <v>11.6</v>
      </c>
      <c r="AO68" s="55">
        <f t="shared" si="2"/>
        <v>419463.57452929742</v>
      </c>
      <c r="AP68">
        <f t="shared" si="3"/>
        <v>11.6</v>
      </c>
    </row>
    <row r="69" spans="1:42" ht="12.95" customHeight="1" x14ac:dyDescent="0.2">
      <c r="A69" s="23" t="s">
        <v>84</v>
      </c>
      <c r="AN69">
        <v>11.7</v>
      </c>
      <c r="AO69" s="55">
        <f t="shared" si="2"/>
        <v>426698.20792677742</v>
      </c>
      <c r="AP69">
        <f t="shared" si="3"/>
        <v>11.7</v>
      </c>
    </row>
    <row r="70" spans="1:42" x14ac:dyDescent="0.2">
      <c r="A70" t="s">
        <v>85</v>
      </c>
      <c r="B70" t="s">
        <v>42</v>
      </c>
      <c r="C70" s="55">
        <f>C66-C20</f>
        <v>746181.64988935133</v>
      </c>
      <c r="AN70">
        <v>11.8</v>
      </c>
      <c r="AO70" s="55">
        <f t="shared" si="2"/>
        <v>433994.20291196753</v>
      </c>
      <c r="AP70">
        <f t="shared" si="3"/>
        <v>11.8</v>
      </c>
    </row>
    <row r="71" spans="1:42" x14ac:dyDescent="0.2">
      <c r="A71" t="s">
        <v>86</v>
      </c>
      <c r="B71" t="s">
        <v>56</v>
      </c>
      <c r="C71">
        <f>C51</f>
        <v>2.663E-3</v>
      </c>
      <c r="D71" t="s">
        <v>87</v>
      </c>
      <c r="AN71">
        <v>11.9</v>
      </c>
      <c r="AO71" s="55">
        <f t="shared" si="2"/>
        <v>441351.54691849684</v>
      </c>
      <c r="AP71">
        <f t="shared" si="3"/>
        <v>11.9</v>
      </c>
    </row>
    <row r="72" spans="1:42" ht="12.95" customHeight="1" x14ac:dyDescent="0.2">
      <c r="A72" t="s">
        <v>88</v>
      </c>
      <c r="B72" t="s">
        <v>89</v>
      </c>
      <c r="C72" s="42">
        <f>C70*C71</f>
        <v>1987.0817336553425</v>
      </c>
      <c r="D72" s="43" t="s">
        <v>90</v>
      </c>
      <c r="E72" s="20" t="s">
        <v>91</v>
      </c>
      <c r="F72">
        <f>C72*2.2</f>
        <v>4371.5798140417537</v>
      </c>
      <c r="AN72">
        <v>12</v>
      </c>
      <c r="AO72" s="55">
        <f t="shared" si="2"/>
        <v>448770.22737999476</v>
      </c>
      <c r="AP72">
        <f t="shared" si="3"/>
        <v>12</v>
      </c>
    </row>
    <row r="73" spans="1:42" x14ac:dyDescent="0.2">
      <c r="A73" t="s">
        <v>92</v>
      </c>
      <c r="B73" t="s">
        <v>58</v>
      </c>
      <c r="C73" s="56">
        <f>C52</f>
        <v>4.45</v>
      </c>
      <c r="D73" t="s">
        <v>93</v>
      </c>
      <c r="AN73">
        <v>12.1</v>
      </c>
      <c r="AO73" s="55">
        <f t="shared" si="2"/>
        <v>456250.23173009075</v>
      </c>
      <c r="AP73">
        <f t="shared" si="3"/>
        <v>12.1</v>
      </c>
    </row>
    <row r="74" spans="1:42" ht="12.95" customHeight="1" x14ac:dyDescent="0.2">
      <c r="A74" t="s">
        <v>94</v>
      </c>
      <c r="B74" t="s">
        <v>95</v>
      </c>
      <c r="C74" s="57">
        <f>C73*C72</f>
        <v>8842.5137147662754</v>
      </c>
      <c r="D74" s="48" t="s">
        <v>90</v>
      </c>
      <c r="AN74">
        <v>12.2</v>
      </c>
      <c r="AO74" s="55">
        <f t="shared" si="2"/>
        <v>463791.54740241426</v>
      </c>
      <c r="AP74">
        <f t="shared" si="3"/>
        <v>12.2</v>
      </c>
    </row>
    <row r="75" spans="1:42" x14ac:dyDescent="0.2">
      <c r="AN75">
        <v>12.3</v>
      </c>
      <c r="AO75" s="55">
        <f t="shared" si="2"/>
        <v>471394.1618305947</v>
      </c>
      <c r="AP75">
        <f t="shared" si="3"/>
        <v>12.3</v>
      </c>
    </row>
    <row r="76" spans="1:42" ht="12.95" customHeight="1" x14ac:dyDescent="0.2">
      <c r="A76" s="23" t="s">
        <v>96</v>
      </c>
      <c r="AN76">
        <v>12.4</v>
      </c>
      <c r="AO76" s="55">
        <f t="shared" si="2"/>
        <v>479058.06244826136</v>
      </c>
      <c r="AP76">
        <f t="shared" si="3"/>
        <v>12.4</v>
      </c>
    </row>
    <row r="77" spans="1:42" x14ac:dyDescent="0.2">
      <c r="A77" s="20" t="s">
        <v>97</v>
      </c>
      <c r="B77" t="s">
        <v>98</v>
      </c>
      <c r="C77" s="26">
        <f>(C72/C20*1000)^-1</f>
        <v>1.5070051429567684</v>
      </c>
      <c r="D77" t="s">
        <v>99</v>
      </c>
      <c r="AN77">
        <v>12.5</v>
      </c>
      <c r="AO77" s="55">
        <f t="shared" si="2"/>
        <v>486783.23668904346</v>
      </c>
      <c r="AP77">
        <f t="shared" si="3"/>
        <v>12.5</v>
      </c>
    </row>
    <row r="78" spans="1:42" x14ac:dyDescent="0.2">
      <c r="AN78">
        <v>12.6</v>
      </c>
      <c r="AO78" s="55">
        <f t="shared" si="2"/>
        <v>494569.67198657058</v>
      </c>
      <c r="AP78">
        <f t="shared" si="3"/>
        <v>12.6</v>
      </c>
    </row>
    <row r="79" spans="1:42" ht="12.95" customHeight="1" x14ac:dyDescent="0.2">
      <c r="A79" s="23" t="s">
        <v>100</v>
      </c>
      <c r="D79" s="23"/>
      <c r="AN79">
        <v>12.7</v>
      </c>
      <c r="AO79" s="55">
        <f t="shared" si="2"/>
        <v>502417.35577447223</v>
      </c>
      <c r="AP79">
        <f t="shared" si="3"/>
        <v>12.7</v>
      </c>
    </row>
    <row r="80" spans="1:42" x14ac:dyDescent="0.2">
      <c r="A80" t="s">
        <v>3</v>
      </c>
      <c r="B80" s="20" t="s">
        <v>38</v>
      </c>
      <c r="C80" s="14">
        <f>MAX($C$9*$C$19/C24*1.5,$C$9*$C$19/C30*$C$57 )</f>
        <v>3.5863894411069026</v>
      </c>
      <c r="D80" s="24"/>
      <c r="AN80">
        <v>12.8</v>
      </c>
      <c r="AO80" s="55">
        <f t="shared" si="2"/>
        <v>510326.27548637759</v>
      </c>
      <c r="AP80">
        <f t="shared" si="3"/>
        <v>12.8</v>
      </c>
    </row>
    <row r="81" spans="1:42" x14ac:dyDescent="0.2">
      <c r="A81" t="s">
        <v>9</v>
      </c>
      <c r="B81" s="20" t="s">
        <v>38</v>
      </c>
      <c r="C81" s="14">
        <f>MAX($C$9*$C$19/C25*1.5,$C$9*$C$19/C31*$C$57 )</f>
        <v>2.0238947368420992</v>
      </c>
      <c r="D81" s="24"/>
      <c r="AN81">
        <v>12.9</v>
      </c>
      <c r="AO81" s="55">
        <f t="shared" si="2"/>
        <v>518296.41855591617</v>
      </c>
      <c r="AP81">
        <f t="shared" si="3"/>
        <v>12.9</v>
      </c>
    </row>
    <row r="82" spans="1:42" x14ac:dyDescent="0.2">
      <c r="A82" t="s">
        <v>12</v>
      </c>
      <c r="B82" s="20" t="s">
        <v>38</v>
      </c>
      <c r="C82" s="14">
        <f>MAX($C$9*$C$19/C26*1.5,$C$9*$C$19/C32*$C$57 )</f>
        <v>1.3314738368849672</v>
      </c>
      <c r="D82" s="24"/>
      <c r="AN82">
        <v>13</v>
      </c>
      <c r="AO82" s="55">
        <f t="shared" si="2"/>
        <v>526327.77241671726</v>
      </c>
      <c r="AP82">
        <f t="shared" si="3"/>
        <v>13</v>
      </c>
    </row>
    <row r="83" spans="1:42" x14ac:dyDescent="0.2">
      <c r="A83" t="s">
        <v>14</v>
      </c>
      <c r="B83" s="20" t="s">
        <v>38</v>
      </c>
      <c r="C83" s="14">
        <f>MAX($C$9*$C$19/C27*1.5,$C$9*$C$19/C33*$C$57 )</f>
        <v>1.0667739340305677</v>
      </c>
      <c r="D83" s="24"/>
      <c r="AN83">
        <v>13.1</v>
      </c>
      <c r="AO83" s="55">
        <f t="shared" si="2"/>
        <v>534420.32450241013</v>
      </c>
      <c r="AP83">
        <f t="shared" si="3"/>
        <v>13.1</v>
      </c>
    </row>
    <row r="84" spans="1:42" x14ac:dyDescent="0.2">
      <c r="AN84">
        <v>13.2</v>
      </c>
      <c r="AO84" s="55">
        <f t="shared" si="2"/>
        <v>542574.06224662438</v>
      </c>
      <c r="AP84">
        <f t="shared" si="3"/>
        <v>13.2</v>
      </c>
    </row>
    <row r="85" spans="1:42" ht="12.95" customHeight="1" x14ac:dyDescent="0.2">
      <c r="A85" s="23" t="s">
        <v>101</v>
      </c>
      <c r="AN85">
        <v>13.3</v>
      </c>
      <c r="AO85" s="55">
        <f t="shared" si="2"/>
        <v>550788.97308298945</v>
      </c>
      <c r="AP85">
        <f t="shared" si="3"/>
        <v>13.3</v>
      </c>
    </row>
    <row r="86" spans="1:42" x14ac:dyDescent="0.2">
      <c r="A86" t="s">
        <v>3</v>
      </c>
      <c r="B86" s="20" t="s">
        <v>89</v>
      </c>
      <c r="C86" s="15">
        <f>((4/3*PI()*(C80+$C$19)^3 + PI()*(C80+$C$19)^2*($C$18-2*$C$19)) - $C$20)*C36</f>
        <v>1987.0817336553425</v>
      </c>
      <c r="D86" t="s">
        <v>102</v>
      </c>
      <c r="AN86">
        <v>13.4</v>
      </c>
      <c r="AO86" s="55">
        <f t="shared" si="2"/>
        <v>559065.04444513458</v>
      </c>
      <c r="AP86">
        <f t="shared" si="3"/>
        <v>13.4</v>
      </c>
    </row>
    <row r="87" spans="1:42" x14ac:dyDescent="0.2">
      <c r="A87" t="s">
        <v>9</v>
      </c>
      <c r="B87" s="20" t="s">
        <v>89</v>
      </c>
      <c r="C87" s="15">
        <f>((4/3*PI()*(C81+$C$19)^3 + PI()*(C81+$C$19)^2*($C$18-2*$C$19)) - $C$20)*C37</f>
        <v>3294.7714711941198</v>
      </c>
      <c r="D87" t="s">
        <v>102</v>
      </c>
      <c r="AN87">
        <v>13.5</v>
      </c>
      <c r="AO87" s="55">
        <f t="shared" si="2"/>
        <v>567402.26376668911</v>
      </c>
      <c r="AP87">
        <f t="shared" si="3"/>
        <v>13.5</v>
      </c>
    </row>
    <row r="88" spans="1:42" x14ac:dyDescent="0.2">
      <c r="A88" t="s">
        <v>12</v>
      </c>
      <c r="B88" s="20" t="s">
        <v>89</v>
      </c>
      <c r="C88" s="15">
        <f>((4/3*PI()*(C82+$C$19)^3 + PI()*(C82+$C$19)^2*($C$18-2*$C$19)) - $C$20)*C38</f>
        <v>2055.4602647206343</v>
      </c>
      <c r="D88" t="s">
        <v>102</v>
      </c>
      <c r="AN88">
        <v>13.6</v>
      </c>
      <c r="AO88" s="55">
        <f t="shared" si="2"/>
        <v>575800.61848128238</v>
      </c>
      <c r="AP88">
        <f t="shared" si="3"/>
        <v>13.6</v>
      </c>
    </row>
    <row r="89" spans="1:42" x14ac:dyDescent="0.2">
      <c r="A89" t="s">
        <v>14</v>
      </c>
      <c r="B89" s="20" t="s">
        <v>89</v>
      </c>
      <c r="C89" s="15">
        <f>((4/3*PI()*(C83+$C$19)^3 + PI()*(C83+$C$19)^2*($C$18-2*$C$19)) - $C$20)*C39</f>
        <v>1671.4907912419301</v>
      </c>
      <c r="D89" t="s">
        <v>102</v>
      </c>
      <c r="AN89">
        <v>13.7</v>
      </c>
      <c r="AO89" s="55">
        <f t="shared" si="2"/>
        <v>584260.0960225442</v>
      </c>
      <c r="AP89">
        <f t="shared" si="3"/>
        <v>13.7</v>
      </c>
    </row>
    <row r="90" spans="1:42" x14ac:dyDescent="0.2">
      <c r="A90" s="20"/>
      <c r="B90" s="20"/>
      <c r="C90" s="26"/>
      <c r="AN90">
        <v>13.8</v>
      </c>
      <c r="AO90" s="55">
        <f t="shared" si="2"/>
        <v>592780.68382410356</v>
      </c>
      <c r="AP90">
        <f t="shared" si="3"/>
        <v>13.8</v>
      </c>
    </row>
    <row r="91" spans="1:42" x14ac:dyDescent="0.2">
      <c r="AN91">
        <v>13.9</v>
      </c>
      <c r="AO91" s="55">
        <f t="shared" si="2"/>
        <v>601362.36931958992</v>
      </c>
      <c r="AP91">
        <f t="shared" si="3"/>
        <v>13.9</v>
      </c>
    </row>
    <row r="92" spans="1:42" x14ac:dyDescent="0.2">
      <c r="AN92">
        <v>14</v>
      </c>
      <c r="AO92" s="55">
        <f t="shared" si="2"/>
        <v>610005.13994263241</v>
      </c>
      <c r="AP92">
        <f t="shared" si="3"/>
        <v>14</v>
      </c>
    </row>
    <row r="93" spans="1:42" ht="12.95" customHeight="1" x14ac:dyDescent="0.2">
      <c r="A93" s="23" t="s">
        <v>103</v>
      </c>
      <c r="AN93">
        <v>14.1</v>
      </c>
      <c r="AO93" s="55">
        <f t="shared" si="2"/>
        <v>618708.98312686093</v>
      </c>
      <c r="AP93">
        <f t="shared" si="3"/>
        <v>14.1</v>
      </c>
    </row>
    <row r="94" spans="1:42" x14ac:dyDescent="0.2">
      <c r="A94" t="s">
        <v>104</v>
      </c>
      <c r="B94" t="s">
        <v>31</v>
      </c>
      <c r="C94">
        <f>C9</f>
        <v>170</v>
      </c>
      <c r="AN94">
        <v>14.2</v>
      </c>
      <c r="AO94" s="55">
        <f t="shared" si="2"/>
        <v>627473.88630590471</v>
      </c>
      <c r="AP94">
        <f t="shared" si="3"/>
        <v>14.2</v>
      </c>
    </row>
    <row r="95" spans="1:42" x14ac:dyDescent="0.2">
      <c r="A95" t="s">
        <v>105</v>
      </c>
      <c r="B95" t="s">
        <v>38</v>
      </c>
      <c r="C95" s="8">
        <f>C19</f>
        <v>31.1999999999999</v>
      </c>
      <c r="AN95">
        <v>14.3</v>
      </c>
      <c r="AO95" s="55">
        <f t="shared" si="2"/>
        <v>636299.83691339288</v>
      </c>
      <c r="AP95">
        <f t="shared" si="3"/>
        <v>14.3</v>
      </c>
    </row>
    <row r="96" spans="1:42" x14ac:dyDescent="0.2">
      <c r="A96" t="s">
        <v>106</v>
      </c>
      <c r="B96" t="s">
        <v>38</v>
      </c>
      <c r="C96" s="26">
        <f>C65</f>
        <v>34.786389441106806</v>
      </c>
      <c r="AN96">
        <v>14.4</v>
      </c>
      <c r="AO96" s="55">
        <f t="shared" si="2"/>
        <v>645186.82238295511</v>
      </c>
      <c r="AP96">
        <f t="shared" si="3"/>
        <v>14.4</v>
      </c>
    </row>
    <row r="97" spans="1:42" x14ac:dyDescent="0.2">
      <c r="A97" t="s">
        <v>107</v>
      </c>
      <c r="B97" t="s">
        <v>31</v>
      </c>
      <c r="C97">
        <f>C49</f>
        <v>2953.4752841379309</v>
      </c>
      <c r="AN97">
        <v>14.5</v>
      </c>
      <c r="AO97" s="55">
        <f t="shared" si="2"/>
        <v>654134.83014822053</v>
      </c>
      <c r="AP97">
        <f t="shared" si="3"/>
        <v>14.5</v>
      </c>
    </row>
    <row r="98" spans="1:42" x14ac:dyDescent="0.2">
      <c r="A98" t="s">
        <v>108</v>
      </c>
      <c r="B98" t="s">
        <v>31</v>
      </c>
      <c r="C98">
        <f>C50</f>
        <v>3327.5806200000002</v>
      </c>
      <c r="AN98">
        <v>14.6</v>
      </c>
      <c r="AO98" s="55">
        <f t="shared" si="2"/>
        <v>663143.84764281882</v>
      </c>
      <c r="AP98">
        <f t="shared" si="3"/>
        <v>14.6</v>
      </c>
    </row>
    <row r="99" spans="1:42" x14ac:dyDescent="0.2">
      <c r="A99" t="s">
        <v>109</v>
      </c>
      <c r="B99" t="s">
        <v>110</v>
      </c>
      <c r="C99">
        <f>C94*(C96^2+C95^2)/(C96^2-C95^2)</f>
        <v>1568.5445075815908</v>
      </c>
      <c r="AN99">
        <v>14.7</v>
      </c>
      <c r="AO99" s="55">
        <f t="shared" si="2"/>
        <v>672213.86230037897</v>
      </c>
      <c r="AP99">
        <f t="shared" si="3"/>
        <v>14.7</v>
      </c>
    </row>
    <row r="100" spans="1:42" x14ac:dyDescent="0.2">
      <c r="A100" t="s">
        <v>111</v>
      </c>
      <c r="B100" t="s">
        <v>31</v>
      </c>
      <c r="C100">
        <f>C94*C95^2/(C96^2-C95^2)</f>
        <v>699.27225379079539</v>
      </c>
      <c r="AN100">
        <v>14.8</v>
      </c>
      <c r="AO100" s="55">
        <f t="shared" si="2"/>
        <v>681344.86155453091</v>
      </c>
      <c r="AP100">
        <f t="shared" si="3"/>
        <v>14.8</v>
      </c>
    </row>
    <row r="101" spans="1:42" x14ac:dyDescent="0.2">
      <c r="A101" t="s">
        <v>112</v>
      </c>
      <c r="B101" t="s">
        <v>113</v>
      </c>
      <c r="C101" s="8">
        <f>-C94</f>
        <v>-170</v>
      </c>
      <c r="AN101">
        <v>14.9</v>
      </c>
      <c r="AO101" s="55">
        <f t="shared" si="2"/>
        <v>690536.83283890365</v>
      </c>
      <c r="AP101">
        <f t="shared" si="3"/>
        <v>14.9</v>
      </c>
    </row>
    <row r="102" spans="1:42" x14ac:dyDescent="0.2">
      <c r="A102" t="s">
        <v>114</v>
      </c>
      <c r="B102" t="s">
        <v>115</v>
      </c>
      <c r="C102">
        <f>2^0.5/2</f>
        <v>0.70710678118654757</v>
      </c>
      <c r="AN102">
        <v>15</v>
      </c>
      <c r="AO102" s="55">
        <f t="shared" si="2"/>
        <v>699789.76358712639</v>
      </c>
      <c r="AP102">
        <f t="shared" si="3"/>
        <v>15</v>
      </c>
    </row>
    <row r="103" spans="1:42" x14ac:dyDescent="0.2">
      <c r="A103" t="s">
        <v>116</v>
      </c>
      <c r="B103" t="s">
        <v>117</v>
      </c>
      <c r="C103">
        <f>(C100-C99)^2</f>
        <v>755634.25121052901</v>
      </c>
      <c r="AN103">
        <v>15.1</v>
      </c>
      <c r="AO103" s="55">
        <f t="shared" si="2"/>
        <v>709103.64123282884</v>
      </c>
      <c r="AP103">
        <f t="shared" si="3"/>
        <v>15.1</v>
      </c>
    </row>
    <row r="104" spans="1:42" x14ac:dyDescent="0.2">
      <c r="A104" t="s">
        <v>118</v>
      </c>
      <c r="B104" t="s">
        <v>117</v>
      </c>
      <c r="C104">
        <f>(C101-C99)^2</f>
        <v>3022537.004842116</v>
      </c>
      <c r="AN104">
        <v>15.2</v>
      </c>
      <c r="AO104" s="55">
        <f t="shared" si="2"/>
        <v>718478.45320964057</v>
      </c>
      <c r="AP104">
        <f t="shared" si="3"/>
        <v>15.2</v>
      </c>
    </row>
    <row r="105" spans="1:42" x14ac:dyDescent="0.2">
      <c r="A105" t="s">
        <v>119</v>
      </c>
      <c r="B105" t="s">
        <v>117</v>
      </c>
      <c r="C105">
        <f>(C101-C100)^2</f>
        <v>755634.25121052901</v>
      </c>
      <c r="AN105">
        <v>15.3</v>
      </c>
      <c r="AO105" s="55">
        <f t="shared" si="2"/>
        <v>727914.1869511907</v>
      </c>
      <c r="AP105">
        <f t="shared" si="3"/>
        <v>15.3</v>
      </c>
    </row>
    <row r="106" spans="1:42" x14ac:dyDescent="0.2">
      <c r="A106" t="s">
        <v>120</v>
      </c>
      <c r="B106" t="s">
        <v>113</v>
      </c>
      <c r="C106">
        <f>(C103+C104+C105)^0.5</f>
        <v>2129.2734693465691</v>
      </c>
      <c r="AN106">
        <v>15.4</v>
      </c>
      <c r="AO106" s="55">
        <f t="shared" si="2"/>
        <v>737410.82989110844</v>
      </c>
      <c r="AP106">
        <f t="shared" si="3"/>
        <v>15.4</v>
      </c>
    </row>
    <row r="107" spans="1:42" x14ac:dyDescent="0.2">
      <c r="A107" t="s">
        <v>121</v>
      </c>
      <c r="B107" t="s">
        <v>113</v>
      </c>
      <c r="C107">
        <f>C102*C106*1.5</f>
        <v>2258.435563763348</v>
      </c>
      <c r="AN107">
        <v>15.5</v>
      </c>
      <c r="AO107" s="55">
        <f t="shared" si="2"/>
        <v>746968.36946302326</v>
      </c>
      <c r="AP107">
        <f t="shared" si="3"/>
        <v>15.5</v>
      </c>
    </row>
    <row r="108" spans="1:42" x14ac:dyDescent="0.2">
      <c r="A108" t="s">
        <v>122</v>
      </c>
      <c r="B108" t="s">
        <v>113</v>
      </c>
      <c r="C108">
        <f>C107*2.25/1.5</f>
        <v>3387.653345645022</v>
      </c>
      <c r="AN108">
        <v>15.6</v>
      </c>
      <c r="AO108" s="55">
        <f t="shared" si="2"/>
        <v>756586.79310056474</v>
      </c>
      <c r="AP108">
        <f t="shared" si="3"/>
        <v>15.6</v>
      </c>
    </row>
    <row r="109" spans="1:42" x14ac:dyDescent="0.2">
      <c r="A109" t="s">
        <v>123</v>
      </c>
      <c r="C109" t="str">
        <f>IF(C107&gt;C97,"Yes", "NO")</f>
        <v>NO</v>
      </c>
      <c r="AN109">
        <v>15.7</v>
      </c>
      <c r="AO109" s="55">
        <f t="shared" si="2"/>
        <v>766266.08823736233</v>
      </c>
      <c r="AP109">
        <f t="shared" si="3"/>
        <v>15.7</v>
      </c>
    </row>
    <row r="110" spans="1:42" x14ac:dyDescent="0.2">
      <c r="A110" t="s">
        <v>124</v>
      </c>
      <c r="C110" t="str">
        <f>IF(C108&gt;C98,"Yes", "NO")</f>
        <v>Yes</v>
      </c>
      <c r="AN110">
        <v>15.8</v>
      </c>
      <c r="AO110" s="55">
        <f t="shared" si="2"/>
        <v>776006.24230704526</v>
      </c>
      <c r="AP110">
        <f t="shared" si="3"/>
        <v>15.8</v>
      </c>
    </row>
    <row r="111" spans="1:42" ht="12.95" customHeight="1" x14ac:dyDescent="0.2">
      <c r="A111" t="s">
        <v>125</v>
      </c>
      <c r="C111">
        <f>(C19/C61)</f>
        <v>8.6995571764705897</v>
      </c>
      <c r="D111" s="23"/>
      <c r="AN111">
        <v>15.9</v>
      </c>
      <c r="AO111" s="55">
        <f t="shared" si="2"/>
        <v>785807.24274324288</v>
      </c>
      <c r="AP111">
        <f t="shared" si="3"/>
        <v>15.9</v>
      </c>
    </row>
    <row r="112" spans="1:42" x14ac:dyDescent="0.2">
      <c r="A112" t="s">
        <v>126</v>
      </c>
      <c r="C112" t="str">
        <f>IF(C111&gt;10,"Thin Wall","Thick Wall")</f>
        <v>Thick Wall</v>
      </c>
      <c r="D112" t="s">
        <v>127</v>
      </c>
      <c r="AN112">
        <v>16</v>
      </c>
      <c r="AO112" s="55">
        <f t="shared" si="2"/>
        <v>795669.07697958453</v>
      </c>
      <c r="AP112">
        <f t="shared" si="3"/>
        <v>16</v>
      </c>
    </row>
    <row r="113" spans="1:42" x14ac:dyDescent="0.2">
      <c r="A113" t="s">
        <v>128</v>
      </c>
      <c r="C113">
        <f>MAX(C107/C97,C108/C98)</f>
        <v>1.0180529737683777</v>
      </c>
      <c r="D113" t="s">
        <v>129</v>
      </c>
      <c r="AN113">
        <v>16.100000000000001</v>
      </c>
      <c r="AO113" s="55">
        <f t="shared" si="2"/>
        <v>805591.73244969978</v>
      </c>
      <c r="AP113">
        <f t="shared" si="3"/>
        <v>16.100000000000001</v>
      </c>
    </row>
    <row r="114" spans="1:42" x14ac:dyDescent="0.2">
      <c r="AN114">
        <v>16.2</v>
      </c>
      <c r="AO114" s="55">
        <f t="shared" si="2"/>
        <v>815575.19658721774</v>
      </c>
      <c r="AP114">
        <f t="shared" si="3"/>
        <v>16.2</v>
      </c>
    </row>
    <row r="115" spans="1:42" ht="12.95" customHeight="1" x14ac:dyDescent="0.2">
      <c r="A115" s="23" t="s">
        <v>130</v>
      </c>
      <c r="AN115">
        <v>16.3</v>
      </c>
      <c r="AO115" s="55">
        <f t="shared" si="2"/>
        <v>825619.45682576811</v>
      </c>
      <c r="AP115">
        <f t="shared" si="3"/>
        <v>16.3</v>
      </c>
    </row>
    <row r="116" spans="1:42" x14ac:dyDescent="0.2">
      <c r="A116" t="s">
        <v>104</v>
      </c>
      <c r="B116" t="s">
        <v>31</v>
      </c>
      <c r="C116">
        <f>C94</f>
        <v>170</v>
      </c>
      <c r="AN116">
        <v>16.399999999999999</v>
      </c>
      <c r="AO116" s="55">
        <f t="shared" si="2"/>
        <v>835724.50059898</v>
      </c>
      <c r="AP116">
        <f t="shared" si="3"/>
        <v>16.399999999999999</v>
      </c>
    </row>
    <row r="117" spans="1:42" x14ac:dyDescent="0.2">
      <c r="A117" t="s">
        <v>105</v>
      </c>
      <c r="B117" t="s">
        <v>38</v>
      </c>
      <c r="C117" s="8">
        <f>C95</f>
        <v>31.1999999999999</v>
      </c>
      <c r="AN117">
        <v>16.5</v>
      </c>
      <c r="AO117" s="55">
        <f t="shared" si="2"/>
        <v>845890.3153404831</v>
      </c>
      <c r="AP117">
        <f t="shared" si="3"/>
        <v>16.5</v>
      </c>
    </row>
    <row r="118" spans="1:42" x14ac:dyDescent="0.2">
      <c r="A118" t="s">
        <v>106</v>
      </c>
      <c r="B118" t="s">
        <v>38</v>
      </c>
      <c r="C118" s="26">
        <f>(C96-C95)*C113+C117</f>
        <v>34.851134435610298</v>
      </c>
      <c r="AN118">
        <v>16.600000000000001</v>
      </c>
      <c r="AO118" s="55">
        <f t="shared" si="2"/>
        <v>856116.88848390675</v>
      </c>
      <c r="AP118">
        <f t="shared" si="3"/>
        <v>16.600000000000001</v>
      </c>
    </row>
    <row r="119" spans="1:42" x14ac:dyDescent="0.2">
      <c r="A119" t="s">
        <v>107</v>
      </c>
      <c r="B119" t="s">
        <v>31</v>
      </c>
      <c r="C119">
        <f>C97</f>
        <v>2953.4752841379309</v>
      </c>
      <c r="AN119">
        <v>16.7</v>
      </c>
      <c r="AO119" s="55">
        <f t="shared" si="2"/>
        <v>866404.20746287983</v>
      </c>
      <c r="AP119">
        <f t="shared" si="3"/>
        <v>16.7</v>
      </c>
    </row>
    <row r="120" spans="1:42" x14ac:dyDescent="0.2">
      <c r="A120" t="s">
        <v>108</v>
      </c>
      <c r="B120" t="s">
        <v>31</v>
      </c>
      <c r="C120">
        <f>C98</f>
        <v>3327.5806200000002</v>
      </c>
      <c r="AN120">
        <v>16.8</v>
      </c>
      <c r="AO120" s="55">
        <f t="shared" si="2"/>
        <v>876752.25971103227</v>
      </c>
      <c r="AP120">
        <f t="shared" si="3"/>
        <v>16.8</v>
      </c>
    </row>
    <row r="121" spans="1:42" x14ac:dyDescent="0.2">
      <c r="A121" t="s">
        <v>109</v>
      </c>
      <c r="B121" t="s">
        <v>110</v>
      </c>
      <c r="C121">
        <f>C116*(C118^2+C117^2)/(C118^2-C117^2)</f>
        <v>1542.3977581146521</v>
      </c>
      <c r="AN121">
        <v>16.899999999999999</v>
      </c>
      <c r="AO121" s="55">
        <f t="shared" si="2"/>
        <v>887161.03266199341</v>
      </c>
      <c r="AP121">
        <f t="shared" si="3"/>
        <v>16.899999999999999</v>
      </c>
    </row>
    <row r="122" spans="1:42" x14ac:dyDescent="0.2">
      <c r="A122" t="s">
        <v>111</v>
      </c>
      <c r="B122" t="s">
        <v>31</v>
      </c>
      <c r="C122">
        <f>C116*C117^2/(C118^2-C117^2)</f>
        <v>686.19887905732605</v>
      </c>
      <c r="AN122">
        <v>17</v>
      </c>
      <c r="AO122" s="55">
        <f t="shared" si="2"/>
        <v>897630.51374939247</v>
      </c>
      <c r="AP122">
        <f t="shared" si="3"/>
        <v>17</v>
      </c>
    </row>
    <row r="123" spans="1:42" x14ac:dyDescent="0.2">
      <c r="A123" t="s">
        <v>112</v>
      </c>
      <c r="B123" t="s">
        <v>113</v>
      </c>
      <c r="C123" s="8">
        <f>-C116</f>
        <v>-170</v>
      </c>
      <c r="AN123">
        <v>17.100000000000001</v>
      </c>
      <c r="AO123" s="55">
        <f t="shared" si="2"/>
        <v>908160.6904068588</v>
      </c>
      <c r="AP123">
        <f t="shared" si="3"/>
        <v>17.100000000000001</v>
      </c>
    </row>
    <row r="124" spans="1:42" x14ac:dyDescent="0.2">
      <c r="A124" t="s">
        <v>114</v>
      </c>
      <c r="B124" t="s">
        <v>115</v>
      </c>
      <c r="C124">
        <f>2^0.5/2</f>
        <v>0.70710678118654757</v>
      </c>
      <c r="AN124">
        <v>17.2</v>
      </c>
      <c r="AO124" s="55">
        <f t="shared" si="2"/>
        <v>918751.55006802187</v>
      </c>
      <c r="AP124">
        <f t="shared" si="3"/>
        <v>17.2</v>
      </c>
    </row>
    <row r="125" spans="1:42" x14ac:dyDescent="0.2">
      <c r="A125" t="s">
        <v>116</v>
      </c>
      <c r="B125" t="s">
        <v>117</v>
      </c>
      <c r="C125">
        <f>(C122-C121)^2</f>
        <v>733076.52049902163</v>
      </c>
      <c r="AN125">
        <v>17.3</v>
      </c>
      <c r="AO125" s="55">
        <f t="shared" si="2"/>
        <v>929403.08016651112</v>
      </c>
      <c r="AP125">
        <f t="shared" si="3"/>
        <v>17.3</v>
      </c>
    </row>
    <row r="126" spans="1:42" x14ac:dyDescent="0.2">
      <c r="A126" t="s">
        <v>118</v>
      </c>
      <c r="B126" t="s">
        <v>117</v>
      </c>
      <c r="C126">
        <f>(C123-C121)^2</f>
        <v>2932306.0819960865</v>
      </c>
      <c r="AN126">
        <v>17.399999999999999</v>
      </c>
      <c r="AO126" s="55">
        <f t="shared" si="2"/>
        <v>940115.26813595579</v>
      </c>
      <c r="AP126">
        <f t="shared" si="3"/>
        <v>17.399999999999999</v>
      </c>
    </row>
    <row r="127" spans="1:42" x14ac:dyDescent="0.2">
      <c r="A127" t="s">
        <v>119</v>
      </c>
      <c r="B127" t="s">
        <v>117</v>
      </c>
      <c r="C127">
        <f>(C123-C122)^2</f>
        <v>733076.52049902163</v>
      </c>
      <c r="AN127">
        <v>17.5</v>
      </c>
      <c r="AO127" s="55">
        <f t="shared" si="2"/>
        <v>950888.10140998568</v>
      </c>
      <c r="AP127">
        <f t="shared" si="3"/>
        <v>17.5</v>
      </c>
    </row>
    <row r="128" spans="1:42" x14ac:dyDescent="0.2">
      <c r="A128" t="s">
        <v>120</v>
      </c>
      <c r="B128" t="s">
        <v>113</v>
      </c>
      <c r="C128">
        <f>(C125+C126+C127)^0.5</f>
        <v>2097.2503720333748</v>
      </c>
      <c r="AN128">
        <v>17.600000000000001</v>
      </c>
      <c r="AO128" s="55">
        <f t="shared" si="2"/>
        <v>961721.56742222968</v>
      </c>
      <c r="AP128">
        <f t="shared" si="3"/>
        <v>17.600000000000001</v>
      </c>
    </row>
    <row r="129" spans="1:42" x14ac:dyDescent="0.2">
      <c r="A129" t="s">
        <v>121</v>
      </c>
      <c r="B129" t="s">
        <v>113</v>
      </c>
      <c r="C129">
        <f>C124*C128*1.5</f>
        <v>2224.4699398662133</v>
      </c>
      <c r="AN129">
        <v>17.7</v>
      </c>
      <c r="AO129" s="55">
        <f t="shared" si="2"/>
        <v>972615.65360631712</v>
      </c>
      <c r="AP129">
        <f t="shared" si="3"/>
        <v>17.7</v>
      </c>
    </row>
    <row r="130" spans="1:42" x14ac:dyDescent="0.2">
      <c r="A130" t="s">
        <v>122</v>
      </c>
      <c r="B130" t="s">
        <v>113</v>
      </c>
      <c r="C130">
        <f>C129*2.25/1.5</f>
        <v>3336.7049097993199</v>
      </c>
      <c r="AN130">
        <v>17.8</v>
      </c>
      <c r="AO130" s="55">
        <f t="shared" ref="AO130:AO193" si="4">4/3*PI()*AN130^3+PI()*AN130^2*($AM$2-2*AN130)</f>
        <v>983570.34739587794</v>
      </c>
      <c r="AP130">
        <f t="shared" ref="AP130:AP193" si="5">AN130</f>
        <v>17.8</v>
      </c>
    </row>
    <row r="131" spans="1:42" x14ac:dyDescent="0.2">
      <c r="A131" t="s">
        <v>123</v>
      </c>
      <c r="C131" t="str">
        <f>IF(C129&gt;C119,"Yes", "NO")</f>
        <v>NO</v>
      </c>
      <c r="AN131">
        <v>17.899999999999999</v>
      </c>
      <c r="AO131" s="55">
        <f t="shared" si="4"/>
        <v>994585.63622454088</v>
      </c>
      <c r="AP131">
        <f t="shared" si="5"/>
        <v>17.899999999999999</v>
      </c>
    </row>
    <row r="132" spans="1:42" x14ac:dyDescent="0.2">
      <c r="A132" t="s">
        <v>124</v>
      </c>
      <c r="C132" t="str">
        <f>IF(C130&gt;C120,"Yes", "NO")</f>
        <v>Yes</v>
      </c>
      <c r="AN132">
        <v>18</v>
      </c>
      <c r="AO132" s="55">
        <f t="shared" si="4"/>
        <v>1005661.5075259358</v>
      </c>
      <c r="AP132">
        <f t="shared" si="5"/>
        <v>18</v>
      </c>
    </row>
    <row r="133" spans="1:42" x14ac:dyDescent="0.2">
      <c r="A133" t="s">
        <v>125</v>
      </c>
      <c r="C133">
        <f>(C117/(C118-C117))</f>
        <v>8.5452892930204776</v>
      </c>
      <c r="AN133">
        <v>18.100000000000001</v>
      </c>
      <c r="AO133" s="55">
        <f t="shared" si="4"/>
        <v>1016797.9487336921</v>
      </c>
      <c r="AP133">
        <f t="shared" si="5"/>
        <v>18.100000000000001</v>
      </c>
    </row>
    <row r="134" spans="1:42" x14ac:dyDescent="0.2">
      <c r="A134" t="s">
        <v>126</v>
      </c>
      <c r="C134" t="str">
        <f>IF(C133&gt;10,"Thin Wall","Thick Wall")</f>
        <v>Thick Wall</v>
      </c>
      <c r="AN134">
        <v>18.2</v>
      </c>
      <c r="AO134" s="55">
        <f t="shared" si="4"/>
        <v>1027994.9472814387</v>
      </c>
      <c r="AP134">
        <f t="shared" si="5"/>
        <v>18.2</v>
      </c>
    </row>
    <row r="135" spans="1:42" x14ac:dyDescent="0.2">
      <c r="A135" t="s">
        <v>128</v>
      </c>
      <c r="C135">
        <f>MAX(C129/C119,C130/C120)</f>
        <v>1.0027420191548415</v>
      </c>
      <c r="AN135">
        <v>18.3</v>
      </c>
      <c r="AO135" s="55">
        <f t="shared" si="4"/>
        <v>1039252.4906028054</v>
      </c>
      <c r="AP135">
        <f t="shared" si="5"/>
        <v>18.3</v>
      </c>
    </row>
    <row r="136" spans="1:42" x14ac:dyDescent="0.2">
      <c r="AN136">
        <v>18.399999999999999</v>
      </c>
      <c r="AO136" s="55">
        <f t="shared" si="4"/>
        <v>1050570.5661314214</v>
      </c>
      <c r="AP136">
        <f t="shared" si="5"/>
        <v>18.399999999999999</v>
      </c>
    </row>
    <row r="137" spans="1:42" ht="12.95" customHeight="1" x14ac:dyDescent="0.2">
      <c r="A137" s="23" t="s">
        <v>131</v>
      </c>
      <c r="AN137">
        <v>18.5</v>
      </c>
      <c r="AO137" s="55">
        <f t="shared" si="4"/>
        <v>1061949.1613009165</v>
      </c>
      <c r="AP137">
        <f t="shared" si="5"/>
        <v>18.5</v>
      </c>
    </row>
    <row r="138" spans="1:42" x14ac:dyDescent="0.2">
      <c r="A138" t="s">
        <v>104</v>
      </c>
      <c r="B138" t="s">
        <v>31</v>
      </c>
      <c r="C138">
        <f>C116</f>
        <v>170</v>
      </c>
      <c r="AN138">
        <v>18.600000000000001</v>
      </c>
      <c r="AO138" s="55">
        <f t="shared" si="4"/>
        <v>1073388.2635449194</v>
      </c>
      <c r="AP138">
        <f t="shared" si="5"/>
        <v>18.600000000000001</v>
      </c>
    </row>
    <row r="139" spans="1:42" x14ac:dyDescent="0.2">
      <c r="A139" t="s">
        <v>105</v>
      </c>
      <c r="B139" t="s">
        <v>38</v>
      </c>
      <c r="C139" s="8">
        <f>C117</f>
        <v>31.1999999999999</v>
      </c>
      <c r="AN139">
        <v>18.7</v>
      </c>
      <c r="AO139" s="55">
        <f t="shared" si="4"/>
        <v>1084887.8602970599</v>
      </c>
      <c r="AP139">
        <f t="shared" si="5"/>
        <v>18.7</v>
      </c>
    </row>
    <row r="140" spans="1:42" x14ac:dyDescent="0.2">
      <c r="A140" t="s">
        <v>106</v>
      </c>
      <c r="B140" t="s">
        <v>38</v>
      </c>
      <c r="C140" s="26">
        <f>(C118-C117)*C135+C139</f>
        <v>34.86114591616964</v>
      </c>
      <c r="AN140">
        <v>18.8</v>
      </c>
      <c r="AO140" s="55">
        <f t="shared" si="4"/>
        <v>1096447.9389909673</v>
      </c>
      <c r="AP140">
        <f t="shared" si="5"/>
        <v>18.8</v>
      </c>
    </row>
    <row r="141" spans="1:42" x14ac:dyDescent="0.2">
      <c r="A141" t="s">
        <v>107</v>
      </c>
      <c r="B141" t="s">
        <v>31</v>
      </c>
      <c r="C141">
        <f>C119</f>
        <v>2953.4752841379309</v>
      </c>
      <c r="AN141">
        <v>18.899999999999999</v>
      </c>
      <c r="AO141" s="55">
        <f t="shared" si="4"/>
        <v>1108068.4870602707</v>
      </c>
      <c r="AP141">
        <f t="shared" si="5"/>
        <v>18.899999999999999</v>
      </c>
    </row>
    <row r="142" spans="1:42" x14ac:dyDescent="0.2">
      <c r="A142" t="s">
        <v>108</v>
      </c>
      <c r="B142" t="s">
        <v>31</v>
      </c>
      <c r="C142">
        <f>C120</f>
        <v>3327.5806200000002</v>
      </c>
      <c r="AN142">
        <v>19</v>
      </c>
      <c r="AO142" s="55">
        <f t="shared" si="4"/>
        <v>1119749.4919386003</v>
      </c>
      <c r="AP142">
        <f t="shared" si="5"/>
        <v>19</v>
      </c>
    </row>
    <row r="143" spans="1:42" x14ac:dyDescent="0.2">
      <c r="A143" t="s">
        <v>109</v>
      </c>
      <c r="B143" t="s">
        <v>110</v>
      </c>
      <c r="C143">
        <f>C138*(C140^2+C139^2)/(C140^2-C139^2)</f>
        <v>1538.4374912100966</v>
      </c>
      <c r="AN143">
        <v>19.099999999999898</v>
      </c>
      <c r="AO143" s="55">
        <f t="shared" si="4"/>
        <v>1131490.9410595729</v>
      </c>
      <c r="AP143">
        <f t="shared" si="5"/>
        <v>19.099999999999898</v>
      </c>
    </row>
    <row r="144" spans="1:42" x14ac:dyDescent="0.2">
      <c r="A144" t="s">
        <v>111</v>
      </c>
      <c r="B144" t="s">
        <v>31</v>
      </c>
      <c r="C144">
        <f>C138*C139^2/(C140^2-C139^2)</f>
        <v>684.2187456050483</v>
      </c>
      <c r="AN144">
        <v>19.1999999999999</v>
      </c>
      <c r="AO144" s="55">
        <f t="shared" si="4"/>
        <v>1143292.8218568421</v>
      </c>
      <c r="AP144">
        <f t="shared" si="5"/>
        <v>19.1999999999999</v>
      </c>
    </row>
    <row r="145" spans="1:42" x14ac:dyDescent="0.2">
      <c r="A145" t="s">
        <v>112</v>
      </c>
      <c r="B145" t="s">
        <v>113</v>
      </c>
      <c r="C145" s="8">
        <f>-C138</f>
        <v>-170</v>
      </c>
      <c r="AN145">
        <v>19.299999999999901</v>
      </c>
      <c r="AO145" s="55">
        <f t="shared" si="4"/>
        <v>1155155.121764025</v>
      </c>
      <c r="AP145">
        <f t="shared" si="5"/>
        <v>19.299999999999901</v>
      </c>
    </row>
    <row r="146" spans="1:42" x14ac:dyDescent="0.2">
      <c r="A146" t="s">
        <v>114</v>
      </c>
      <c r="B146" t="s">
        <v>115</v>
      </c>
      <c r="C146">
        <f>2^0.5/2</f>
        <v>0.70710678118654757</v>
      </c>
      <c r="AN146">
        <v>19.399999999999899</v>
      </c>
      <c r="AO146" s="55">
        <f t="shared" si="4"/>
        <v>1167077.8282147506</v>
      </c>
      <c r="AP146">
        <f t="shared" si="5"/>
        <v>19.399999999999899</v>
      </c>
    </row>
    <row r="147" spans="1:42" x14ac:dyDescent="0.2">
      <c r="A147" t="s">
        <v>116</v>
      </c>
      <c r="B147" t="s">
        <v>117</v>
      </c>
      <c r="C147">
        <f>(C144-C143)^2</f>
        <v>729689.66534306225</v>
      </c>
      <c r="AN147">
        <v>19.499999999999901</v>
      </c>
      <c r="AO147" s="55">
        <f t="shared" si="4"/>
        <v>1179060.9286426492</v>
      </c>
      <c r="AP147">
        <f t="shared" si="5"/>
        <v>19.499999999999901</v>
      </c>
    </row>
    <row r="148" spans="1:42" x14ac:dyDescent="0.2">
      <c r="A148" t="s">
        <v>118</v>
      </c>
      <c r="B148" t="s">
        <v>117</v>
      </c>
      <c r="C148">
        <f>(C145-C143)^2</f>
        <v>2918758.661372249</v>
      </c>
      <c r="AN148">
        <v>19.599999999999898</v>
      </c>
      <c r="AO148" s="55">
        <f t="shared" si="4"/>
        <v>1191104.4104813491</v>
      </c>
      <c r="AP148">
        <f t="shared" si="5"/>
        <v>19.599999999999898</v>
      </c>
    </row>
    <row r="149" spans="1:42" x14ac:dyDescent="0.2">
      <c r="A149" t="s">
        <v>119</v>
      </c>
      <c r="B149" t="s">
        <v>117</v>
      </c>
      <c r="C149">
        <f>(C145-C144)^2</f>
        <v>729689.66534306225</v>
      </c>
      <c r="AN149">
        <v>19.6999999999999</v>
      </c>
      <c r="AO149" s="55">
        <f t="shared" si="4"/>
        <v>1203208.2611644815</v>
      </c>
      <c r="AP149">
        <f t="shared" si="5"/>
        <v>19.6999999999999</v>
      </c>
    </row>
    <row r="150" spans="1:42" x14ac:dyDescent="0.2">
      <c r="A150" t="s">
        <v>120</v>
      </c>
      <c r="B150" t="s">
        <v>113</v>
      </c>
      <c r="C150">
        <f>(C147+C148+C149)^0.5</f>
        <v>2092.4000554526788</v>
      </c>
      <c r="AN150">
        <v>19.799999999999901</v>
      </c>
      <c r="AO150" s="55">
        <f t="shared" si="4"/>
        <v>1215372.4681256744</v>
      </c>
      <c r="AP150">
        <f t="shared" si="5"/>
        <v>19.799999999999901</v>
      </c>
    </row>
    <row r="151" spans="1:42" x14ac:dyDescent="0.2">
      <c r="A151" t="s">
        <v>121</v>
      </c>
      <c r="B151" t="s">
        <v>113</v>
      </c>
      <c r="C151">
        <f>C146*C150*1.5</f>
        <v>2219.3254022485462</v>
      </c>
      <c r="AN151">
        <v>19.899999999999899</v>
      </c>
      <c r="AO151" s="55">
        <f t="shared" si="4"/>
        <v>1227597.0187985571</v>
      </c>
      <c r="AP151">
        <f t="shared" si="5"/>
        <v>19.899999999999899</v>
      </c>
    </row>
    <row r="152" spans="1:42" x14ac:dyDescent="0.2">
      <c r="A152" t="s">
        <v>122</v>
      </c>
      <c r="B152" t="s">
        <v>113</v>
      </c>
      <c r="C152">
        <f>C151*2.25/1.5</f>
        <v>3328.9881033728193</v>
      </c>
      <c r="AN152">
        <v>19.999999999999901</v>
      </c>
      <c r="AO152" s="55">
        <f t="shared" si="4"/>
        <v>1239881.9006167594</v>
      </c>
      <c r="AP152">
        <f t="shared" si="5"/>
        <v>19.999999999999901</v>
      </c>
    </row>
    <row r="153" spans="1:42" x14ac:dyDescent="0.2">
      <c r="A153" t="s">
        <v>123</v>
      </c>
      <c r="C153" t="str">
        <f>IF(C151&gt;C141,"Yes", "NO")</f>
        <v>NO</v>
      </c>
      <c r="AN153">
        <v>20.099999999999898</v>
      </c>
      <c r="AO153" s="55">
        <f t="shared" si="4"/>
        <v>1252227.1010139105</v>
      </c>
      <c r="AP153">
        <f t="shared" si="5"/>
        <v>20.099999999999898</v>
      </c>
    </row>
    <row r="154" spans="1:42" x14ac:dyDescent="0.2">
      <c r="A154" t="s">
        <v>124</v>
      </c>
      <c r="C154" t="str">
        <f>IF(C152&gt;C142,"Yes", "NO")</f>
        <v>Yes</v>
      </c>
      <c r="AN154">
        <v>20.1999999999999</v>
      </c>
      <c r="AO154" s="55">
        <f t="shared" si="4"/>
        <v>1264632.6074236401</v>
      </c>
      <c r="AP154">
        <f t="shared" si="5"/>
        <v>20.1999999999999</v>
      </c>
    </row>
    <row r="155" spans="1:42" x14ac:dyDescent="0.2">
      <c r="A155" t="s">
        <v>125</v>
      </c>
      <c r="C155">
        <f>(C139/(C140-C139))</f>
        <v>8.5219220196066576</v>
      </c>
      <c r="AN155">
        <v>20.299999999999901</v>
      </c>
      <c r="AO155" s="55">
        <f t="shared" si="4"/>
        <v>1277098.4072795778</v>
      </c>
      <c r="AP155">
        <f t="shared" si="5"/>
        <v>20.299999999999901</v>
      </c>
    </row>
    <row r="156" spans="1:42" x14ac:dyDescent="0.2">
      <c r="A156" t="s">
        <v>126</v>
      </c>
      <c r="C156" t="str">
        <f>IF(C155&gt;10,"Thin Wall","Thick Wall")</f>
        <v>Thick Wall</v>
      </c>
      <c r="AN156">
        <v>20.399999999999899</v>
      </c>
      <c r="AO156" s="55">
        <f t="shared" si="4"/>
        <v>1289624.4880153516</v>
      </c>
      <c r="AP156">
        <f t="shared" si="5"/>
        <v>20.399999999999899</v>
      </c>
    </row>
    <row r="157" spans="1:42" x14ac:dyDescent="0.2">
      <c r="A157" t="s">
        <v>128</v>
      </c>
      <c r="C157">
        <f>MAX(C151/C141,C152/C142)</f>
        <v>1.0004229749880016</v>
      </c>
      <c r="AN157">
        <v>20.499999999999901</v>
      </c>
      <c r="AO157" s="55">
        <f t="shared" si="4"/>
        <v>1302210.8370645929</v>
      </c>
      <c r="AP157">
        <f t="shared" si="5"/>
        <v>20.499999999999901</v>
      </c>
    </row>
    <row r="158" spans="1:42" x14ac:dyDescent="0.2">
      <c r="AN158">
        <v>20.599999999999898</v>
      </c>
      <c r="AO158" s="55">
        <f t="shared" si="4"/>
        <v>1314857.4418609291</v>
      </c>
      <c r="AP158">
        <f t="shared" si="5"/>
        <v>20.599999999999898</v>
      </c>
    </row>
    <row r="159" spans="1:42" ht="12.95" customHeight="1" x14ac:dyDescent="0.2">
      <c r="A159" s="23" t="s">
        <v>132</v>
      </c>
      <c r="AN159">
        <v>20.6999999999999</v>
      </c>
      <c r="AO159" s="55">
        <f t="shared" si="4"/>
        <v>1327564.2898379914</v>
      </c>
      <c r="AP159">
        <f t="shared" si="5"/>
        <v>20.6999999999999</v>
      </c>
    </row>
    <row r="160" spans="1:42" x14ac:dyDescent="0.2">
      <c r="A160" t="s">
        <v>104</v>
      </c>
      <c r="B160" t="s">
        <v>31</v>
      </c>
      <c r="C160">
        <f>C138</f>
        <v>170</v>
      </c>
      <c r="AN160">
        <v>20.799999999999901</v>
      </c>
      <c r="AO160" s="55">
        <f t="shared" si="4"/>
        <v>1340331.3684294082</v>
      </c>
      <c r="AP160">
        <f t="shared" si="5"/>
        <v>20.799999999999901</v>
      </c>
    </row>
    <row r="161" spans="1:42" x14ac:dyDescent="0.2">
      <c r="A161" t="s">
        <v>105</v>
      </c>
      <c r="B161" t="s">
        <v>38</v>
      </c>
      <c r="C161" s="8">
        <f>C139</f>
        <v>31.1999999999999</v>
      </c>
      <c r="AN161">
        <v>20.899999999999899</v>
      </c>
      <c r="AO161" s="55">
        <f t="shared" si="4"/>
        <v>1353158.6650688085</v>
      </c>
      <c r="AP161">
        <f t="shared" si="5"/>
        <v>20.899999999999899</v>
      </c>
    </row>
    <row r="162" spans="1:42" x14ac:dyDescent="0.2">
      <c r="A162" t="s">
        <v>106</v>
      </c>
      <c r="B162" t="s">
        <v>38</v>
      </c>
      <c r="C162" s="26">
        <f>(C140-C139)*C157+C161</f>
        <v>34.862694489319601</v>
      </c>
      <c r="AN162">
        <v>20.999999999999901</v>
      </c>
      <c r="AO162" s="55">
        <f t="shared" si="4"/>
        <v>1366046.1671898223</v>
      </c>
      <c r="AP162">
        <f t="shared" si="5"/>
        <v>20.999999999999901</v>
      </c>
    </row>
    <row r="163" spans="1:42" x14ac:dyDescent="0.2">
      <c r="A163" t="s">
        <v>107</v>
      </c>
      <c r="B163" t="s">
        <v>31</v>
      </c>
      <c r="C163">
        <f>C141</f>
        <v>2953.4752841379309</v>
      </c>
      <c r="AN163">
        <v>21.099999999999898</v>
      </c>
      <c r="AO163" s="55">
        <f t="shared" si="4"/>
        <v>1378993.862226079</v>
      </c>
      <c r="AP163">
        <f t="shared" si="5"/>
        <v>21.099999999999898</v>
      </c>
    </row>
    <row r="164" spans="1:42" x14ac:dyDescent="0.2">
      <c r="A164" t="s">
        <v>108</v>
      </c>
      <c r="B164" t="s">
        <v>31</v>
      </c>
      <c r="C164">
        <f>C142</f>
        <v>3327.5806200000002</v>
      </c>
      <c r="AN164">
        <v>21.1999999999999</v>
      </c>
      <c r="AO164" s="55">
        <f t="shared" si="4"/>
        <v>1392001.7376112081</v>
      </c>
      <c r="AP164">
        <f t="shared" si="5"/>
        <v>21.1999999999999</v>
      </c>
    </row>
    <row r="165" spans="1:42" x14ac:dyDescent="0.2">
      <c r="A165" t="s">
        <v>109</v>
      </c>
      <c r="B165" t="s">
        <v>110</v>
      </c>
      <c r="C165">
        <f>C160*(C162^2+C161^2)/(C162^2-C161^2)</f>
        <v>1537.8268571695626</v>
      </c>
      <c r="AN165">
        <v>21.299999999999901</v>
      </c>
      <c r="AO165" s="55">
        <f t="shared" si="4"/>
        <v>1405069.7807788388</v>
      </c>
      <c r="AP165">
        <f t="shared" si="5"/>
        <v>21.299999999999901</v>
      </c>
    </row>
    <row r="166" spans="1:42" x14ac:dyDescent="0.2">
      <c r="A166" t="s">
        <v>111</v>
      </c>
      <c r="B166" t="s">
        <v>31</v>
      </c>
      <c r="C166">
        <f>C160*C161^2/(C162^2-C161^2)</f>
        <v>683.91342858478129</v>
      </c>
      <c r="AN166">
        <v>21.399999999999899</v>
      </c>
      <c r="AO166" s="55">
        <f t="shared" si="4"/>
        <v>1418197.9791625997</v>
      </c>
      <c r="AP166">
        <f t="shared" si="5"/>
        <v>21.399999999999899</v>
      </c>
    </row>
    <row r="167" spans="1:42" x14ac:dyDescent="0.2">
      <c r="A167" t="s">
        <v>112</v>
      </c>
      <c r="B167" t="s">
        <v>113</v>
      </c>
      <c r="C167" s="8">
        <f>-C160</f>
        <v>-170</v>
      </c>
      <c r="AN167">
        <v>21.499999999999901</v>
      </c>
      <c r="AO167" s="55">
        <f t="shared" si="4"/>
        <v>1431386.3201961217</v>
      </c>
      <c r="AP167">
        <f t="shared" si="5"/>
        <v>21.499999999999901</v>
      </c>
    </row>
    <row r="168" spans="1:42" x14ac:dyDescent="0.2">
      <c r="A168" t="s">
        <v>114</v>
      </c>
      <c r="B168" t="s">
        <v>115</v>
      </c>
      <c r="C168">
        <f>2^0.5/2</f>
        <v>0.70710678118654757</v>
      </c>
      <c r="AN168">
        <v>21.599999999999898</v>
      </c>
      <c r="AO168" s="55">
        <f t="shared" si="4"/>
        <v>1444634.7913130331</v>
      </c>
      <c r="AP168">
        <f t="shared" si="5"/>
        <v>21.599999999999898</v>
      </c>
    </row>
    <row r="169" spans="1:42" x14ac:dyDescent="0.2">
      <c r="A169" t="s">
        <v>116</v>
      </c>
      <c r="B169" t="s">
        <v>117</v>
      </c>
      <c r="C169">
        <f>(C166-C165)^2</f>
        <v>729168.14351741632</v>
      </c>
      <c r="AN169">
        <v>21.6999999999999</v>
      </c>
      <c r="AO169" s="55">
        <f t="shared" si="4"/>
        <v>1457943.3799469636</v>
      </c>
      <c r="AP169">
        <f t="shared" si="5"/>
        <v>21.6999999999999</v>
      </c>
    </row>
    <row r="170" spans="1:42" x14ac:dyDescent="0.2">
      <c r="A170" t="s">
        <v>118</v>
      </c>
      <c r="B170" t="s">
        <v>117</v>
      </c>
      <c r="C170">
        <f>(C167-C165)^2</f>
        <v>2916672.5740696653</v>
      </c>
      <c r="AN170">
        <v>21.799999999999901</v>
      </c>
      <c r="AO170" s="55">
        <f t="shared" si="4"/>
        <v>1471312.0735315429</v>
      </c>
      <c r="AP170">
        <f t="shared" si="5"/>
        <v>21.799999999999901</v>
      </c>
    </row>
    <row r="171" spans="1:42" x14ac:dyDescent="0.2">
      <c r="A171" t="s">
        <v>119</v>
      </c>
      <c r="B171" t="s">
        <v>117</v>
      </c>
      <c r="C171">
        <f>(C167-C166)^2</f>
        <v>729168.14351741632</v>
      </c>
      <c r="AN171">
        <v>21.899999999999899</v>
      </c>
      <c r="AO171" s="55">
        <f t="shared" si="4"/>
        <v>1484740.8595003993</v>
      </c>
      <c r="AP171">
        <f t="shared" si="5"/>
        <v>21.899999999999899</v>
      </c>
    </row>
    <row r="172" spans="1:42" x14ac:dyDescent="0.2">
      <c r="A172" t="s">
        <v>120</v>
      </c>
      <c r="B172" t="s">
        <v>113</v>
      </c>
      <c r="C172">
        <f>(C169+C170+C171)^0.5</f>
        <v>2091.6521845432376</v>
      </c>
      <c r="AN172">
        <v>21.999999999999901</v>
      </c>
      <c r="AO172" s="55">
        <f t="shared" si="4"/>
        <v>1498229.7252871636</v>
      </c>
      <c r="AP172">
        <f t="shared" si="5"/>
        <v>21.999999999999901</v>
      </c>
    </row>
    <row r="173" spans="1:42" x14ac:dyDescent="0.2">
      <c r="A173" t="s">
        <v>121</v>
      </c>
      <c r="B173" t="s">
        <v>113</v>
      </c>
      <c r="C173">
        <f>C168*C172*1.5</f>
        <v>2218.5321653612691</v>
      </c>
      <c r="AN173">
        <v>22.099999999999898</v>
      </c>
      <c r="AO173" s="55">
        <f t="shared" si="4"/>
        <v>1511778.6583254642</v>
      </c>
      <c r="AP173">
        <f t="shared" si="5"/>
        <v>22.099999999999898</v>
      </c>
    </row>
    <row r="174" spans="1:42" x14ac:dyDescent="0.2">
      <c r="A174" t="s">
        <v>122</v>
      </c>
      <c r="B174" t="s">
        <v>113</v>
      </c>
      <c r="C174">
        <f>C173*2.25/1.5</f>
        <v>3327.7982480419037</v>
      </c>
      <c r="AN174">
        <v>22.1999999999999</v>
      </c>
      <c r="AO174" s="55">
        <f t="shared" si="4"/>
        <v>1525387.6460489312</v>
      </c>
      <c r="AP174">
        <f t="shared" si="5"/>
        <v>22.1999999999999</v>
      </c>
    </row>
    <row r="175" spans="1:42" x14ac:dyDescent="0.2">
      <c r="A175" t="s">
        <v>123</v>
      </c>
      <c r="C175" t="str">
        <f>IF(C173&gt;C163,"Yes", "NO")</f>
        <v>NO</v>
      </c>
      <c r="AN175">
        <v>22.299999999999901</v>
      </c>
      <c r="AO175" s="55">
        <f t="shared" si="4"/>
        <v>1539056.6758911936</v>
      </c>
      <c r="AP175">
        <f t="shared" si="5"/>
        <v>22.299999999999901</v>
      </c>
    </row>
    <row r="176" spans="1:42" x14ac:dyDescent="0.2">
      <c r="A176" t="s">
        <v>124</v>
      </c>
      <c r="C176" t="str">
        <f>IF(C174&gt;C164,"Yes", "NO")</f>
        <v>Yes</v>
      </c>
      <c r="AN176">
        <v>22.399999999999899</v>
      </c>
      <c r="AO176" s="55">
        <f t="shared" si="4"/>
        <v>1552785.7352858803</v>
      </c>
      <c r="AP176">
        <f t="shared" si="5"/>
        <v>22.399999999999899</v>
      </c>
    </row>
    <row r="177" spans="1:42" x14ac:dyDescent="0.2">
      <c r="A177" t="s">
        <v>125</v>
      </c>
      <c r="C177">
        <f>(C161/(C162-C161))</f>
        <v>8.5183189837367248</v>
      </c>
      <c r="AN177">
        <v>22.499999999999901</v>
      </c>
      <c r="AO177" s="55">
        <f t="shared" si="4"/>
        <v>1566574.8116666214</v>
      </c>
      <c r="AP177">
        <f t="shared" si="5"/>
        <v>22.499999999999901</v>
      </c>
    </row>
    <row r="178" spans="1:42" x14ac:dyDescent="0.2">
      <c r="A178" t="s">
        <v>126</v>
      </c>
      <c r="C178" t="str">
        <f>IF(C177&gt;10,"Thin Wall","Thick Wall")</f>
        <v>Thick Wall</v>
      </c>
      <c r="AN178">
        <v>22.599999999999898</v>
      </c>
      <c r="AO178" s="55">
        <f t="shared" si="4"/>
        <v>1580423.8924670457</v>
      </c>
      <c r="AP178">
        <f t="shared" si="5"/>
        <v>22.599999999999898</v>
      </c>
    </row>
    <row r="179" spans="1:42" x14ac:dyDescent="0.2">
      <c r="A179" t="s">
        <v>128</v>
      </c>
      <c r="C179">
        <f>MAX(C173/C163,C174/C164)</f>
        <v>1.0000654012830208</v>
      </c>
      <c r="AN179">
        <v>22.6999999999999</v>
      </c>
      <c r="AO179" s="55">
        <f t="shared" si="4"/>
        <v>1594332.9651207838</v>
      </c>
      <c r="AP179">
        <f t="shared" si="5"/>
        <v>22.6999999999999</v>
      </c>
    </row>
    <row r="180" spans="1:42" x14ac:dyDescent="0.2">
      <c r="AN180">
        <v>22.799999999999901</v>
      </c>
      <c r="AO180" s="55">
        <f t="shared" si="4"/>
        <v>1608302.017061464</v>
      </c>
      <c r="AP180">
        <f t="shared" si="5"/>
        <v>22.799999999999901</v>
      </c>
    </row>
    <row r="181" spans="1:42" ht="12.95" customHeight="1" x14ac:dyDescent="0.2">
      <c r="A181" s="23" t="s">
        <v>133</v>
      </c>
      <c r="AN181">
        <v>22.899999999999899</v>
      </c>
      <c r="AO181" s="55">
        <f t="shared" si="4"/>
        <v>1622331.0357227155</v>
      </c>
      <c r="AP181">
        <f t="shared" si="5"/>
        <v>22.899999999999899</v>
      </c>
    </row>
    <row r="182" spans="1:42" x14ac:dyDescent="0.2">
      <c r="A182" t="s">
        <v>134</v>
      </c>
      <c r="B182" t="s">
        <v>38</v>
      </c>
      <c r="C182" s="27">
        <f>C162-C161</f>
        <v>3.6626944893197013</v>
      </c>
      <c r="D182" t="s">
        <v>135</v>
      </c>
      <c r="AN182">
        <v>22.999999999999901</v>
      </c>
      <c r="AO182" s="55">
        <f t="shared" si="4"/>
        <v>1636420.0085381686</v>
      </c>
      <c r="AP182">
        <f t="shared" si="5"/>
        <v>22.999999999999901</v>
      </c>
    </row>
    <row r="183" spans="1:42" x14ac:dyDescent="0.2">
      <c r="A183" t="s">
        <v>136</v>
      </c>
      <c r="B183" t="s">
        <v>51</v>
      </c>
      <c r="C183" s="10">
        <f>(C182-C61)/C61</f>
        <v>2.1276286210916328E-2</v>
      </c>
      <c r="AN183">
        <v>23.099999999999898</v>
      </c>
      <c r="AO183" s="55">
        <f t="shared" si="4"/>
        <v>1650568.9229414517</v>
      </c>
      <c r="AP183">
        <f t="shared" si="5"/>
        <v>23.099999999999898</v>
      </c>
    </row>
    <row r="184" spans="1:42" x14ac:dyDescent="0.2">
      <c r="A184" t="s">
        <v>79</v>
      </c>
      <c r="B184" t="s">
        <v>38</v>
      </c>
      <c r="C184" s="26">
        <f>C18+2*C182</f>
        <v>1007.3253889786394</v>
      </c>
      <c r="AN184">
        <v>23.1999999999999</v>
      </c>
      <c r="AO184" s="55">
        <f t="shared" si="4"/>
        <v>1664777.7663661949</v>
      </c>
      <c r="AP184">
        <f t="shared" si="5"/>
        <v>23.1999999999999</v>
      </c>
    </row>
    <row r="185" spans="1:42" x14ac:dyDescent="0.2">
      <c r="A185" t="s">
        <v>81</v>
      </c>
      <c r="B185" t="s">
        <v>38</v>
      </c>
      <c r="C185" s="58">
        <f>C19+C182</f>
        <v>34.862694489319601</v>
      </c>
      <c r="AN185">
        <v>23.299999999999901</v>
      </c>
      <c r="AO185" s="55">
        <f t="shared" si="4"/>
        <v>1679046.5262460278</v>
      </c>
      <c r="AP185">
        <f t="shared" si="5"/>
        <v>23.299999999999901</v>
      </c>
    </row>
    <row r="186" spans="1:42" x14ac:dyDescent="0.2">
      <c r="A186" t="s">
        <v>82</v>
      </c>
      <c r="B186" t="s">
        <v>42</v>
      </c>
      <c r="C186" s="55">
        <f>(4/3*PI()*C185^3+PI()*C185^2*(C184-2*C185))</f>
        <v>3757541.3099990683</v>
      </c>
      <c r="AN186">
        <v>23.399999999999899</v>
      </c>
      <c r="AO186" s="55">
        <f t="shared" si="4"/>
        <v>1693375.1900145784</v>
      </c>
      <c r="AP186">
        <f t="shared" si="5"/>
        <v>23.399999999999899</v>
      </c>
    </row>
    <row r="187" spans="1:42" x14ac:dyDescent="0.2">
      <c r="A187" t="s">
        <v>137</v>
      </c>
      <c r="B187" t="s">
        <v>42</v>
      </c>
      <c r="C187" s="55">
        <f>C186-C20</f>
        <v>762998.91790501587</v>
      </c>
      <c r="AN187">
        <v>23.499999999999901</v>
      </c>
      <c r="AO187" s="55">
        <f t="shared" si="4"/>
        <v>1707763.745105478</v>
      </c>
      <c r="AP187">
        <f t="shared" si="5"/>
        <v>23.499999999999901</v>
      </c>
    </row>
    <row r="188" spans="1:42" ht="12.95" customHeight="1" x14ac:dyDescent="0.2">
      <c r="A188" t="s">
        <v>138</v>
      </c>
      <c r="B188" t="s">
        <v>89</v>
      </c>
      <c r="C188" s="59">
        <f>C187/C70*C72</f>
        <v>2031.866118381057</v>
      </c>
      <c r="D188" s="40" t="s">
        <v>139</v>
      </c>
      <c r="AN188">
        <v>23.599999999999898</v>
      </c>
      <c r="AO188" s="55">
        <f t="shared" si="4"/>
        <v>1722212.178952354</v>
      </c>
      <c r="AP188">
        <f t="shared" si="5"/>
        <v>23.599999999999898</v>
      </c>
    </row>
    <row r="189" spans="1:42" x14ac:dyDescent="0.2">
      <c r="A189" t="s">
        <v>140</v>
      </c>
      <c r="B189" t="s">
        <v>89</v>
      </c>
      <c r="C189" s="10">
        <f>(C188-C72)/C72</f>
        <v>2.2537766800025512E-2</v>
      </c>
      <c r="AN189">
        <v>23.6999999999999</v>
      </c>
      <c r="AO189" s="55">
        <f t="shared" si="4"/>
        <v>1736720.4789888379</v>
      </c>
      <c r="AP189">
        <f t="shared" si="5"/>
        <v>23.6999999999999</v>
      </c>
    </row>
    <row r="190" spans="1:42" x14ac:dyDescent="0.2">
      <c r="A190" t="s">
        <v>141</v>
      </c>
      <c r="B190" t="s">
        <v>51</v>
      </c>
      <c r="C190" s="33">
        <f>C179-1</f>
        <v>6.5401283020793954E-5</v>
      </c>
      <c r="D190" t="s">
        <v>142</v>
      </c>
      <c r="AN190">
        <v>23.799999999999901</v>
      </c>
      <c r="AO190" s="55">
        <f t="shared" si="4"/>
        <v>1751288.6326485574</v>
      </c>
      <c r="AP190">
        <f t="shared" si="5"/>
        <v>23.799999999999901</v>
      </c>
    </row>
    <row r="191" spans="1:42" x14ac:dyDescent="0.2">
      <c r="AN191">
        <v>23.899999999999899</v>
      </c>
      <c r="AO191" s="55">
        <f t="shared" si="4"/>
        <v>1765916.6273651421</v>
      </c>
      <c r="AP191">
        <f t="shared" si="5"/>
        <v>23.899999999999899</v>
      </c>
    </row>
    <row r="192" spans="1:42" x14ac:dyDescent="0.2">
      <c r="A192" t="s">
        <v>143</v>
      </c>
      <c r="B192" t="s">
        <v>34</v>
      </c>
      <c r="C192" s="8">
        <f>C184/(2*C185)</f>
        <v>14.447038643086518</v>
      </c>
      <c r="AN192">
        <v>23.999999999999901</v>
      </c>
      <c r="AO192" s="55">
        <f t="shared" si="4"/>
        <v>1780604.4505722227</v>
      </c>
      <c r="AP192">
        <f t="shared" si="5"/>
        <v>23.999999999999901</v>
      </c>
    </row>
    <row r="193" spans="1:42" x14ac:dyDescent="0.2">
      <c r="A193" t="s">
        <v>144</v>
      </c>
      <c r="B193" t="s">
        <v>95</v>
      </c>
      <c r="C193" s="57">
        <f>C188*C73</f>
        <v>9041.8042267957044</v>
      </c>
      <c r="D193" s="29" t="s">
        <v>145</v>
      </c>
      <c r="AN193">
        <v>24.099999999999898</v>
      </c>
      <c r="AO193" s="55">
        <f t="shared" si="4"/>
        <v>1795352.0897034267</v>
      </c>
      <c r="AP193">
        <f t="shared" si="5"/>
        <v>24.099999999999898</v>
      </c>
    </row>
    <row r="194" spans="1:42" x14ac:dyDescent="0.2">
      <c r="AN194">
        <v>24.1999999999999</v>
      </c>
      <c r="AO194" s="55">
        <f t="shared" ref="AO194:AO257" si="6">4/3*PI()*AN194^3+PI()*AN194^2*($AM$2-2*AN194)</f>
        <v>1810159.5321923851</v>
      </c>
      <c r="AP194">
        <f t="shared" ref="AP194:AP257" si="7">AN194</f>
        <v>24.1999999999999</v>
      </c>
    </row>
    <row r="195" spans="1:42" x14ac:dyDescent="0.2">
      <c r="AN195">
        <v>24.299999999999901</v>
      </c>
      <c r="AO195" s="55">
        <f t="shared" si="6"/>
        <v>1825026.7654727269</v>
      </c>
      <c r="AP195">
        <f t="shared" si="7"/>
        <v>24.299999999999901</v>
      </c>
    </row>
    <row r="196" spans="1:42" x14ac:dyDescent="0.2">
      <c r="AN196">
        <v>24.399999999999899</v>
      </c>
      <c r="AO196" s="55">
        <f t="shared" si="6"/>
        <v>1839953.7769780804</v>
      </c>
      <c r="AP196">
        <f t="shared" si="7"/>
        <v>24.399999999999899</v>
      </c>
    </row>
    <row r="197" spans="1:42" x14ac:dyDescent="0.2">
      <c r="AN197">
        <v>24.499999999999901</v>
      </c>
      <c r="AO197" s="55">
        <f t="shared" si="6"/>
        <v>1854940.5541420763</v>
      </c>
      <c r="AP197">
        <f t="shared" si="7"/>
        <v>24.499999999999901</v>
      </c>
    </row>
    <row r="198" spans="1:42" x14ac:dyDescent="0.2">
      <c r="AN198">
        <v>24.599999999999898</v>
      </c>
      <c r="AO198" s="55">
        <f t="shared" si="6"/>
        <v>1869987.0843983428</v>
      </c>
      <c r="AP198">
        <f t="shared" si="7"/>
        <v>24.599999999999898</v>
      </c>
    </row>
    <row r="199" spans="1:42" x14ac:dyDescent="0.2">
      <c r="AN199">
        <v>24.6999999999999</v>
      </c>
      <c r="AO199" s="55">
        <f t="shared" si="6"/>
        <v>1885093.355180511</v>
      </c>
      <c r="AP199">
        <f t="shared" si="7"/>
        <v>24.6999999999999</v>
      </c>
    </row>
    <row r="200" spans="1:42" x14ac:dyDescent="0.2">
      <c r="AN200">
        <v>24.799999999999901</v>
      </c>
      <c r="AO200" s="55">
        <f t="shared" si="6"/>
        <v>1900259.3539222088</v>
      </c>
      <c r="AP200">
        <f t="shared" si="7"/>
        <v>24.799999999999901</v>
      </c>
    </row>
    <row r="201" spans="1:42" x14ac:dyDescent="0.2">
      <c r="AN201">
        <v>24.899999999999899</v>
      </c>
      <c r="AO201" s="55">
        <f t="shared" si="6"/>
        <v>1915485.0680570656</v>
      </c>
      <c r="AP201">
        <f t="shared" si="7"/>
        <v>24.899999999999899</v>
      </c>
    </row>
    <row r="202" spans="1:42" x14ac:dyDescent="0.2">
      <c r="AN202">
        <v>24.999999999999901</v>
      </c>
      <c r="AO202" s="55">
        <f t="shared" si="6"/>
        <v>1930770.485018712</v>
      </c>
      <c r="AP202">
        <f t="shared" si="7"/>
        <v>24.999999999999901</v>
      </c>
    </row>
    <row r="203" spans="1:42" x14ac:dyDescent="0.2">
      <c r="AN203">
        <v>25.099999999999898</v>
      </c>
      <c r="AO203" s="55">
        <f t="shared" si="6"/>
        <v>1946115.5922407757</v>
      </c>
      <c r="AP203">
        <f t="shared" si="7"/>
        <v>25.099999999999898</v>
      </c>
    </row>
    <row r="204" spans="1:42" x14ac:dyDescent="0.2">
      <c r="AN204">
        <v>25.1999999999999</v>
      </c>
      <c r="AO204" s="55">
        <f t="shared" si="6"/>
        <v>1961520.3771568877</v>
      </c>
      <c r="AP204">
        <f t="shared" si="7"/>
        <v>25.1999999999999</v>
      </c>
    </row>
    <row r="205" spans="1:42" x14ac:dyDescent="0.2">
      <c r="AN205">
        <v>25.299999999999901</v>
      </c>
      <c r="AO205" s="55">
        <f t="shared" si="6"/>
        <v>1976984.8272006765</v>
      </c>
      <c r="AP205">
        <f t="shared" si="7"/>
        <v>25.299999999999901</v>
      </c>
    </row>
    <row r="206" spans="1:42" x14ac:dyDescent="0.2">
      <c r="AN206">
        <v>25.399999999999899</v>
      </c>
      <c r="AO206" s="55">
        <f t="shared" si="6"/>
        <v>1992508.9298057712</v>
      </c>
      <c r="AP206">
        <f t="shared" si="7"/>
        <v>25.399999999999899</v>
      </c>
    </row>
    <row r="207" spans="1:42" x14ac:dyDescent="0.2">
      <c r="AN207">
        <v>25.499999999999901</v>
      </c>
      <c r="AO207" s="55">
        <f t="shared" si="6"/>
        <v>2008092.6724058022</v>
      </c>
      <c r="AP207">
        <f t="shared" si="7"/>
        <v>25.499999999999901</v>
      </c>
    </row>
    <row r="208" spans="1:42" x14ac:dyDescent="0.2">
      <c r="AN208">
        <v>25.599999999999898</v>
      </c>
      <c r="AO208" s="55">
        <f t="shared" si="6"/>
        <v>2023736.0424343981</v>
      </c>
      <c r="AP208">
        <f t="shared" si="7"/>
        <v>25.599999999999898</v>
      </c>
    </row>
    <row r="209" spans="40:42" x14ac:dyDescent="0.2">
      <c r="AN209">
        <v>25.6999999999999</v>
      </c>
      <c r="AO209" s="55">
        <f t="shared" si="6"/>
        <v>2039439.0273251892</v>
      </c>
      <c r="AP209">
        <f t="shared" si="7"/>
        <v>25.6999999999999</v>
      </c>
    </row>
    <row r="210" spans="40:42" x14ac:dyDescent="0.2">
      <c r="AN210">
        <v>25.799999999999901</v>
      </c>
      <c r="AO210" s="55">
        <f t="shared" si="6"/>
        <v>2055201.6145118035</v>
      </c>
      <c r="AP210">
        <f t="shared" si="7"/>
        <v>25.799999999999901</v>
      </c>
    </row>
    <row r="211" spans="40:42" x14ac:dyDescent="0.2">
      <c r="AN211">
        <v>25.899999999999899</v>
      </c>
      <c r="AO211" s="55">
        <f t="shared" si="6"/>
        <v>2071023.791427871</v>
      </c>
      <c r="AP211">
        <f t="shared" si="7"/>
        <v>25.899999999999899</v>
      </c>
    </row>
    <row r="212" spans="40:42" x14ac:dyDescent="0.2">
      <c r="AN212">
        <v>25.999999999999901</v>
      </c>
      <c r="AO212" s="55">
        <f t="shared" si="6"/>
        <v>2086905.5455070215</v>
      </c>
      <c r="AP212">
        <f t="shared" si="7"/>
        <v>25.999999999999901</v>
      </c>
    </row>
    <row r="213" spans="40:42" x14ac:dyDescent="0.2">
      <c r="AN213">
        <v>26.099999999999898</v>
      </c>
      <c r="AO213" s="55">
        <f t="shared" si="6"/>
        <v>2102846.8641828839</v>
      </c>
      <c r="AP213">
        <f t="shared" si="7"/>
        <v>26.099999999999898</v>
      </c>
    </row>
    <row r="214" spans="40:42" x14ac:dyDescent="0.2">
      <c r="AN214">
        <v>26.1999999999999</v>
      </c>
      <c r="AO214" s="55">
        <f t="shared" si="6"/>
        <v>2118847.7348890877</v>
      </c>
      <c r="AP214">
        <f t="shared" si="7"/>
        <v>26.1999999999999</v>
      </c>
    </row>
    <row r="215" spans="40:42" x14ac:dyDescent="0.2">
      <c r="AN215">
        <v>26.299999999999901</v>
      </c>
      <c r="AO215" s="55">
        <f t="shared" si="6"/>
        <v>2134908.1450592629</v>
      </c>
      <c r="AP215">
        <f t="shared" si="7"/>
        <v>26.299999999999901</v>
      </c>
    </row>
    <row r="216" spans="40:42" x14ac:dyDescent="0.2">
      <c r="AN216">
        <v>26.399999999999899</v>
      </c>
      <c r="AO216" s="55">
        <f t="shared" si="6"/>
        <v>2151028.082127037</v>
      </c>
      <c r="AP216">
        <f t="shared" si="7"/>
        <v>26.399999999999899</v>
      </c>
    </row>
    <row r="217" spans="40:42" x14ac:dyDescent="0.2">
      <c r="AN217">
        <v>26.499999999999901</v>
      </c>
      <c r="AO217" s="55">
        <f t="shared" si="6"/>
        <v>2167207.5335260425</v>
      </c>
      <c r="AP217">
        <f t="shared" si="7"/>
        <v>26.499999999999901</v>
      </c>
    </row>
    <row r="218" spans="40:42" x14ac:dyDescent="0.2">
      <c r="AN218">
        <v>26.599999999999898</v>
      </c>
      <c r="AO218" s="55">
        <f t="shared" si="6"/>
        <v>2183446.4866899056</v>
      </c>
      <c r="AP218">
        <f t="shared" si="7"/>
        <v>26.599999999999898</v>
      </c>
    </row>
    <row r="219" spans="40:42" x14ac:dyDescent="0.2">
      <c r="AN219">
        <v>26.6999999999999</v>
      </c>
      <c r="AO219" s="55">
        <f t="shared" si="6"/>
        <v>2199744.9290522574</v>
      </c>
      <c r="AP219">
        <f t="shared" si="7"/>
        <v>26.6999999999999</v>
      </c>
    </row>
    <row r="220" spans="40:42" x14ac:dyDescent="0.2">
      <c r="AN220">
        <v>26.799999999999901</v>
      </c>
      <c r="AO220" s="55">
        <f t="shared" si="6"/>
        <v>2216102.848046727</v>
      </c>
      <c r="AP220">
        <f t="shared" si="7"/>
        <v>26.799999999999901</v>
      </c>
    </row>
    <row r="221" spans="40:42" x14ac:dyDescent="0.2">
      <c r="AN221">
        <v>26.899999999999899</v>
      </c>
      <c r="AO221" s="55">
        <f t="shared" si="6"/>
        <v>2232520.2311069439</v>
      </c>
      <c r="AP221">
        <f t="shared" si="7"/>
        <v>26.899999999999899</v>
      </c>
    </row>
    <row r="222" spans="40:42" x14ac:dyDescent="0.2">
      <c r="AN222">
        <v>26.999999999999901</v>
      </c>
      <c r="AO222" s="55">
        <f t="shared" si="6"/>
        <v>2248997.0656665373</v>
      </c>
      <c r="AP222">
        <f t="shared" si="7"/>
        <v>26.999999999999901</v>
      </c>
    </row>
    <row r="223" spans="40:42" x14ac:dyDescent="0.2">
      <c r="AN223">
        <v>27.099999999999898</v>
      </c>
      <c r="AO223" s="55">
        <f t="shared" si="6"/>
        <v>2265533.3391591362</v>
      </c>
      <c r="AP223">
        <f t="shared" si="7"/>
        <v>27.099999999999898</v>
      </c>
    </row>
    <row r="224" spans="40:42" x14ac:dyDescent="0.2">
      <c r="AN224">
        <v>27.1999999999999</v>
      </c>
      <c r="AO224" s="55">
        <f t="shared" si="6"/>
        <v>2282129.0390183711</v>
      </c>
      <c r="AP224">
        <f t="shared" si="7"/>
        <v>27.1999999999999</v>
      </c>
    </row>
    <row r="225" spans="40:42" x14ac:dyDescent="0.2">
      <c r="AN225">
        <v>27.299999999999901</v>
      </c>
      <c r="AO225" s="55">
        <f t="shared" si="6"/>
        <v>2298784.1526778713</v>
      </c>
      <c r="AP225">
        <f t="shared" si="7"/>
        <v>27.299999999999901</v>
      </c>
    </row>
    <row r="226" spans="40:42" x14ac:dyDescent="0.2">
      <c r="AN226">
        <v>27.399999999999899</v>
      </c>
      <c r="AO226" s="55">
        <f t="shared" si="6"/>
        <v>2315498.6675712634</v>
      </c>
      <c r="AP226">
        <f t="shared" si="7"/>
        <v>27.399999999999899</v>
      </c>
    </row>
    <row r="227" spans="40:42" x14ac:dyDescent="0.2">
      <c r="AN227">
        <v>27.499999999999901</v>
      </c>
      <c r="AO227" s="55">
        <f t="shared" si="6"/>
        <v>2332272.5711321807</v>
      </c>
      <c r="AP227">
        <f t="shared" si="7"/>
        <v>27.499999999999901</v>
      </c>
    </row>
    <row r="228" spans="40:42" x14ac:dyDescent="0.2">
      <c r="AN228">
        <v>27.599999999999898</v>
      </c>
      <c r="AO228" s="55">
        <f t="shared" si="6"/>
        <v>2349105.8507942501</v>
      </c>
      <c r="AP228">
        <f t="shared" si="7"/>
        <v>27.599999999999898</v>
      </c>
    </row>
    <row r="229" spans="40:42" x14ac:dyDescent="0.2">
      <c r="AN229">
        <v>27.6999999999999</v>
      </c>
      <c r="AO229" s="55">
        <f t="shared" si="6"/>
        <v>2365998.4939911021</v>
      </c>
      <c r="AP229">
        <f t="shared" si="7"/>
        <v>27.6999999999999</v>
      </c>
    </row>
    <row r="230" spans="40:42" x14ac:dyDescent="0.2">
      <c r="AN230">
        <v>27.799999999999901</v>
      </c>
      <c r="AO230" s="55">
        <f t="shared" si="6"/>
        <v>2382950.4881563662</v>
      </c>
      <c r="AP230">
        <f t="shared" si="7"/>
        <v>27.799999999999901</v>
      </c>
    </row>
    <row r="231" spans="40:42" x14ac:dyDescent="0.2">
      <c r="AN231">
        <v>27.899999999999899</v>
      </c>
      <c r="AO231" s="55">
        <f t="shared" si="6"/>
        <v>2399961.8207236701</v>
      </c>
      <c r="AP231">
        <f t="shared" si="7"/>
        <v>27.899999999999899</v>
      </c>
    </row>
    <row r="232" spans="40:42" x14ac:dyDescent="0.2">
      <c r="AN232">
        <v>27.999999999999901</v>
      </c>
      <c r="AO232" s="55">
        <f t="shared" si="6"/>
        <v>2417032.4791266457</v>
      </c>
      <c r="AP232">
        <f t="shared" si="7"/>
        <v>27.999999999999901</v>
      </c>
    </row>
    <row r="233" spans="40:42" x14ac:dyDescent="0.2">
      <c r="AN233">
        <v>28.099999999999898</v>
      </c>
      <c r="AO233" s="55">
        <f t="shared" si="6"/>
        <v>2434162.4507989199</v>
      </c>
      <c r="AP233">
        <f t="shared" si="7"/>
        <v>28.099999999999898</v>
      </c>
    </row>
    <row r="234" spans="40:42" x14ac:dyDescent="0.2">
      <c r="AN234">
        <v>28.1999999999999</v>
      </c>
      <c r="AO234" s="55">
        <f t="shared" si="6"/>
        <v>2451351.723174124</v>
      </c>
      <c r="AP234">
        <f t="shared" si="7"/>
        <v>28.1999999999999</v>
      </c>
    </row>
    <row r="235" spans="40:42" x14ac:dyDescent="0.2">
      <c r="AN235">
        <v>28.299999999999901</v>
      </c>
      <c r="AO235" s="55">
        <f t="shared" si="6"/>
        <v>2468600.2836858863</v>
      </c>
      <c r="AP235">
        <f t="shared" si="7"/>
        <v>28.299999999999901</v>
      </c>
    </row>
    <row r="236" spans="40:42" x14ac:dyDescent="0.2">
      <c r="AN236">
        <v>28.399999999999899</v>
      </c>
      <c r="AO236" s="55">
        <f t="shared" si="6"/>
        <v>2485908.1197678358</v>
      </c>
      <c r="AP236">
        <f t="shared" si="7"/>
        <v>28.399999999999899</v>
      </c>
    </row>
    <row r="237" spans="40:42" x14ac:dyDescent="0.2">
      <c r="AN237">
        <v>28.499999999999901</v>
      </c>
      <c r="AO237" s="55">
        <f t="shared" si="6"/>
        <v>2503275.2188536045</v>
      </c>
      <c r="AP237">
        <f t="shared" si="7"/>
        <v>28.499999999999901</v>
      </c>
    </row>
    <row r="238" spans="40:42" x14ac:dyDescent="0.2">
      <c r="AN238">
        <v>28.599999999999898</v>
      </c>
      <c r="AO238" s="55">
        <f t="shared" si="6"/>
        <v>2520701.5683768182</v>
      </c>
      <c r="AP238">
        <f t="shared" si="7"/>
        <v>28.599999999999898</v>
      </c>
    </row>
    <row r="239" spans="40:42" x14ac:dyDescent="0.2">
      <c r="AN239">
        <v>28.6999999999999</v>
      </c>
      <c r="AO239" s="55">
        <f t="shared" si="6"/>
        <v>2538187.1557711088</v>
      </c>
      <c r="AP239">
        <f t="shared" si="7"/>
        <v>28.6999999999999</v>
      </c>
    </row>
    <row r="240" spans="40:42" x14ac:dyDescent="0.2">
      <c r="AN240">
        <v>28.799999999999901</v>
      </c>
      <c r="AO240" s="55">
        <f t="shared" si="6"/>
        <v>2555731.9684701054</v>
      </c>
      <c r="AP240">
        <f t="shared" si="7"/>
        <v>28.799999999999901</v>
      </c>
    </row>
    <row r="241" spans="40:42" x14ac:dyDescent="0.2">
      <c r="AN241">
        <v>28.899999999999899</v>
      </c>
      <c r="AO241" s="55">
        <f t="shared" si="6"/>
        <v>2573335.9939074353</v>
      </c>
      <c r="AP241">
        <f t="shared" si="7"/>
        <v>28.899999999999899</v>
      </c>
    </row>
    <row r="242" spans="40:42" x14ac:dyDescent="0.2">
      <c r="AN242">
        <v>28.999999999999901</v>
      </c>
      <c r="AO242" s="55">
        <f t="shared" si="6"/>
        <v>2590999.2195167309</v>
      </c>
      <c r="AP242">
        <f t="shared" si="7"/>
        <v>28.999999999999901</v>
      </c>
    </row>
    <row r="243" spans="40:42" x14ac:dyDescent="0.2">
      <c r="AN243">
        <v>29.099999999999898</v>
      </c>
      <c r="AO243" s="55">
        <f t="shared" si="6"/>
        <v>2608721.6327316188</v>
      </c>
      <c r="AP243">
        <f t="shared" si="7"/>
        <v>29.099999999999898</v>
      </c>
    </row>
    <row r="244" spans="40:42" x14ac:dyDescent="0.2">
      <c r="AN244">
        <v>29.1999999999999</v>
      </c>
      <c r="AO244" s="55">
        <f t="shared" si="6"/>
        <v>2626503.2209857311</v>
      </c>
      <c r="AP244">
        <f t="shared" si="7"/>
        <v>29.1999999999999</v>
      </c>
    </row>
    <row r="245" spans="40:42" x14ac:dyDescent="0.2">
      <c r="AN245">
        <v>29.299999999999901</v>
      </c>
      <c r="AO245" s="55">
        <f t="shared" si="6"/>
        <v>2644343.971712695</v>
      </c>
      <c r="AP245">
        <f t="shared" si="7"/>
        <v>29.299999999999901</v>
      </c>
    </row>
    <row r="246" spans="40:42" x14ac:dyDescent="0.2">
      <c r="AN246">
        <v>29.399999999999899</v>
      </c>
      <c r="AO246" s="55">
        <f t="shared" si="6"/>
        <v>2662243.8723461404</v>
      </c>
      <c r="AP246">
        <f t="shared" si="7"/>
        <v>29.399999999999899</v>
      </c>
    </row>
    <row r="247" spans="40:42" x14ac:dyDescent="0.2">
      <c r="AN247">
        <v>29.499999999999901</v>
      </c>
      <c r="AO247" s="55">
        <f t="shared" si="6"/>
        <v>2680202.910319698</v>
      </c>
      <c r="AP247">
        <f t="shared" si="7"/>
        <v>29.499999999999901</v>
      </c>
    </row>
    <row r="248" spans="40:42" x14ac:dyDescent="0.2">
      <c r="AN248">
        <v>29.599999999999898</v>
      </c>
      <c r="AO248" s="55">
        <f t="shared" si="6"/>
        <v>2698221.073066995</v>
      </c>
      <c r="AP248">
        <f t="shared" si="7"/>
        <v>29.599999999999898</v>
      </c>
    </row>
    <row r="249" spans="40:42" x14ac:dyDescent="0.2">
      <c r="AN249">
        <v>29.6999999999999</v>
      </c>
      <c r="AO249" s="55">
        <f t="shared" si="6"/>
        <v>2716298.3480216633</v>
      </c>
      <c r="AP249">
        <f t="shared" si="7"/>
        <v>29.6999999999999</v>
      </c>
    </row>
    <row r="250" spans="40:42" x14ac:dyDescent="0.2">
      <c r="AN250">
        <v>29.799999999999901</v>
      </c>
      <c r="AO250" s="55">
        <f t="shared" si="6"/>
        <v>2734434.72261733</v>
      </c>
      <c r="AP250">
        <f t="shared" si="7"/>
        <v>29.799999999999901</v>
      </c>
    </row>
    <row r="251" spans="40:42" x14ac:dyDescent="0.2">
      <c r="AN251">
        <v>29.899999999999899</v>
      </c>
      <c r="AO251" s="55">
        <f t="shared" si="6"/>
        <v>2752630.1842876254</v>
      </c>
      <c r="AP251">
        <f t="shared" si="7"/>
        <v>29.899999999999899</v>
      </c>
    </row>
    <row r="252" spans="40:42" x14ac:dyDescent="0.2">
      <c r="AN252">
        <v>29.999999999999901</v>
      </c>
      <c r="AO252" s="55">
        <f t="shared" si="6"/>
        <v>2770884.7204661793</v>
      </c>
      <c r="AP252">
        <f t="shared" si="7"/>
        <v>29.999999999999901</v>
      </c>
    </row>
    <row r="253" spans="40:42" x14ac:dyDescent="0.2">
      <c r="AN253">
        <v>30.099999999999898</v>
      </c>
      <c r="AO253" s="55">
        <f t="shared" si="6"/>
        <v>2789198.3185866196</v>
      </c>
      <c r="AP253">
        <f t="shared" si="7"/>
        <v>30.099999999999898</v>
      </c>
    </row>
    <row r="254" spans="40:42" x14ac:dyDescent="0.2">
      <c r="AN254">
        <v>30.1999999999999</v>
      </c>
      <c r="AO254" s="55">
        <f t="shared" si="6"/>
        <v>2807570.9660825785</v>
      </c>
      <c r="AP254">
        <f t="shared" si="7"/>
        <v>30.1999999999999</v>
      </c>
    </row>
    <row r="255" spans="40:42" x14ac:dyDescent="0.2">
      <c r="AN255">
        <v>30.299999999999901</v>
      </c>
      <c r="AO255" s="55">
        <f t="shared" si="6"/>
        <v>2826002.650387683</v>
      </c>
      <c r="AP255">
        <f t="shared" si="7"/>
        <v>30.299999999999901</v>
      </c>
    </row>
    <row r="256" spans="40:42" x14ac:dyDescent="0.2">
      <c r="AN256">
        <v>30.399999999999899</v>
      </c>
      <c r="AO256" s="55">
        <f t="shared" si="6"/>
        <v>2844493.358935562</v>
      </c>
      <c r="AP256">
        <f t="shared" si="7"/>
        <v>30.399999999999899</v>
      </c>
    </row>
    <row r="257" spans="40:42" x14ac:dyDescent="0.2">
      <c r="AN257">
        <v>30.499999999999901</v>
      </c>
      <c r="AO257" s="55">
        <f t="shared" si="6"/>
        <v>2863043.0791598479</v>
      </c>
      <c r="AP257">
        <f t="shared" si="7"/>
        <v>30.499999999999901</v>
      </c>
    </row>
    <row r="258" spans="40:42" x14ac:dyDescent="0.2">
      <c r="AN258">
        <v>30.599999999999898</v>
      </c>
      <c r="AO258" s="55">
        <f t="shared" ref="AO258:AO321" si="8">4/3*PI()*AN258^3+PI()*AN258^2*($AM$2-2*AN258)</f>
        <v>2881651.7984941667</v>
      </c>
      <c r="AP258">
        <f t="shared" ref="AP258:AP321" si="9">AN258</f>
        <v>30.599999999999898</v>
      </c>
    </row>
    <row r="259" spans="40:42" x14ac:dyDescent="0.2">
      <c r="AN259">
        <v>30.6999999999999</v>
      </c>
      <c r="AO259" s="55">
        <f t="shared" si="8"/>
        <v>2900319.5043721506</v>
      </c>
      <c r="AP259">
        <f t="shared" si="9"/>
        <v>30.6999999999999</v>
      </c>
    </row>
    <row r="260" spans="40:42" x14ac:dyDescent="0.2">
      <c r="AN260">
        <v>30.799999999999901</v>
      </c>
      <c r="AO260" s="55">
        <f t="shared" si="8"/>
        <v>2919046.184227427</v>
      </c>
      <c r="AP260">
        <f t="shared" si="9"/>
        <v>30.799999999999901</v>
      </c>
    </row>
    <row r="261" spans="40:42" x14ac:dyDescent="0.2">
      <c r="AN261">
        <v>30.899999999999899</v>
      </c>
      <c r="AO261" s="55">
        <f t="shared" si="8"/>
        <v>2937831.8254936254</v>
      </c>
      <c r="AP261">
        <f t="shared" si="9"/>
        <v>30.899999999999899</v>
      </c>
    </row>
    <row r="262" spans="40:42" x14ac:dyDescent="0.2">
      <c r="AN262">
        <v>30.999999999999901</v>
      </c>
      <c r="AO262" s="55">
        <f t="shared" si="8"/>
        <v>2956676.4156043767</v>
      </c>
      <c r="AP262">
        <f t="shared" si="9"/>
        <v>30.999999999999901</v>
      </c>
    </row>
    <row r="263" spans="40:42" x14ac:dyDescent="0.2">
      <c r="AN263">
        <v>31.099999999999898</v>
      </c>
      <c r="AO263" s="55">
        <f t="shared" si="8"/>
        <v>2975579.9419933087</v>
      </c>
      <c r="AP263">
        <f t="shared" si="9"/>
        <v>31.099999999999898</v>
      </c>
    </row>
    <row r="264" spans="40:42" x14ac:dyDescent="0.2">
      <c r="AN264">
        <v>31.1999999999999</v>
      </c>
      <c r="AO264" s="55">
        <f t="shared" si="8"/>
        <v>2994542.3920940524</v>
      </c>
      <c r="AP264">
        <f t="shared" si="9"/>
        <v>31.1999999999999</v>
      </c>
    </row>
    <row r="265" spans="40:42" x14ac:dyDescent="0.2">
      <c r="AN265">
        <v>31.299999999999901</v>
      </c>
      <c r="AO265" s="55">
        <f t="shared" si="8"/>
        <v>3013563.753340235</v>
      </c>
      <c r="AP265">
        <f t="shared" si="9"/>
        <v>31.299999999999901</v>
      </c>
    </row>
    <row r="266" spans="40:42" x14ac:dyDescent="0.2">
      <c r="AN266">
        <v>31.399999999999899</v>
      </c>
      <c r="AO266" s="55">
        <f t="shared" si="8"/>
        <v>3032644.0131654874</v>
      </c>
      <c r="AP266">
        <f t="shared" si="9"/>
        <v>31.399999999999899</v>
      </c>
    </row>
    <row r="267" spans="40:42" x14ac:dyDescent="0.2">
      <c r="AN267">
        <v>31.499999999999901</v>
      </c>
      <c r="AO267" s="55">
        <f t="shared" si="8"/>
        <v>3051783.1590034394</v>
      </c>
      <c r="AP267">
        <f t="shared" si="9"/>
        <v>31.499999999999901</v>
      </c>
    </row>
    <row r="268" spans="40:42" x14ac:dyDescent="0.2">
      <c r="AN268">
        <v>31.599999999999898</v>
      </c>
      <c r="AO268" s="55">
        <f t="shared" si="8"/>
        <v>3070981.1782877184</v>
      </c>
      <c r="AP268">
        <f t="shared" si="9"/>
        <v>31.599999999999898</v>
      </c>
    </row>
    <row r="269" spans="40:42" x14ac:dyDescent="0.2">
      <c r="AN269">
        <v>31.6999999999999</v>
      </c>
      <c r="AO269" s="55">
        <f t="shared" si="8"/>
        <v>3090238.0584519566</v>
      </c>
      <c r="AP269">
        <f t="shared" si="9"/>
        <v>31.6999999999999</v>
      </c>
    </row>
    <row r="270" spans="40:42" x14ac:dyDescent="0.2">
      <c r="AN270">
        <v>31.799999999999901</v>
      </c>
      <c r="AO270" s="55">
        <f t="shared" si="8"/>
        <v>3109553.7869297811</v>
      </c>
      <c r="AP270">
        <f t="shared" si="9"/>
        <v>31.799999999999901</v>
      </c>
    </row>
    <row r="271" spans="40:42" x14ac:dyDescent="0.2">
      <c r="AN271">
        <v>31.899999999999899</v>
      </c>
      <c r="AO271" s="55">
        <f t="shared" si="8"/>
        <v>3128928.3511548215</v>
      </c>
      <c r="AP271">
        <f t="shared" si="9"/>
        <v>31.899999999999899</v>
      </c>
    </row>
    <row r="272" spans="40:42" x14ac:dyDescent="0.2">
      <c r="AN272">
        <v>31.999999999999901</v>
      </c>
      <c r="AO272" s="55">
        <f t="shared" si="8"/>
        <v>3148361.7385607087</v>
      </c>
      <c r="AP272">
        <f t="shared" si="9"/>
        <v>31.999999999999901</v>
      </c>
    </row>
    <row r="273" spans="40:42" x14ac:dyDescent="0.2">
      <c r="AN273">
        <v>32.099999999999902</v>
      </c>
      <c r="AO273" s="55">
        <f t="shared" si="8"/>
        <v>3167853.9365810705</v>
      </c>
      <c r="AP273">
        <f t="shared" si="9"/>
        <v>32.099999999999902</v>
      </c>
    </row>
    <row r="274" spans="40:42" x14ac:dyDescent="0.2">
      <c r="AN274">
        <v>32.199999999999903</v>
      </c>
      <c r="AO274" s="55">
        <f t="shared" si="8"/>
        <v>3187404.9326495375</v>
      </c>
      <c r="AP274">
        <f t="shared" si="9"/>
        <v>32.199999999999903</v>
      </c>
    </row>
    <row r="275" spans="40:42" x14ac:dyDescent="0.2">
      <c r="AN275">
        <v>32.299999999999898</v>
      </c>
      <c r="AO275" s="55">
        <f t="shared" si="8"/>
        <v>3207014.7141997367</v>
      </c>
      <c r="AP275">
        <f t="shared" si="9"/>
        <v>32.299999999999898</v>
      </c>
    </row>
    <row r="276" spans="40:42" x14ac:dyDescent="0.2">
      <c r="AN276">
        <v>32.399999999999899</v>
      </c>
      <c r="AO276" s="55">
        <f t="shared" si="8"/>
        <v>3226683.2686653007</v>
      </c>
      <c r="AP276">
        <f t="shared" si="9"/>
        <v>32.399999999999899</v>
      </c>
    </row>
    <row r="277" spans="40:42" x14ac:dyDescent="0.2">
      <c r="AN277">
        <v>32.499999999999901</v>
      </c>
      <c r="AO277" s="55">
        <f t="shared" si="8"/>
        <v>3246410.5834798585</v>
      </c>
      <c r="AP277">
        <f t="shared" si="9"/>
        <v>32.499999999999901</v>
      </c>
    </row>
    <row r="278" spans="40:42" x14ac:dyDescent="0.2">
      <c r="AN278">
        <v>32.599999999999902</v>
      </c>
      <c r="AO278" s="55">
        <f t="shared" si="8"/>
        <v>3266196.6460770369</v>
      </c>
      <c r="AP278">
        <f t="shared" si="9"/>
        <v>32.599999999999902</v>
      </c>
    </row>
    <row r="279" spans="40:42" x14ac:dyDescent="0.2">
      <c r="AN279">
        <v>32.699999999999903</v>
      </c>
      <c r="AO279" s="55">
        <f t="shared" si="8"/>
        <v>3286041.4438904673</v>
      </c>
      <c r="AP279">
        <f t="shared" si="9"/>
        <v>32.699999999999903</v>
      </c>
    </row>
    <row r="280" spans="40:42" x14ac:dyDescent="0.2">
      <c r="AN280">
        <v>32.799999999999898</v>
      </c>
      <c r="AO280" s="55">
        <f t="shared" si="8"/>
        <v>3305944.9643537779</v>
      </c>
      <c r="AP280">
        <f t="shared" si="9"/>
        <v>32.799999999999898</v>
      </c>
    </row>
    <row r="281" spans="40:42" x14ac:dyDescent="0.2">
      <c r="AN281">
        <v>32.899999999999899</v>
      </c>
      <c r="AO281" s="55">
        <f t="shared" si="8"/>
        <v>3325907.1949005988</v>
      </c>
      <c r="AP281">
        <f t="shared" si="9"/>
        <v>32.899999999999899</v>
      </c>
    </row>
    <row r="282" spans="40:42" x14ac:dyDescent="0.2">
      <c r="AN282">
        <v>32.999999999999901</v>
      </c>
      <c r="AO282" s="55">
        <f t="shared" si="8"/>
        <v>3345928.1229645605</v>
      </c>
      <c r="AP282">
        <f t="shared" si="9"/>
        <v>32.999999999999901</v>
      </c>
    </row>
    <row r="283" spans="40:42" x14ac:dyDescent="0.2">
      <c r="AN283">
        <v>33.099999999999902</v>
      </c>
      <c r="AO283" s="55">
        <f t="shared" si="8"/>
        <v>3366007.7359792911</v>
      </c>
      <c r="AP283">
        <f t="shared" si="9"/>
        <v>33.099999999999902</v>
      </c>
    </row>
    <row r="284" spans="40:42" x14ac:dyDescent="0.2">
      <c r="AN284">
        <v>33.199999999999903</v>
      </c>
      <c r="AO284" s="55">
        <f t="shared" si="8"/>
        <v>3386146.0213784198</v>
      </c>
      <c r="AP284">
        <f t="shared" si="9"/>
        <v>33.199999999999903</v>
      </c>
    </row>
    <row r="285" spans="40:42" x14ac:dyDescent="0.2">
      <c r="AN285">
        <v>33.299999999999898</v>
      </c>
      <c r="AO285" s="55">
        <f t="shared" si="8"/>
        <v>3406342.9665955752</v>
      </c>
      <c r="AP285">
        <f t="shared" si="9"/>
        <v>33.299999999999898</v>
      </c>
    </row>
    <row r="286" spans="40:42" x14ac:dyDescent="0.2">
      <c r="AN286">
        <v>33.399999999999899</v>
      </c>
      <c r="AO286" s="55">
        <f t="shared" si="8"/>
        <v>3426598.5590643892</v>
      </c>
      <c r="AP286">
        <f t="shared" si="9"/>
        <v>33.399999999999899</v>
      </c>
    </row>
    <row r="287" spans="40:42" x14ac:dyDescent="0.2">
      <c r="AN287">
        <v>33.499999999999901</v>
      </c>
      <c r="AO287" s="55">
        <f t="shared" si="8"/>
        <v>3446912.7862184895</v>
      </c>
      <c r="AP287">
        <f t="shared" si="9"/>
        <v>33.499999999999901</v>
      </c>
    </row>
    <row r="288" spans="40:42" x14ac:dyDescent="0.2">
      <c r="AN288">
        <v>33.599999999999902</v>
      </c>
      <c r="AO288" s="55">
        <f t="shared" si="8"/>
        <v>3467285.6354915062</v>
      </c>
      <c r="AP288">
        <f t="shared" si="9"/>
        <v>33.599999999999902</v>
      </c>
    </row>
    <row r="289" spans="40:42" x14ac:dyDescent="0.2">
      <c r="AN289">
        <v>33.699999999999903</v>
      </c>
      <c r="AO289" s="55">
        <f t="shared" si="8"/>
        <v>3487717.0943170679</v>
      </c>
      <c r="AP289">
        <f t="shared" si="9"/>
        <v>33.699999999999903</v>
      </c>
    </row>
    <row r="290" spans="40:42" x14ac:dyDescent="0.2">
      <c r="AN290">
        <v>33.799999999999898</v>
      </c>
      <c r="AO290" s="55">
        <f t="shared" si="8"/>
        <v>3508207.1501288028</v>
      </c>
      <c r="AP290">
        <f t="shared" si="9"/>
        <v>33.799999999999898</v>
      </c>
    </row>
    <row r="291" spans="40:42" x14ac:dyDescent="0.2">
      <c r="AN291">
        <v>33.899999999999899</v>
      </c>
      <c r="AO291" s="55">
        <f t="shared" si="8"/>
        <v>3528755.7903603441</v>
      </c>
      <c r="AP291">
        <f t="shared" si="9"/>
        <v>33.899999999999899</v>
      </c>
    </row>
    <row r="292" spans="40:42" x14ac:dyDescent="0.2">
      <c r="AN292">
        <v>33.999999999999901</v>
      </c>
      <c r="AO292" s="55">
        <f t="shared" si="8"/>
        <v>3549363.0024453178</v>
      </c>
      <c r="AP292">
        <f t="shared" si="9"/>
        <v>33.999999999999901</v>
      </c>
    </row>
    <row r="293" spans="40:42" x14ac:dyDescent="0.2">
      <c r="AN293">
        <v>34.099999999999902</v>
      </c>
      <c r="AO293" s="55">
        <f t="shared" si="8"/>
        <v>3570028.7738173557</v>
      </c>
      <c r="AP293">
        <f t="shared" si="9"/>
        <v>34.099999999999902</v>
      </c>
    </row>
    <row r="294" spans="40:42" x14ac:dyDescent="0.2">
      <c r="AN294">
        <v>34.199999999999903</v>
      </c>
      <c r="AO294" s="55">
        <f t="shared" si="8"/>
        <v>3590753.0919100847</v>
      </c>
      <c r="AP294">
        <f t="shared" si="9"/>
        <v>34.199999999999903</v>
      </c>
    </row>
    <row r="295" spans="40:42" x14ac:dyDescent="0.2">
      <c r="AN295">
        <v>34.299999999999898</v>
      </c>
      <c r="AO295" s="55">
        <f t="shared" si="8"/>
        <v>3611535.9441571343</v>
      </c>
      <c r="AP295">
        <f t="shared" si="9"/>
        <v>34.299999999999898</v>
      </c>
    </row>
    <row r="296" spans="40:42" x14ac:dyDescent="0.2">
      <c r="AN296">
        <v>34.399999999999899</v>
      </c>
      <c r="AO296" s="55">
        <f t="shared" si="8"/>
        <v>3632377.3179921368</v>
      </c>
      <c r="AP296">
        <f t="shared" si="9"/>
        <v>34.399999999999899</v>
      </c>
    </row>
    <row r="297" spans="40:42" x14ac:dyDescent="0.2">
      <c r="AN297">
        <v>34.499999999999901</v>
      </c>
      <c r="AO297" s="55">
        <f t="shared" si="8"/>
        <v>3653277.2008487196</v>
      </c>
      <c r="AP297">
        <f t="shared" si="9"/>
        <v>34.499999999999901</v>
      </c>
    </row>
    <row r="298" spans="40:42" x14ac:dyDescent="0.2">
      <c r="AN298">
        <v>34.599999999999902</v>
      </c>
      <c r="AO298" s="55">
        <f t="shared" si="8"/>
        <v>3674235.5801605126</v>
      </c>
      <c r="AP298">
        <f t="shared" si="9"/>
        <v>34.599999999999902</v>
      </c>
    </row>
    <row r="299" spans="40:42" x14ac:dyDescent="0.2">
      <c r="AN299">
        <v>34.699999999999903</v>
      </c>
      <c r="AO299" s="55">
        <f t="shared" si="8"/>
        <v>3695252.443361144</v>
      </c>
      <c r="AP299">
        <f t="shared" si="9"/>
        <v>34.699999999999903</v>
      </c>
    </row>
    <row r="300" spans="40:42" x14ac:dyDescent="0.2">
      <c r="AN300">
        <v>34.799999999999898</v>
      </c>
      <c r="AO300" s="55">
        <f t="shared" si="8"/>
        <v>3716327.7778842431</v>
      </c>
      <c r="AP300">
        <f t="shared" si="9"/>
        <v>34.799999999999898</v>
      </c>
    </row>
    <row r="301" spans="40:42" x14ac:dyDescent="0.2">
      <c r="AN301">
        <v>34.899999999999899</v>
      </c>
      <c r="AO301" s="55">
        <f t="shared" si="8"/>
        <v>3737461.5711634411</v>
      </c>
      <c r="AP301">
        <f t="shared" si="9"/>
        <v>34.899999999999899</v>
      </c>
    </row>
    <row r="302" spans="40:42" x14ac:dyDescent="0.2">
      <c r="AN302">
        <v>34.999999999999901</v>
      </c>
      <c r="AO302" s="55">
        <f t="shared" si="8"/>
        <v>3758653.8106323667</v>
      </c>
      <c r="AP302">
        <f t="shared" si="9"/>
        <v>34.999999999999901</v>
      </c>
    </row>
    <row r="303" spans="40:42" x14ac:dyDescent="0.2">
      <c r="AN303">
        <v>35.099999999999902</v>
      </c>
      <c r="AO303" s="55">
        <f t="shared" si="8"/>
        <v>3779904.48372465</v>
      </c>
      <c r="AP303">
        <f t="shared" si="9"/>
        <v>35.099999999999902</v>
      </c>
    </row>
    <row r="304" spans="40:42" x14ac:dyDescent="0.2">
      <c r="AN304">
        <v>35.199999999999903</v>
      </c>
      <c r="AO304" s="55">
        <f t="shared" si="8"/>
        <v>3801213.5778739182</v>
      </c>
      <c r="AP304">
        <f t="shared" si="9"/>
        <v>35.199999999999903</v>
      </c>
    </row>
    <row r="305" spans="40:42" x14ac:dyDescent="0.2">
      <c r="AN305">
        <v>35.299999999999898</v>
      </c>
      <c r="AO305" s="55">
        <f t="shared" si="8"/>
        <v>3822581.0805138014</v>
      </c>
      <c r="AP305">
        <f t="shared" si="9"/>
        <v>35.299999999999898</v>
      </c>
    </row>
    <row r="306" spans="40:42" x14ac:dyDescent="0.2">
      <c r="AN306">
        <v>35.399999999999899</v>
      </c>
      <c r="AO306" s="55">
        <f t="shared" si="8"/>
        <v>3844006.9790779296</v>
      </c>
      <c r="AP306">
        <f t="shared" si="9"/>
        <v>35.399999999999899</v>
      </c>
    </row>
    <row r="307" spans="40:42" x14ac:dyDescent="0.2">
      <c r="AN307">
        <v>35.499999999999901</v>
      </c>
      <c r="AO307" s="55">
        <f t="shared" si="8"/>
        <v>3865491.2609999343</v>
      </c>
      <c r="AP307">
        <f t="shared" si="9"/>
        <v>35.499999999999901</v>
      </c>
    </row>
    <row r="308" spans="40:42" x14ac:dyDescent="0.2">
      <c r="AN308">
        <v>35.599999999999902</v>
      </c>
      <c r="AO308" s="55">
        <f t="shared" si="8"/>
        <v>3887033.9137134412</v>
      </c>
      <c r="AP308">
        <f t="shared" si="9"/>
        <v>35.599999999999902</v>
      </c>
    </row>
    <row r="309" spans="40:42" x14ac:dyDescent="0.2">
      <c r="AN309">
        <v>35.699999999999903</v>
      </c>
      <c r="AO309" s="55">
        <f t="shared" si="8"/>
        <v>3908634.9246520819</v>
      </c>
      <c r="AP309">
        <f t="shared" si="9"/>
        <v>35.699999999999903</v>
      </c>
    </row>
    <row r="310" spans="40:42" x14ac:dyDescent="0.2">
      <c r="AN310">
        <v>35.799999999999898</v>
      </c>
      <c r="AO310" s="55">
        <f t="shared" si="8"/>
        <v>3930294.2812494822</v>
      </c>
      <c r="AP310">
        <f t="shared" si="9"/>
        <v>35.799999999999898</v>
      </c>
    </row>
    <row r="311" spans="40:42" x14ac:dyDescent="0.2">
      <c r="AN311">
        <v>35.899999999999899</v>
      </c>
      <c r="AO311" s="55">
        <f t="shared" si="8"/>
        <v>3952011.9709392772</v>
      </c>
      <c r="AP311">
        <f t="shared" si="9"/>
        <v>35.899999999999899</v>
      </c>
    </row>
    <row r="312" spans="40:42" x14ac:dyDescent="0.2">
      <c r="AN312">
        <v>35.999999999999901</v>
      </c>
      <c r="AO312" s="55">
        <f t="shared" si="8"/>
        <v>3973787.9811550928</v>
      </c>
      <c r="AP312">
        <f t="shared" si="9"/>
        <v>35.999999999999901</v>
      </c>
    </row>
    <row r="313" spans="40:42" x14ac:dyDescent="0.2">
      <c r="AN313">
        <v>36.099999999999902</v>
      </c>
      <c r="AO313" s="55">
        <f t="shared" si="8"/>
        <v>3995622.2993305596</v>
      </c>
      <c r="AP313">
        <f t="shared" si="9"/>
        <v>36.099999999999902</v>
      </c>
    </row>
    <row r="314" spans="40:42" x14ac:dyDescent="0.2">
      <c r="AN314">
        <v>36.199999999999903</v>
      </c>
      <c r="AO314" s="55">
        <f t="shared" si="8"/>
        <v>4017514.9128993056</v>
      </c>
      <c r="AP314">
        <f t="shared" si="9"/>
        <v>36.199999999999903</v>
      </c>
    </row>
    <row r="315" spans="40:42" x14ac:dyDescent="0.2">
      <c r="AN315">
        <v>36.299999999999898</v>
      </c>
      <c r="AO315" s="55">
        <f t="shared" si="8"/>
        <v>4039465.8092949605</v>
      </c>
      <c r="AP315">
        <f t="shared" si="9"/>
        <v>36.299999999999898</v>
      </c>
    </row>
    <row r="316" spans="40:42" x14ac:dyDescent="0.2">
      <c r="AN316">
        <v>36.399999999999899</v>
      </c>
      <c r="AO316" s="55">
        <f t="shared" si="8"/>
        <v>4061474.9759511552</v>
      </c>
      <c r="AP316">
        <f t="shared" si="9"/>
        <v>36.399999999999899</v>
      </c>
    </row>
    <row r="317" spans="40:42" x14ac:dyDescent="0.2">
      <c r="AN317">
        <v>36.499999999999901</v>
      </c>
      <c r="AO317" s="55">
        <f t="shared" si="8"/>
        <v>4083542.4003015179</v>
      </c>
      <c r="AP317">
        <f t="shared" si="9"/>
        <v>36.499999999999901</v>
      </c>
    </row>
    <row r="318" spans="40:42" x14ac:dyDescent="0.2">
      <c r="AN318">
        <v>36.599999999999902</v>
      </c>
      <c r="AO318" s="55">
        <f t="shared" si="8"/>
        <v>4105668.0697796787</v>
      </c>
      <c r="AP318">
        <f t="shared" si="9"/>
        <v>36.599999999999902</v>
      </c>
    </row>
    <row r="319" spans="40:42" x14ac:dyDescent="0.2">
      <c r="AN319">
        <v>36.699999999999903</v>
      </c>
      <c r="AO319" s="55">
        <f t="shared" si="8"/>
        <v>4127851.9718192662</v>
      </c>
      <c r="AP319">
        <f t="shared" si="9"/>
        <v>36.699999999999903</v>
      </c>
    </row>
    <row r="320" spans="40:42" x14ac:dyDescent="0.2">
      <c r="AN320">
        <v>36.799999999999898</v>
      </c>
      <c r="AO320" s="55">
        <f t="shared" si="8"/>
        <v>4150094.0938539081</v>
      </c>
      <c r="AP320">
        <f t="shared" si="9"/>
        <v>36.799999999999898</v>
      </c>
    </row>
    <row r="321" spans="40:42" x14ac:dyDescent="0.2">
      <c r="AN321">
        <v>36.899999999999899</v>
      </c>
      <c r="AO321" s="55">
        <f t="shared" si="8"/>
        <v>4172394.4233172373</v>
      </c>
      <c r="AP321">
        <f t="shared" si="9"/>
        <v>36.899999999999899</v>
      </c>
    </row>
    <row r="322" spans="40:42" x14ac:dyDescent="0.2">
      <c r="AN322">
        <v>36.999999999999901</v>
      </c>
      <c r="AO322" s="55">
        <f t="shared" ref="AO322:AO385" si="10">4/3*PI()*AN322^3+PI()*AN322^2*($AM$2-2*AN322)</f>
        <v>4194752.9476428824</v>
      </c>
      <c r="AP322">
        <f t="shared" ref="AP322:AP385" si="11">AN322</f>
        <v>36.999999999999901</v>
      </c>
    </row>
    <row r="323" spans="40:42" x14ac:dyDescent="0.2">
      <c r="AN323">
        <v>37.099999999999902</v>
      </c>
      <c r="AO323" s="55">
        <f t="shared" si="10"/>
        <v>4217169.6542644715</v>
      </c>
      <c r="AP323">
        <f t="shared" si="11"/>
        <v>37.099999999999902</v>
      </c>
    </row>
    <row r="324" spans="40:42" x14ac:dyDescent="0.2">
      <c r="AN324">
        <v>37.199999999999903</v>
      </c>
      <c r="AO324" s="55">
        <f t="shared" si="10"/>
        <v>4239644.5306156334</v>
      </c>
      <c r="AP324">
        <f t="shared" si="11"/>
        <v>37.199999999999903</v>
      </c>
    </row>
    <row r="325" spans="40:42" x14ac:dyDescent="0.2">
      <c r="AN325">
        <v>37.299999999999898</v>
      </c>
      <c r="AO325" s="55">
        <f t="shared" si="10"/>
        <v>4262177.564129998</v>
      </c>
      <c r="AP325">
        <f t="shared" si="11"/>
        <v>37.299999999999898</v>
      </c>
    </row>
    <row r="326" spans="40:42" x14ac:dyDescent="0.2">
      <c r="AN326">
        <v>37.399999999999899</v>
      </c>
      <c r="AO326" s="55">
        <f t="shared" si="10"/>
        <v>4284768.7422411973</v>
      </c>
      <c r="AP326">
        <f t="shared" si="11"/>
        <v>37.399999999999899</v>
      </c>
    </row>
    <row r="327" spans="40:42" x14ac:dyDescent="0.2">
      <c r="AN327">
        <v>37.499999999999901</v>
      </c>
      <c r="AO327" s="55">
        <f t="shared" si="10"/>
        <v>4307418.0523828585</v>
      </c>
      <c r="AP327">
        <f t="shared" si="11"/>
        <v>37.499999999999901</v>
      </c>
    </row>
    <row r="328" spans="40:42" x14ac:dyDescent="0.2">
      <c r="AN328">
        <v>37.599999999999902</v>
      </c>
      <c r="AO328" s="55">
        <f t="shared" si="10"/>
        <v>4330125.4819886098</v>
      </c>
      <c r="AP328">
        <f t="shared" si="11"/>
        <v>37.599999999999902</v>
      </c>
    </row>
    <row r="329" spans="40:42" x14ac:dyDescent="0.2">
      <c r="AN329">
        <v>37.699999999999903</v>
      </c>
      <c r="AO329" s="55">
        <f t="shared" si="10"/>
        <v>4352891.0184920821</v>
      </c>
      <c r="AP329">
        <f t="shared" si="11"/>
        <v>37.699999999999903</v>
      </c>
    </row>
    <row r="330" spans="40:42" x14ac:dyDescent="0.2">
      <c r="AN330">
        <v>37.799999999999898</v>
      </c>
      <c r="AO330" s="55">
        <f t="shared" si="10"/>
        <v>4375714.6493269047</v>
      </c>
      <c r="AP330">
        <f t="shared" si="11"/>
        <v>37.799999999999898</v>
      </c>
    </row>
    <row r="331" spans="40:42" x14ac:dyDescent="0.2">
      <c r="AN331">
        <v>37.899999999999899</v>
      </c>
      <c r="AO331" s="55">
        <f t="shared" si="10"/>
        <v>4398596.3619267074</v>
      </c>
      <c r="AP331">
        <f t="shared" si="11"/>
        <v>37.899999999999899</v>
      </c>
    </row>
    <row r="332" spans="40:42" x14ac:dyDescent="0.2">
      <c r="AN332">
        <v>37.999999999999901</v>
      </c>
      <c r="AO332" s="55">
        <f t="shared" si="10"/>
        <v>4421536.1437251195</v>
      </c>
      <c r="AP332">
        <f t="shared" si="11"/>
        <v>37.999999999999901</v>
      </c>
    </row>
    <row r="333" spans="40:42" x14ac:dyDescent="0.2">
      <c r="AN333">
        <v>38.099999999999902</v>
      </c>
      <c r="AO333" s="55">
        <f t="shared" si="10"/>
        <v>4444533.9821557691</v>
      </c>
      <c r="AP333">
        <f t="shared" si="11"/>
        <v>38.099999999999902</v>
      </c>
    </row>
    <row r="334" spans="40:42" x14ac:dyDescent="0.2">
      <c r="AN334">
        <v>38.199999999999903</v>
      </c>
      <c r="AO334" s="55">
        <f t="shared" si="10"/>
        <v>4467589.8646522863</v>
      </c>
      <c r="AP334">
        <f t="shared" si="11"/>
        <v>38.199999999999903</v>
      </c>
    </row>
    <row r="335" spans="40:42" x14ac:dyDescent="0.2">
      <c r="AN335">
        <v>38.299999999999898</v>
      </c>
      <c r="AO335" s="55">
        <f t="shared" si="10"/>
        <v>4490703.7786483001</v>
      </c>
      <c r="AP335">
        <f t="shared" si="11"/>
        <v>38.299999999999898</v>
      </c>
    </row>
    <row r="336" spans="40:42" x14ac:dyDescent="0.2">
      <c r="AN336">
        <v>38.399999999999899</v>
      </c>
      <c r="AO336" s="55">
        <f t="shared" si="10"/>
        <v>4513875.7115774415</v>
      </c>
      <c r="AP336">
        <f t="shared" si="11"/>
        <v>38.399999999999899</v>
      </c>
    </row>
    <row r="337" spans="40:42" x14ac:dyDescent="0.2">
      <c r="AN337">
        <v>38.499999999999901</v>
      </c>
      <c r="AO337" s="55">
        <f t="shared" si="10"/>
        <v>4537105.6508733388</v>
      </c>
      <c r="AP337">
        <f t="shared" si="11"/>
        <v>38.499999999999901</v>
      </c>
    </row>
    <row r="338" spans="40:42" x14ac:dyDescent="0.2">
      <c r="AN338">
        <v>38.599999999999902</v>
      </c>
      <c r="AO338" s="55">
        <f t="shared" si="10"/>
        <v>4560393.5839696219</v>
      </c>
      <c r="AP338">
        <f t="shared" si="11"/>
        <v>38.599999999999902</v>
      </c>
    </row>
    <row r="339" spans="40:42" x14ac:dyDescent="0.2">
      <c r="AN339">
        <v>38.699999999999903</v>
      </c>
      <c r="AO339" s="55">
        <f t="shared" si="10"/>
        <v>4583739.4982999181</v>
      </c>
      <c r="AP339">
        <f t="shared" si="11"/>
        <v>38.699999999999903</v>
      </c>
    </row>
    <row r="340" spans="40:42" x14ac:dyDescent="0.2">
      <c r="AN340">
        <v>38.799999999999898</v>
      </c>
      <c r="AO340" s="55">
        <f t="shared" si="10"/>
        <v>4607143.3812978575</v>
      </c>
      <c r="AP340">
        <f t="shared" si="11"/>
        <v>38.799999999999898</v>
      </c>
    </row>
    <row r="341" spans="40:42" x14ac:dyDescent="0.2">
      <c r="AN341">
        <v>38.899999999999899</v>
      </c>
      <c r="AO341" s="55">
        <f t="shared" si="10"/>
        <v>4630605.2203970719</v>
      </c>
      <c r="AP341">
        <f t="shared" si="11"/>
        <v>38.899999999999899</v>
      </c>
    </row>
    <row r="342" spans="40:42" x14ac:dyDescent="0.2">
      <c r="AN342">
        <v>38.999999999999901</v>
      </c>
      <c r="AO342" s="55">
        <f t="shared" si="10"/>
        <v>4654125.0030311905</v>
      </c>
      <c r="AP342">
        <f t="shared" si="11"/>
        <v>38.999999999999901</v>
      </c>
    </row>
    <row r="343" spans="40:42" x14ac:dyDescent="0.2">
      <c r="AN343">
        <v>39.099999999999902</v>
      </c>
      <c r="AO343" s="55">
        <f t="shared" si="10"/>
        <v>4677702.7166338395</v>
      </c>
      <c r="AP343">
        <f t="shared" si="11"/>
        <v>39.099999999999902</v>
      </c>
    </row>
    <row r="344" spans="40:42" x14ac:dyDescent="0.2">
      <c r="AN344">
        <v>39.199999999999903</v>
      </c>
      <c r="AO344" s="55">
        <f t="shared" si="10"/>
        <v>4701338.34863865</v>
      </c>
      <c r="AP344">
        <f t="shared" si="11"/>
        <v>39.199999999999903</v>
      </c>
    </row>
    <row r="345" spans="40:42" x14ac:dyDescent="0.2">
      <c r="AN345">
        <v>39.299999999999898</v>
      </c>
      <c r="AO345" s="55">
        <f t="shared" si="10"/>
        <v>4725031.8864792511</v>
      </c>
      <c r="AP345">
        <f t="shared" si="11"/>
        <v>39.299999999999898</v>
      </c>
    </row>
    <row r="346" spans="40:42" x14ac:dyDescent="0.2">
      <c r="AN346">
        <v>39.399999999999899</v>
      </c>
      <c r="AO346" s="55">
        <f t="shared" si="10"/>
        <v>4748783.3175892727</v>
      </c>
      <c r="AP346">
        <f t="shared" si="11"/>
        <v>39.399999999999899</v>
      </c>
    </row>
    <row r="347" spans="40:42" x14ac:dyDescent="0.2">
      <c r="AN347">
        <v>39.499999999999901</v>
      </c>
      <c r="AO347" s="55">
        <f t="shared" si="10"/>
        <v>4772592.629402346</v>
      </c>
      <c r="AP347">
        <f t="shared" si="11"/>
        <v>39.499999999999901</v>
      </c>
    </row>
    <row r="348" spans="40:42" x14ac:dyDescent="0.2">
      <c r="AN348">
        <v>39.599999999999902</v>
      </c>
      <c r="AO348" s="55">
        <f t="shared" si="10"/>
        <v>4796459.8093520971</v>
      </c>
      <c r="AP348">
        <f t="shared" si="11"/>
        <v>39.599999999999902</v>
      </c>
    </row>
    <row r="349" spans="40:42" x14ac:dyDescent="0.2">
      <c r="AN349">
        <v>39.699999999999903</v>
      </c>
      <c r="AO349" s="55">
        <f t="shared" si="10"/>
        <v>4820384.8448721571</v>
      </c>
      <c r="AP349">
        <f t="shared" si="11"/>
        <v>39.699999999999903</v>
      </c>
    </row>
    <row r="350" spans="40:42" x14ac:dyDescent="0.2">
      <c r="AN350">
        <v>39.799999999999898</v>
      </c>
      <c r="AO350" s="55">
        <f t="shared" si="10"/>
        <v>4844367.7233961532</v>
      </c>
      <c r="AP350">
        <f t="shared" si="11"/>
        <v>39.799999999999898</v>
      </c>
    </row>
    <row r="351" spans="40:42" x14ac:dyDescent="0.2">
      <c r="AN351">
        <v>39.899999999999899</v>
      </c>
      <c r="AO351" s="55">
        <f t="shared" si="10"/>
        <v>4868408.4323577192</v>
      </c>
      <c r="AP351">
        <f t="shared" si="11"/>
        <v>39.899999999999899</v>
      </c>
    </row>
    <row r="352" spans="40:42" x14ac:dyDescent="0.2">
      <c r="AN352">
        <v>39.999999999999901</v>
      </c>
      <c r="AO352" s="55">
        <f t="shared" si="10"/>
        <v>4892506.9591904804</v>
      </c>
      <c r="AP352">
        <f t="shared" si="11"/>
        <v>39.999999999999901</v>
      </c>
    </row>
    <row r="353" spans="40:42" x14ac:dyDescent="0.2">
      <c r="AN353">
        <v>40.099999999999902</v>
      </c>
      <c r="AO353" s="55">
        <f t="shared" si="10"/>
        <v>4916663.2913280679</v>
      </c>
      <c r="AP353">
        <f t="shared" si="11"/>
        <v>40.099999999999902</v>
      </c>
    </row>
    <row r="354" spans="40:42" x14ac:dyDescent="0.2">
      <c r="AN354">
        <v>40.199999999999903</v>
      </c>
      <c r="AO354" s="55">
        <f t="shared" si="10"/>
        <v>4940877.4162041107</v>
      </c>
      <c r="AP354">
        <f t="shared" si="11"/>
        <v>40.199999999999903</v>
      </c>
    </row>
    <row r="355" spans="40:42" x14ac:dyDescent="0.2">
      <c r="AN355">
        <v>40.299999999999898</v>
      </c>
      <c r="AO355" s="55">
        <f t="shared" si="10"/>
        <v>4965149.321252238</v>
      </c>
      <c r="AP355">
        <f t="shared" si="11"/>
        <v>40.299999999999898</v>
      </c>
    </row>
    <row r="356" spans="40:42" x14ac:dyDescent="0.2">
      <c r="AN356">
        <v>40.399999999999899</v>
      </c>
      <c r="AO356" s="55">
        <f t="shared" si="10"/>
        <v>4989478.9939060798</v>
      </c>
      <c r="AP356">
        <f t="shared" si="11"/>
        <v>40.399999999999899</v>
      </c>
    </row>
    <row r="357" spans="40:42" x14ac:dyDescent="0.2">
      <c r="AN357">
        <v>40.499999999999901</v>
      </c>
      <c r="AO357" s="55">
        <f t="shared" si="10"/>
        <v>5013866.4215992661</v>
      </c>
      <c r="AP357">
        <f t="shared" si="11"/>
        <v>40.499999999999901</v>
      </c>
    </row>
    <row r="358" spans="40:42" x14ac:dyDescent="0.2">
      <c r="AN358">
        <v>40.599999999999902</v>
      </c>
      <c r="AO358" s="55">
        <f t="shared" si="10"/>
        <v>5038311.5917654242</v>
      </c>
      <c r="AP358">
        <f t="shared" si="11"/>
        <v>40.599999999999902</v>
      </c>
    </row>
    <row r="359" spans="40:42" x14ac:dyDescent="0.2">
      <c r="AN359">
        <v>40.699999999999903</v>
      </c>
      <c r="AO359" s="55">
        <f t="shared" si="10"/>
        <v>5062814.491838186</v>
      </c>
      <c r="AP359">
        <f t="shared" si="11"/>
        <v>40.699999999999903</v>
      </c>
    </row>
    <row r="360" spans="40:42" x14ac:dyDescent="0.2">
      <c r="AN360">
        <v>40.799999999999898</v>
      </c>
      <c r="AO360" s="55">
        <f t="shared" si="10"/>
        <v>5087375.1092511779</v>
      </c>
      <c r="AP360">
        <f t="shared" si="11"/>
        <v>40.799999999999898</v>
      </c>
    </row>
    <row r="361" spans="40:42" x14ac:dyDescent="0.2">
      <c r="AN361">
        <v>40.899999999999899</v>
      </c>
      <c r="AO361" s="55">
        <f t="shared" si="10"/>
        <v>5111993.4314380316</v>
      </c>
      <c r="AP361">
        <f t="shared" si="11"/>
        <v>40.899999999999899</v>
      </c>
    </row>
    <row r="362" spans="40:42" x14ac:dyDescent="0.2">
      <c r="AN362">
        <v>40.999999999999901</v>
      </c>
      <c r="AO362" s="55">
        <f t="shared" si="10"/>
        <v>5136669.4458323764</v>
      </c>
      <c r="AP362">
        <f t="shared" si="11"/>
        <v>40.999999999999901</v>
      </c>
    </row>
    <row r="363" spans="40:42" x14ac:dyDescent="0.2">
      <c r="AN363">
        <v>41.099999999999902</v>
      </c>
      <c r="AO363" s="55">
        <f t="shared" si="10"/>
        <v>5161403.1398678403</v>
      </c>
      <c r="AP363">
        <f t="shared" si="11"/>
        <v>41.099999999999902</v>
      </c>
    </row>
    <row r="364" spans="40:42" x14ac:dyDescent="0.2">
      <c r="AN364">
        <v>41.199999999999903</v>
      </c>
      <c r="AO364" s="55">
        <f t="shared" si="10"/>
        <v>5186194.5009780545</v>
      </c>
      <c r="AP364">
        <f t="shared" si="11"/>
        <v>41.199999999999903</v>
      </c>
    </row>
    <row r="365" spans="40:42" x14ac:dyDescent="0.2">
      <c r="AN365">
        <v>41.299999999999898</v>
      </c>
      <c r="AO365" s="55">
        <f t="shared" si="10"/>
        <v>5211043.516596646</v>
      </c>
      <c r="AP365">
        <f t="shared" si="11"/>
        <v>41.299999999999898</v>
      </c>
    </row>
    <row r="366" spans="40:42" x14ac:dyDescent="0.2">
      <c r="AN366">
        <v>41.399999999999899</v>
      </c>
      <c r="AO366" s="55">
        <f t="shared" si="10"/>
        <v>5235950.174157246</v>
      </c>
      <c r="AP366">
        <f t="shared" si="11"/>
        <v>41.399999999999899</v>
      </c>
    </row>
    <row r="367" spans="40:42" x14ac:dyDescent="0.2">
      <c r="AN367">
        <v>41.499999999999901</v>
      </c>
      <c r="AO367" s="55">
        <f t="shared" si="10"/>
        <v>5260914.4610934844</v>
      </c>
      <c r="AP367">
        <f t="shared" si="11"/>
        <v>41.499999999999901</v>
      </c>
    </row>
    <row r="368" spans="40:42" x14ac:dyDescent="0.2">
      <c r="AN368">
        <v>41.599999999999902</v>
      </c>
      <c r="AO368" s="55">
        <f t="shared" si="10"/>
        <v>5285936.3648389885</v>
      </c>
      <c r="AP368">
        <f t="shared" si="11"/>
        <v>41.599999999999902</v>
      </c>
    </row>
    <row r="369" spans="40:42" x14ac:dyDescent="0.2">
      <c r="AN369">
        <v>41.699999999999903</v>
      </c>
      <c r="AO369" s="55">
        <f t="shared" si="10"/>
        <v>5311015.8728273893</v>
      </c>
      <c r="AP369">
        <f t="shared" si="11"/>
        <v>41.699999999999903</v>
      </c>
    </row>
    <row r="370" spans="40:42" x14ac:dyDescent="0.2">
      <c r="AN370">
        <v>41.799999999999898</v>
      </c>
      <c r="AO370" s="55">
        <f t="shared" si="10"/>
        <v>5336152.9724923149</v>
      </c>
      <c r="AP370">
        <f t="shared" si="11"/>
        <v>41.799999999999898</v>
      </c>
    </row>
    <row r="371" spans="40:42" x14ac:dyDescent="0.2">
      <c r="AN371">
        <v>41.899999999999899</v>
      </c>
      <c r="AO371" s="55">
        <f t="shared" si="10"/>
        <v>5361347.6512673963</v>
      </c>
      <c r="AP371">
        <f t="shared" si="11"/>
        <v>41.899999999999899</v>
      </c>
    </row>
    <row r="372" spans="40:42" x14ac:dyDescent="0.2">
      <c r="AN372">
        <v>41.999999999999901</v>
      </c>
      <c r="AO372" s="55">
        <f t="shared" si="10"/>
        <v>5386599.8965862626</v>
      </c>
      <c r="AP372">
        <f t="shared" si="11"/>
        <v>41.999999999999901</v>
      </c>
    </row>
    <row r="373" spans="40:42" x14ac:dyDescent="0.2">
      <c r="AN373">
        <v>42.099999999999902</v>
      </c>
      <c r="AO373" s="55">
        <f t="shared" si="10"/>
        <v>5411909.6958825421</v>
      </c>
      <c r="AP373">
        <f t="shared" si="11"/>
        <v>42.099999999999902</v>
      </c>
    </row>
    <row r="374" spans="40:42" x14ac:dyDescent="0.2">
      <c r="AN374">
        <v>42.199999999999903</v>
      </c>
      <c r="AO374" s="55">
        <f t="shared" si="10"/>
        <v>5437277.0365898646</v>
      </c>
      <c r="AP374">
        <f t="shared" si="11"/>
        <v>42.199999999999903</v>
      </c>
    </row>
    <row r="375" spans="40:42" x14ac:dyDescent="0.2">
      <c r="AN375">
        <v>42.299999999999898</v>
      </c>
      <c r="AO375" s="55">
        <f t="shared" si="10"/>
        <v>5462701.9061418595</v>
      </c>
      <c r="AP375">
        <f t="shared" si="11"/>
        <v>42.299999999999898</v>
      </c>
    </row>
    <row r="376" spans="40:42" x14ac:dyDescent="0.2">
      <c r="AN376">
        <v>42.399999999999899</v>
      </c>
      <c r="AO376" s="55">
        <f t="shared" si="10"/>
        <v>5488184.2919721557</v>
      </c>
      <c r="AP376">
        <f t="shared" si="11"/>
        <v>42.399999999999899</v>
      </c>
    </row>
    <row r="377" spans="40:42" x14ac:dyDescent="0.2">
      <c r="AN377">
        <v>42.499999999999901</v>
      </c>
      <c r="AO377" s="55">
        <f t="shared" si="10"/>
        <v>5513724.1815143861</v>
      </c>
      <c r="AP377">
        <f t="shared" si="11"/>
        <v>42.499999999999901</v>
      </c>
    </row>
    <row r="378" spans="40:42" x14ac:dyDescent="0.2">
      <c r="AN378">
        <v>42.599999999999902</v>
      </c>
      <c r="AO378" s="55">
        <f t="shared" si="10"/>
        <v>5539321.5622021742</v>
      </c>
      <c r="AP378">
        <f t="shared" si="11"/>
        <v>42.599999999999902</v>
      </c>
    </row>
    <row r="379" spans="40:42" x14ac:dyDescent="0.2">
      <c r="AN379">
        <v>42.699999999999903</v>
      </c>
      <c r="AO379" s="55">
        <f t="shared" si="10"/>
        <v>5564976.4214691548</v>
      </c>
      <c r="AP379">
        <f t="shared" si="11"/>
        <v>42.699999999999903</v>
      </c>
    </row>
    <row r="380" spans="40:42" x14ac:dyDescent="0.2">
      <c r="AN380">
        <v>42.799999999999898</v>
      </c>
      <c r="AO380" s="55">
        <f t="shared" si="10"/>
        <v>5590688.7467489522</v>
      </c>
      <c r="AP380">
        <f t="shared" si="11"/>
        <v>42.799999999999898</v>
      </c>
    </row>
    <row r="381" spans="40:42" x14ac:dyDescent="0.2">
      <c r="AN381">
        <v>42.899999999999899</v>
      </c>
      <c r="AO381" s="55">
        <f t="shared" si="10"/>
        <v>5616458.5254752003</v>
      </c>
      <c r="AP381">
        <f t="shared" si="11"/>
        <v>42.899999999999899</v>
      </c>
    </row>
    <row r="382" spans="40:42" x14ac:dyDescent="0.2">
      <c r="AN382">
        <v>42.999999999999901</v>
      </c>
      <c r="AO382" s="55">
        <f t="shared" si="10"/>
        <v>5642285.7450815253</v>
      </c>
      <c r="AP382">
        <f t="shared" si="11"/>
        <v>42.999999999999901</v>
      </c>
    </row>
    <row r="383" spans="40:42" x14ac:dyDescent="0.2">
      <c r="AN383">
        <v>43.099999999999902</v>
      </c>
      <c r="AO383" s="55">
        <f t="shared" si="10"/>
        <v>5668170.3930015592</v>
      </c>
      <c r="AP383">
        <f t="shared" si="11"/>
        <v>43.099999999999902</v>
      </c>
    </row>
    <row r="384" spans="40:42" x14ac:dyDescent="0.2">
      <c r="AN384">
        <v>43.199999999999903</v>
      </c>
      <c r="AO384" s="55">
        <f t="shared" si="10"/>
        <v>5694112.4566689301</v>
      </c>
      <c r="AP384">
        <f t="shared" si="11"/>
        <v>43.199999999999903</v>
      </c>
    </row>
    <row r="385" spans="40:42" x14ac:dyDescent="0.2">
      <c r="AN385">
        <v>43.299999999999898</v>
      </c>
      <c r="AO385" s="55">
        <f t="shared" si="10"/>
        <v>5720111.9235172654</v>
      </c>
      <c r="AP385">
        <f t="shared" si="11"/>
        <v>43.299999999999898</v>
      </c>
    </row>
    <row r="386" spans="40:42" x14ac:dyDescent="0.2">
      <c r="AN386">
        <v>43.399999999999899</v>
      </c>
      <c r="AO386" s="55">
        <f t="shared" ref="AO386:AO449" si="12">4/3*PI()*AN386^3+PI()*AN386^2*($AM$2-2*AN386)</f>
        <v>5746168.7809801977</v>
      </c>
      <c r="AP386">
        <f t="shared" ref="AP386:AP452" si="13">AN386</f>
        <v>43.399999999999899</v>
      </c>
    </row>
    <row r="387" spans="40:42" x14ac:dyDescent="0.2">
      <c r="AN387">
        <v>43.499999999999901</v>
      </c>
      <c r="AO387" s="55">
        <f t="shared" si="12"/>
        <v>5772283.0164913563</v>
      </c>
      <c r="AP387">
        <f t="shared" si="13"/>
        <v>43.499999999999901</v>
      </c>
    </row>
    <row r="388" spans="40:42" x14ac:dyDescent="0.2">
      <c r="AN388">
        <v>43.599999999999902</v>
      </c>
      <c r="AO388" s="55">
        <f t="shared" si="12"/>
        <v>5798454.6174843684</v>
      </c>
      <c r="AP388">
        <f t="shared" si="13"/>
        <v>43.599999999999902</v>
      </c>
    </row>
    <row r="389" spans="40:42" x14ac:dyDescent="0.2">
      <c r="AN389">
        <v>43.699999999999903</v>
      </c>
      <c r="AO389" s="55">
        <f t="shared" si="12"/>
        <v>5824683.5713928659</v>
      </c>
      <c r="AP389">
        <f t="shared" si="13"/>
        <v>43.699999999999903</v>
      </c>
    </row>
    <row r="390" spans="40:42" x14ac:dyDescent="0.2">
      <c r="AN390">
        <v>43.799999999999898</v>
      </c>
      <c r="AO390" s="55">
        <f t="shared" si="12"/>
        <v>5850969.8656504732</v>
      </c>
      <c r="AP390">
        <f t="shared" si="13"/>
        <v>43.799999999999898</v>
      </c>
    </row>
    <row r="391" spans="40:42" x14ac:dyDescent="0.2">
      <c r="AN391">
        <v>43.899999999999899</v>
      </c>
      <c r="AO391" s="55">
        <f t="shared" si="12"/>
        <v>5877313.4876908269</v>
      </c>
      <c r="AP391">
        <f t="shared" si="13"/>
        <v>43.899999999999899</v>
      </c>
    </row>
    <row r="392" spans="40:42" x14ac:dyDescent="0.2">
      <c r="AN392">
        <v>43.999999999999901</v>
      </c>
      <c r="AO392" s="55">
        <f t="shared" si="12"/>
        <v>5903714.4249475515</v>
      </c>
      <c r="AP392">
        <f t="shared" si="13"/>
        <v>43.999999999999901</v>
      </c>
    </row>
    <row r="393" spans="40:42" x14ac:dyDescent="0.2">
      <c r="AN393">
        <v>44.099999999999902</v>
      </c>
      <c r="AO393" s="55">
        <f t="shared" si="12"/>
        <v>5930172.6648542769</v>
      </c>
      <c r="AP393">
        <f t="shared" si="13"/>
        <v>44.099999999999902</v>
      </c>
    </row>
    <row r="394" spans="40:42" x14ac:dyDescent="0.2">
      <c r="AN394">
        <v>44.199999999999903</v>
      </c>
      <c r="AO394" s="55">
        <f t="shared" si="12"/>
        <v>5956688.1948446343</v>
      </c>
      <c r="AP394">
        <f t="shared" si="13"/>
        <v>44.199999999999903</v>
      </c>
    </row>
    <row r="395" spans="40:42" x14ac:dyDescent="0.2">
      <c r="AN395">
        <v>44.299999999999898</v>
      </c>
      <c r="AO395" s="55">
        <f t="shared" si="12"/>
        <v>5983261.0023522498</v>
      </c>
      <c r="AP395">
        <f t="shared" si="13"/>
        <v>44.299999999999898</v>
      </c>
    </row>
    <row r="396" spans="40:42" x14ac:dyDescent="0.2">
      <c r="AN396">
        <v>44.399999999999899</v>
      </c>
      <c r="AO396" s="55">
        <f t="shared" si="12"/>
        <v>6009891.0748107564</v>
      </c>
      <c r="AP396">
        <f t="shared" si="13"/>
        <v>44.399999999999899</v>
      </c>
    </row>
    <row r="397" spans="40:42" x14ac:dyDescent="0.2">
      <c r="AN397">
        <v>44.499999999999901</v>
      </c>
      <c r="AO397" s="55">
        <f t="shared" si="12"/>
        <v>6036578.3996537831</v>
      </c>
      <c r="AP397">
        <f t="shared" si="13"/>
        <v>44.499999999999901</v>
      </c>
    </row>
    <row r="398" spans="40:42" x14ac:dyDescent="0.2">
      <c r="AN398">
        <v>44.599999999999902</v>
      </c>
      <c r="AO398" s="55">
        <f t="shared" si="12"/>
        <v>6063322.9643149562</v>
      </c>
      <c r="AP398">
        <f t="shared" si="13"/>
        <v>44.599999999999902</v>
      </c>
    </row>
    <row r="399" spans="40:42" x14ac:dyDescent="0.2">
      <c r="AN399">
        <v>44.699999999999903</v>
      </c>
      <c r="AO399" s="55">
        <f t="shared" si="12"/>
        <v>6090124.7562279087</v>
      </c>
      <c r="AP399">
        <f t="shared" si="13"/>
        <v>44.699999999999903</v>
      </c>
    </row>
    <row r="400" spans="40:42" x14ac:dyDescent="0.2">
      <c r="AN400">
        <v>44.799999999999898</v>
      </c>
      <c r="AO400" s="55">
        <f t="shared" si="12"/>
        <v>6116983.7628262667</v>
      </c>
      <c r="AP400">
        <f t="shared" si="13"/>
        <v>44.799999999999898</v>
      </c>
    </row>
    <row r="401" spans="40:42" x14ac:dyDescent="0.2">
      <c r="AN401">
        <v>44.899999999999899</v>
      </c>
      <c r="AO401" s="55">
        <f t="shared" si="12"/>
        <v>6143899.9715436623</v>
      </c>
      <c r="AP401">
        <f t="shared" si="13"/>
        <v>44.899999999999899</v>
      </c>
    </row>
    <row r="402" spans="40:42" x14ac:dyDescent="0.2">
      <c r="AN402">
        <v>44.999999999999901</v>
      </c>
      <c r="AO402" s="55">
        <f t="shared" si="12"/>
        <v>6170873.3698137254</v>
      </c>
      <c r="AP402">
        <f t="shared" si="13"/>
        <v>44.999999999999901</v>
      </c>
    </row>
    <row r="403" spans="40:42" x14ac:dyDescent="0.2">
      <c r="AN403">
        <v>45.099999999999902</v>
      </c>
      <c r="AO403" s="55">
        <f t="shared" si="12"/>
        <v>6197903.9450700814</v>
      </c>
      <c r="AP403">
        <f t="shared" si="13"/>
        <v>45.099999999999902</v>
      </c>
    </row>
    <row r="404" spans="40:42" x14ac:dyDescent="0.2">
      <c r="AN404">
        <v>45.199999999999903</v>
      </c>
      <c r="AO404" s="55">
        <f t="shared" si="12"/>
        <v>6224991.6847463632</v>
      </c>
      <c r="AP404">
        <f t="shared" si="13"/>
        <v>45.199999999999903</v>
      </c>
    </row>
    <row r="405" spans="40:42" x14ac:dyDescent="0.2">
      <c r="AN405">
        <v>45.299999999999898</v>
      </c>
      <c r="AO405" s="55">
        <f t="shared" si="12"/>
        <v>6252136.5762761962</v>
      </c>
      <c r="AP405">
        <f t="shared" si="13"/>
        <v>45.299999999999898</v>
      </c>
    </row>
    <row r="406" spans="40:42" x14ac:dyDescent="0.2">
      <c r="AN406">
        <v>45.399999999999899</v>
      </c>
      <c r="AO406" s="55">
        <f t="shared" si="12"/>
        <v>6279338.6070932169</v>
      </c>
      <c r="AP406">
        <f t="shared" si="13"/>
        <v>45.399999999999899</v>
      </c>
    </row>
    <row r="407" spans="40:42" x14ac:dyDescent="0.2">
      <c r="AN407">
        <v>45.499999999999901</v>
      </c>
      <c r="AO407" s="55">
        <f t="shared" si="12"/>
        <v>6306597.7646310488</v>
      </c>
      <c r="AP407">
        <f t="shared" si="13"/>
        <v>45.499999999999901</v>
      </c>
    </row>
    <row r="408" spans="40:42" x14ac:dyDescent="0.2">
      <c r="AN408">
        <v>45.599999999999902</v>
      </c>
      <c r="AO408" s="55">
        <f t="shared" si="12"/>
        <v>6333914.0363233238</v>
      </c>
      <c r="AP408">
        <f t="shared" si="13"/>
        <v>45.599999999999902</v>
      </c>
    </row>
    <row r="409" spans="40:42" x14ac:dyDescent="0.2">
      <c r="AN409">
        <v>45.699999999999903</v>
      </c>
      <c r="AO409" s="55">
        <f t="shared" si="12"/>
        <v>6361287.4096036693</v>
      </c>
      <c r="AP409">
        <f t="shared" si="13"/>
        <v>45.699999999999903</v>
      </c>
    </row>
    <row r="410" spans="40:42" x14ac:dyDescent="0.2">
      <c r="AN410">
        <v>45.799999999999898</v>
      </c>
      <c r="AO410" s="55">
        <f t="shared" si="12"/>
        <v>6388717.8719057161</v>
      </c>
      <c r="AP410">
        <f t="shared" si="13"/>
        <v>45.799999999999898</v>
      </c>
    </row>
    <row r="411" spans="40:42" x14ac:dyDescent="0.2">
      <c r="AN411">
        <v>45.899999999999899</v>
      </c>
      <c r="AO411" s="55">
        <f t="shared" si="12"/>
        <v>6416205.4106630934</v>
      </c>
      <c r="AP411">
        <f t="shared" si="13"/>
        <v>45.899999999999899</v>
      </c>
    </row>
    <row r="412" spans="40:42" x14ac:dyDescent="0.2">
      <c r="AN412">
        <v>45.999999999999901</v>
      </c>
      <c r="AO412" s="55">
        <f t="shared" si="12"/>
        <v>6443750.0133094313</v>
      </c>
      <c r="AP412">
        <f t="shared" si="13"/>
        <v>45.999999999999901</v>
      </c>
    </row>
    <row r="413" spans="40:42" x14ac:dyDescent="0.2">
      <c r="AN413">
        <v>46.099999999999902</v>
      </c>
      <c r="AO413" s="55">
        <f t="shared" si="12"/>
        <v>6471351.6672783578</v>
      </c>
      <c r="AP413">
        <f t="shared" si="13"/>
        <v>46.099999999999902</v>
      </c>
    </row>
    <row r="414" spans="40:42" x14ac:dyDescent="0.2">
      <c r="AN414">
        <v>46.199999999999903</v>
      </c>
      <c r="AO414" s="55">
        <f t="shared" si="12"/>
        <v>6499010.3600035021</v>
      </c>
      <c r="AP414">
        <f t="shared" si="13"/>
        <v>46.199999999999903</v>
      </c>
    </row>
    <row r="415" spans="40:42" x14ac:dyDescent="0.2">
      <c r="AN415">
        <v>46.299999999999898</v>
      </c>
      <c r="AO415" s="55">
        <f t="shared" si="12"/>
        <v>6526726.0789184934</v>
      </c>
      <c r="AP415">
        <f t="shared" si="13"/>
        <v>46.299999999999898</v>
      </c>
    </row>
    <row r="416" spans="40:42" x14ac:dyDescent="0.2">
      <c r="AN416">
        <v>46.3999999999998</v>
      </c>
      <c r="AO416" s="55">
        <f t="shared" si="12"/>
        <v>6554498.8114569373</v>
      </c>
      <c r="AP416">
        <f t="shared" si="13"/>
        <v>46.3999999999998</v>
      </c>
    </row>
    <row r="417" spans="40:42" x14ac:dyDescent="0.2">
      <c r="AN417">
        <v>46.499999999999901</v>
      </c>
      <c r="AO417" s="55">
        <f t="shared" si="12"/>
        <v>6582328.5450525433</v>
      </c>
      <c r="AP417">
        <f t="shared" si="13"/>
        <v>46.499999999999901</v>
      </c>
    </row>
    <row r="418" spans="40:42" x14ac:dyDescent="0.2">
      <c r="AN418">
        <v>46.599999999999902</v>
      </c>
      <c r="AO418" s="55">
        <f t="shared" si="12"/>
        <v>6610215.2671388555</v>
      </c>
      <c r="AP418">
        <f t="shared" si="13"/>
        <v>46.599999999999902</v>
      </c>
    </row>
    <row r="419" spans="40:42" x14ac:dyDescent="0.2">
      <c r="AN419">
        <v>46.699999999999903</v>
      </c>
      <c r="AO419" s="55">
        <f t="shared" si="12"/>
        <v>6638158.965149533</v>
      </c>
      <c r="AP419">
        <f t="shared" si="13"/>
        <v>46.699999999999903</v>
      </c>
    </row>
    <row r="420" spans="40:42" x14ac:dyDescent="0.2">
      <c r="AN420">
        <v>46.799999999999898</v>
      </c>
      <c r="AO420" s="55">
        <f t="shared" si="12"/>
        <v>6666159.6265182067</v>
      </c>
      <c r="AP420">
        <f t="shared" si="13"/>
        <v>46.799999999999898</v>
      </c>
    </row>
    <row r="421" spans="40:42" x14ac:dyDescent="0.2">
      <c r="AN421">
        <v>46.8999999999998</v>
      </c>
      <c r="AO421" s="55">
        <f t="shared" si="12"/>
        <v>6694217.2386784758</v>
      </c>
      <c r="AP421">
        <f t="shared" si="13"/>
        <v>46.8999999999998</v>
      </c>
    </row>
    <row r="422" spans="40:42" x14ac:dyDescent="0.2">
      <c r="AN422">
        <v>46.999999999999901</v>
      </c>
      <c r="AO422" s="55">
        <f t="shared" si="12"/>
        <v>6722331.7890640562</v>
      </c>
      <c r="AP422">
        <f t="shared" si="13"/>
        <v>46.999999999999901</v>
      </c>
    </row>
    <row r="423" spans="40:42" x14ac:dyDescent="0.2">
      <c r="AN423">
        <v>47.099999999999902</v>
      </c>
      <c r="AO423" s="55">
        <f t="shared" si="12"/>
        <v>6750503.2651084904</v>
      </c>
      <c r="AP423">
        <f t="shared" si="13"/>
        <v>47.099999999999902</v>
      </c>
    </row>
    <row r="424" spans="40:42" x14ac:dyDescent="0.2">
      <c r="AN424">
        <v>47.199999999999797</v>
      </c>
      <c r="AO424" s="55">
        <f t="shared" si="12"/>
        <v>6778731.6542454064</v>
      </c>
      <c r="AP424">
        <f t="shared" si="13"/>
        <v>47.199999999999797</v>
      </c>
    </row>
    <row r="425" spans="40:42" x14ac:dyDescent="0.2">
      <c r="AN425">
        <v>47.299999999999798</v>
      </c>
      <c r="AO425" s="55">
        <f t="shared" si="12"/>
        <v>6807016.9439084968</v>
      </c>
      <c r="AP425">
        <f t="shared" si="13"/>
        <v>47.299999999999798</v>
      </c>
    </row>
    <row r="426" spans="40:42" x14ac:dyDescent="0.2">
      <c r="AN426">
        <v>47.3999999999998</v>
      </c>
      <c r="AO426" s="55">
        <f t="shared" si="12"/>
        <v>6835359.121531358</v>
      </c>
      <c r="AP426">
        <f t="shared" si="13"/>
        <v>47.3999999999998</v>
      </c>
    </row>
    <row r="427" spans="40:42" x14ac:dyDescent="0.2">
      <c r="AN427">
        <v>47.499999999999901</v>
      </c>
      <c r="AO427" s="55">
        <f t="shared" si="12"/>
        <v>6863758.1745476462</v>
      </c>
      <c r="AP427">
        <f t="shared" si="13"/>
        <v>47.499999999999901</v>
      </c>
    </row>
    <row r="428" spans="40:42" x14ac:dyDescent="0.2">
      <c r="AN428">
        <v>47.599999999999902</v>
      </c>
      <c r="AO428" s="55">
        <f t="shared" si="12"/>
        <v>6892214.0903909374</v>
      </c>
      <c r="AP428">
        <f t="shared" si="13"/>
        <v>47.599999999999902</v>
      </c>
    </row>
    <row r="429" spans="40:42" x14ac:dyDescent="0.2">
      <c r="AN429">
        <v>47.699999999999797</v>
      </c>
      <c r="AO429" s="55">
        <f t="shared" si="12"/>
        <v>6920726.856494857</v>
      </c>
      <c r="AP429">
        <f t="shared" si="13"/>
        <v>47.699999999999797</v>
      </c>
    </row>
    <row r="430" spans="40:42" x14ac:dyDescent="0.2">
      <c r="AN430">
        <v>47.799999999999798</v>
      </c>
      <c r="AO430" s="55">
        <f t="shared" si="12"/>
        <v>6949296.4602930956</v>
      </c>
      <c r="AP430">
        <f t="shared" si="13"/>
        <v>47.799999999999798</v>
      </c>
    </row>
    <row r="431" spans="40:42" x14ac:dyDescent="0.2">
      <c r="AN431">
        <v>47.8999999999998</v>
      </c>
      <c r="AO431" s="55">
        <f t="shared" si="12"/>
        <v>6977922.8892192524</v>
      </c>
      <c r="AP431">
        <f t="shared" si="13"/>
        <v>47.8999999999998</v>
      </c>
    </row>
    <row r="432" spans="40:42" x14ac:dyDescent="0.2">
      <c r="AN432">
        <v>47.999999999999801</v>
      </c>
      <c r="AO432" s="55">
        <f t="shared" si="12"/>
        <v>7006606.1307069585</v>
      </c>
      <c r="AP432">
        <f t="shared" si="13"/>
        <v>47.999999999999801</v>
      </c>
    </row>
    <row r="433" spans="40:42" x14ac:dyDescent="0.2">
      <c r="AN433">
        <v>48.099999999999802</v>
      </c>
      <c r="AO433" s="55">
        <f t="shared" si="12"/>
        <v>7035346.1721898392</v>
      </c>
      <c r="AP433">
        <f t="shared" si="13"/>
        <v>48.099999999999802</v>
      </c>
    </row>
    <row r="434" spans="40:42" x14ac:dyDescent="0.2">
      <c r="AN434">
        <v>48.199999999999797</v>
      </c>
      <c r="AO434" s="55">
        <f t="shared" si="12"/>
        <v>7064143.0011015246</v>
      </c>
      <c r="AP434">
        <f t="shared" si="13"/>
        <v>48.199999999999797</v>
      </c>
    </row>
    <row r="435" spans="40:42" x14ac:dyDescent="0.2">
      <c r="AN435">
        <v>48.299999999999798</v>
      </c>
      <c r="AO435" s="55">
        <f t="shared" si="12"/>
        <v>7092996.6048756484</v>
      </c>
      <c r="AP435">
        <f t="shared" si="13"/>
        <v>48.299999999999798</v>
      </c>
    </row>
    <row r="436" spans="40:42" x14ac:dyDescent="0.2">
      <c r="AN436">
        <v>48.3999999999998</v>
      </c>
      <c r="AO436" s="55">
        <f t="shared" si="12"/>
        <v>7121906.970945837</v>
      </c>
      <c r="AP436">
        <f t="shared" si="13"/>
        <v>48.3999999999998</v>
      </c>
    </row>
    <row r="437" spans="40:42" x14ac:dyDescent="0.2">
      <c r="AN437">
        <v>48.499999999999801</v>
      </c>
      <c r="AO437" s="55">
        <f t="shared" si="12"/>
        <v>7150874.0867457204</v>
      </c>
      <c r="AP437">
        <f t="shared" si="13"/>
        <v>48.499999999999801</v>
      </c>
    </row>
    <row r="438" spans="40:42" x14ac:dyDescent="0.2">
      <c r="AN438">
        <v>48.599999999999802</v>
      </c>
      <c r="AO438" s="55">
        <f t="shared" si="12"/>
        <v>7179897.9397089276</v>
      </c>
      <c r="AP438">
        <f t="shared" si="13"/>
        <v>48.599999999999802</v>
      </c>
    </row>
    <row r="439" spans="40:42" x14ac:dyDescent="0.2">
      <c r="AN439">
        <v>48.699999999999797</v>
      </c>
      <c r="AO439" s="55">
        <f t="shared" si="12"/>
        <v>7208978.5172690842</v>
      </c>
      <c r="AP439">
        <f t="shared" si="13"/>
        <v>48.699999999999797</v>
      </c>
    </row>
    <row r="440" spans="40:42" x14ac:dyDescent="0.2">
      <c r="AN440">
        <v>48.799999999999798</v>
      </c>
      <c r="AO440" s="55">
        <f t="shared" si="12"/>
        <v>7238115.8068598276</v>
      </c>
      <c r="AP440">
        <f t="shared" si="13"/>
        <v>48.799999999999798</v>
      </c>
    </row>
    <row r="441" spans="40:42" x14ac:dyDescent="0.2">
      <c r="AN441">
        <v>48.8999999999998</v>
      </c>
      <c r="AO441" s="55">
        <f t="shared" si="12"/>
        <v>7267309.7959147822</v>
      </c>
      <c r="AP441">
        <f t="shared" si="13"/>
        <v>48.8999999999998</v>
      </c>
    </row>
    <row r="442" spans="40:42" x14ac:dyDescent="0.2">
      <c r="AN442">
        <v>48.999999999999801</v>
      </c>
      <c r="AO442" s="55">
        <f t="shared" si="12"/>
        <v>7296560.4718675781</v>
      </c>
      <c r="AP442">
        <f t="shared" si="13"/>
        <v>48.999999999999801</v>
      </c>
    </row>
    <row r="443" spans="40:42" x14ac:dyDescent="0.2">
      <c r="AN443">
        <v>49.099999999999802</v>
      </c>
      <c r="AO443" s="55">
        <f t="shared" si="12"/>
        <v>7325867.8221518435</v>
      </c>
      <c r="AP443">
        <f t="shared" si="13"/>
        <v>49.099999999999802</v>
      </c>
    </row>
    <row r="444" spans="40:42" x14ac:dyDescent="0.2">
      <c r="AN444">
        <v>49.199999999999797</v>
      </c>
      <c r="AO444" s="55">
        <f t="shared" si="12"/>
        <v>7355231.8342012083</v>
      </c>
      <c r="AP444">
        <f t="shared" si="13"/>
        <v>49.199999999999797</v>
      </c>
    </row>
    <row r="445" spans="40:42" x14ac:dyDescent="0.2">
      <c r="AN445">
        <v>49.299999999999798</v>
      </c>
      <c r="AO445" s="55">
        <f t="shared" si="12"/>
        <v>7384652.4954493064</v>
      </c>
      <c r="AP445">
        <f t="shared" si="13"/>
        <v>49.299999999999798</v>
      </c>
    </row>
    <row r="446" spans="40:42" x14ac:dyDescent="0.2">
      <c r="AN446">
        <v>49.3999999999998</v>
      </c>
      <c r="AO446" s="55">
        <f t="shared" si="12"/>
        <v>7414129.7933297614</v>
      </c>
      <c r="AP446">
        <f t="shared" si="13"/>
        <v>49.3999999999998</v>
      </c>
    </row>
    <row r="447" spans="40:42" x14ac:dyDescent="0.2">
      <c r="AN447">
        <v>49.499999999999801</v>
      </c>
      <c r="AO447" s="55">
        <f t="shared" si="12"/>
        <v>7443663.7152762059</v>
      </c>
      <c r="AP447">
        <f t="shared" si="13"/>
        <v>49.499999999999801</v>
      </c>
    </row>
    <row r="448" spans="40:42" x14ac:dyDescent="0.2">
      <c r="AN448">
        <v>49.599999999999802</v>
      </c>
      <c r="AO448" s="55">
        <f t="shared" si="12"/>
        <v>7473254.2487222664</v>
      </c>
      <c r="AP448">
        <f t="shared" si="13"/>
        <v>49.599999999999802</v>
      </c>
    </row>
    <row r="449" spans="40:42" x14ac:dyDescent="0.2">
      <c r="AN449">
        <v>49.699999999999797</v>
      </c>
      <c r="AO449" s="55">
        <f t="shared" si="12"/>
        <v>7502901.381101572</v>
      </c>
      <c r="AP449">
        <f t="shared" si="13"/>
        <v>49.699999999999797</v>
      </c>
    </row>
    <row r="450" spans="40:42" x14ac:dyDescent="0.2">
      <c r="AN450">
        <v>49.799999999999798</v>
      </c>
      <c r="AO450" s="55">
        <f t="shared" ref="AO450:AO452" si="14">4/3*PI()*AN450^3+PI()*AN450^2*($AM$2-2*AN450)</f>
        <v>7532605.0998477582</v>
      </c>
      <c r="AP450">
        <f t="shared" si="13"/>
        <v>49.799999999999798</v>
      </c>
    </row>
    <row r="451" spans="40:42" x14ac:dyDescent="0.2">
      <c r="AN451">
        <v>49.8999999999998</v>
      </c>
      <c r="AO451" s="55">
        <f t="shared" si="14"/>
        <v>7562365.3923944486</v>
      </c>
      <c r="AP451">
        <f t="shared" si="13"/>
        <v>49.8999999999998</v>
      </c>
    </row>
    <row r="452" spans="40:42" x14ac:dyDescent="0.2">
      <c r="AN452">
        <v>49.999999999999801</v>
      </c>
      <c r="AO452" s="55">
        <f t="shared" si="14"/>
        <v>7592182.2461752743</v>
      </c>
      <c r="AP452">
        <f t="shared" si="13"/>
        <v>49.999999999999801</v>
      </c>
    </row>
  </sheetData>
  <sheetProtection password="8E8F" sheet="1" objects="1" scenarios="1"/>
  <dataValidations count="1">
    <dataValidation type="list" showInputMessage="1" showErrorMessage="1" sqref="C10" xr:uid="{00000000-0002-0000-0100-000000000000}">
      <formula1>$F$8:$F$11</formula1>
    </dataValidation>
  </dataValidation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7"/>
  <dimension ref="A1:R452"/>
  <sheetViews>
    <sheetView workbookViewId="0">
      <selection activeCell="C17" sqref="C17"/>
    </sheetView>
  </sheetViews>
  <sheetFormatPr defaultRowHeight="12.75" x14ac:dyDescent="0.2"/>
  <cols>
    <col min="1" max="1" width="40.85546875" style="47" bestFit="1" customWidth="1"/>
    <col min="2" max="2" width="12.85546875" style="47" customWidth="1"/>
    <col min="3" max="3" width="12.5703125" style="47" customWidth="1"/>
    <col min="4" max="4" width="68.5703125" style="47" bestFit="1" customWidth="1"/>
    <col min="14" max="14" width="21.5703125" style="47" customWidth="1"/>
    <col min="15" max="15" width="12.140625" style="47" bestFit="1" customWidth="1"/>
    <col min="16" max="16" width="10.5703125" style="47" customWidth="1"/>
    <col min="17" max="17" width="12.5703125" style="47" bestFit="1" customWidth="1"/>
  </cols>
  <sheetData>
    <row r="1" spans="1:18" x14ac:dyDescent="0.2">
      <c r="A1" t="s">
        <v>146</v>
      </c>
      <c r="B1" t="s">
        <v>1</v>
      </c>
      <c r="C1" s="1"/>
      <c r="D1" s="1" t="s">
        <v>2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">
      <c r="N2" s="16">
        <f>C26</f>
        <v>0</v>
      </c>
      <c r="O2">
        <f>C24</f>
        <v>1219</v>
      </c>
      <c r="P2">
        <v>5</v>
      </c>
      <c r="Q2" s="55">
        <f t="shared" ref="Q2:Q65" si="0">4/3*PI()*P2^3+PI()*P2^2*($O$2-2*P2)</f>
        <v>95478.236730349789</v>
      </c>
      <c r="R2">
        <f t="shared" ref="R2:R65" si="1">P2</f>
        <v>5</v>
      </c>
    </row>
    <row r="3" spans="1:18" ht="12.95" customHeight="1" x14ac:dyDescent="0.2">
      <c r="A3" s="23" t="s">
        <v>147</v>
      </c>
      <c r="C3" s="19"/>
      <c r="D3" s="20" t="s">
        <v>148</v>
      </c>
      <c r="P3">
        <v>5.0999999999999996</v>
      </c>
      <c r="Q3" s="55">
        <f t="shared" si="0"/>
        <v>99330.109972594582</v>
      </c>
      <c r="R3">
        <f t="shared" si="1"/>
        <v>5.0999999999999996</v>
      </c>
    </row>
    <row r="4" spans="1:18" ht="12.95" customHeight="1" x14ac:dyDescent="0.2">
      <c r="A4" s="23"/>
      <c r="C4" s="19"/>
      <c r="D4" s="20" t="s">
        <v>149</v>
      </c>
      <c r="P4">
        <v>5.2</v>
      </c>
      <c r="Q4" s="55">
        <f t="shared" si="0"/>
        <v>103257.9343588326</v>
      </c>
      <c r="R4">
        <f t="shared" si="1"/>
        <v>5.2</v>
      </c>
    </row>
    <row r="5" spans="1:18" ht="12.95" customHeight="1" x14ac:dyDescent="0.2">
      <c r="A5" s="23"/>
      <c r="C5" s="19"/>
      <c r="D5" s="20" t="s">
        <v>150</v>
      </c>
      <c r="P5">
        <v>5.3</v>
      </c>
      <c r="Q5" s="55">
        <f t="shared" si="0"/>
        <v>107261.69732269317</v>
      </c>
      <c r="R5">
        <f t="shared" si="1"/>
        <v>5.3</v>
      </c>
    </row>
    <row r="6" spans="1:18" ht="12.95" customHeight="1" x14ac:dyDescent="0.2">
      <c r="A6" s="23"/>
      <c r="C6" s="19"/>
      <c r="D6" t="s">
        <v>151</v>
      </c>
      <c r="P6">
        <v>5.4</v>
      </c>
      <c r="Q6" s="55">
        <f t="shared" si="0"/>
        <v>111341.38629780572</v>
      </c>
      <c r="R6">
        <f t="shared" si="1"/>
        <v>5.4</v>
      </c>
    </row>
    <row r="7" spans="1:18" ht="12.95" customHeight="1" x14ac:dyDescent="0.2">
      <c r="A7" s="23"/>
      <c r="C7" s="19"/>
      <c r="D7" s="20" t="s">
        <v>152</v>
      </c>
      <c r="P7">
        <v>5.5</v>
      </c>
      <c r="Q7" s="55">
        <f t="shared" si="0"/>
        <v>115496.98871779956</v>
      </c>
      <c r="R7">
        <f t="shared" si="1"/>
        <v>5.5</v>
      </c>
    </row>
    <row r="8" spans="1:18" ht="12.95" customHeight="1" x14ac:dyDescent="0.2">
      <c r="A8" s="23"/>
      <c r="C8" s="19"/>
      <c r="D8" s="20" t="s">
        <v>153</v>
      </c>
      <c r="P8">
        <v>5.6</v>
      </c>
      <c r="Q8" s="55">
        <f t="shared" si="0"/>
        <v>119728.49201630412</v>
      </c>
      <c r="R8">
        <f t="shared" si="1"/>
        <v>5.6</v>
      </c>
    </row>
    <row r="9" spans="1:18" ht="12.95" customHeight="1" x14ac:dyDescent="0.2">
      <c r="A9" s="23"/>
      <c r="C9" s="19"/>
      <c r="D9" s="20" t="s">
        <v>154</v>
      </c>
      <c r="P9">
        <v>5.7</v>
      </c>
      <c r="Q9" s="55">
        <f t="shared" si="0"/>
        <v>124035.88362694887</v>
      </c>
      <c r="R9">
        <f t="shared" si="1"/>
        <v>5.7</v>
      </c>
    </row>
    <row r="10" spans="1:18" ht="12.95" customHeight="1" x14ac:dyDescent="0.2">
      <c r="A10" s="23"/>
      <c r="C10" s="19"/>
      <c r="D10" s="20" t="s">
        <v>155</v>
      </c>
      <c r="P10">
        <v>5.8</v>
      </c>
      <c r="Q10" s="55">
        <f t="shared" si="0"/>
        <v>128419.1509833631</v>
      </c>
      <c r="R10">
        <f t="shared" si="1"/>
        <v>5.8</v>
      </c>
    </row>
    <row r="11" spans="1:18" ht="12.95" customHeight="1" x14ac:dyDescent="0.2">
      <c r="A11" s="23"/>
      <c r="C11" s="19"/>
      <c r="D11" s="20" t="s">
        <v>156</v>
      </c>
      <c r="P11">
        <v>5.9</v>
      </c>
      <c r="Q11" s="55">
        <f t="shared" si="0"/>
        <v>132878.28151917621</v>
      </c>
      <c r="R11">
        <f t="shared" si="1"/>
        <v>5.9</v>
      </c>
    </row>
    <row r="12" spans="1:18" ht="12.95" customHeight="1" x14ac:dyDescent="0.2">
      <c r="A12" s="23"/>
      <c r="C12" s="19"/>
      <c r="D12" s="20" t="s">
        <v>157</v>
      </c>
      <c r="P12">
        <v>6</v>
      </c>
      <c r="Q12" s="55">
        <f t="shared" si="0"/>
        <v>137413.26266801756</v>
      </c>
      <c r="R12">
        <f t="shared" si="1"/>
        <v>6</v>
      </c>
    </row>
    <row r="13" spans="1:18" ht="12.95" customHeight="1" x14ac:dyDescent="0.2">
      <c r="A13" s="23"/>
      <c r="C13" s="19"/>
      <c r="D13" s="20" t="s">
        <v>158</v>
      </c>
      <c r="P13">
        <v>6.1</v>
      </c>
      <c r="Q13" s="55">
        <f t="shared" si="0"/>
        <v>142024.08186351656</v>
      </c>
      <c r="R13">
        <f t="shared" si="1"/>
        <v>6.1</v>
      </c>
    </row>
    <row r="14" spans="1:18" x14ac:dyDescent="0.2">
      <c r="P14">
        <v>6.2</v>
      </c>
      <c r="Q14" s="55">
        <f t="shared" si="0"/>
        <v>146710.72653930265</v>
      </c>
      <c r="R14">
        <f t="shared" si="1"/>
        <v>6.2</v>
      </c>
    </row>
    <row r="15" spans="1:18" ht="12.95" customHeight="1" x14ac:dyDescent="0.2">
      <c r="A15" s="23" t="s">
        <v>24</v>
      </c>
      <c r="B15" s="23"/>
      <c r="D15" t="s">
        <v>25</v>
      </c>
      <c r="P15">
        <v>6.3</v>
      </c>
      <c r="Q15" s="55">
        <f t="shared" si="0"/>
        <v>151473.18412900518</v>
      </c>
      <c r="R15">
        <f t="shared" si="1"/>
        <v>6.3</v>
      </c>
    </row>
    <row r="16" spans="1:18" x14ac:dyDescent="0.2">
      <c r="A16" t="s">
        <v>27</v>
      </c>
      <c r="B16" t="s">
        <v>28</v>
      </c>
      <c r="C16" s="21" t="s">
        <v>159</v>
      </c>
      <c r="D16" s="20" t="s">
        <v>160</v>
      </c>
      <c r="P16">
        <v>6.4</v>
      </c>
      <c r="Q16" s="55">
        <f t="shared" si="0"/>
        <v>156311.44206625348</v>
      </c>
      <c r="R16">
        <f t="shared" si="1"/>
        <v>6.4</v>
      </c>
    </row>
    <row r="17" spans="1:18" x14ac:dyDescent="0.2">
      <c r="A17" t="s">
        <v>161</v>
      </c>
      <c r="B17" t="s">
        <v>31</v>
      </c>
      <c r="C17" s="34">
        <v>250</v>
      </c>
      <c r="D17" t="s">
        <v>32</v>
      </c>
      <c r="P17">
        <v>6.4999999999999902</v>
      </c>
      <c r="Q17" s="55">
        <f t="shared" si="0"/>
        <v>161225.48778467652</v>
      </c>
      <c r="R17">
        <f t="shared" si="1"/>
        <v>6.4999999999999902</v>
      </c>
    </row>
    <row r="18" spans="1:18" x14ac:dyDescent="0.2">
      <c r="A18" t="s">
        <v>33</v>
      </c>
      <c r="B18" s="21" t="s">
        <v>34</v>
      </c>
      <c r="C18" s="22" t="s">
        <v>162</v>
      </c>
      <c r="D18" t="s">
        <v>163</v>
      </c>
      <c r="P18">
        <v>6.5999999999999899</v>
      </c>
      <c r="Q18" s="55">
        <f t="shared" si="0"/>
        <v>166215.30871790455</v>
      </c>
      <c r="R18">
        <f t="shared" si="1"/>
        <v>6.5999999999999899</v>
      </c>
    </row>
    <row r="19" spans="1:18" x14ac:dyDescent="0.2">
      <c r="A19" t="s">
        <v>164</v>
      </c>
      <c r="B19" s="21"/>
      <c r="C19" s="22" t="s">
        <v>165</v>
      </c>
      <c r="D19" s="20" t="s">
        <v>166</v>
      </c>
      <c r="P19">
        <v>6.6999999999999904</v>
      </c>
      <c r="Q19" s="55">
        <f t="shared" si="0"/>
        <v>171280.89229956665</v>
      </c>
      <c r="R19">
        <f t="shared" si="1"/>
        <v>6.6999999999999904</v>
      </c>
    </row>
    <row r="20" spans="1:18" x14ac:dyDescent="0.2">
      <c r="P20">
        <v>6.7999999999999901</v>
      </c>
      <c r="Q20" s="55">
        <f t="shared" si="0"/>
        <v>176422.22596329209</v>
      </c>
      <c r="R20">
        <f t="shared" si="1"/>
        <v>6.7999999999999901</v>
      </c>
    </row>
    <row r="21" spans="1:18" x14ac:dyDescent="0.2">
      <c r="A21" t="s">
        <v>167</v>
      </c>
      <c r="B21" s="20" t="s">
        <v>51</v>
      </c>
      <c r="C21" s="35">
        <v>0.8</v>
      </c>
      <c r="D21" s="20" t="s">
        <v>168</v>
      </c>
      <c r="P21">
        <v>6.8999999999999897</v>
      </c>
      <c r="Q21" s="55">
        <f t="shared" si="0"/>
        <v>181639.29714271025</v>
      </c>
      <c r="R21">
        <f t="shared" si="1"/>
        <v>6.8999999999999897</v>
      </c>
    </row>
    <row r="22" spans="1:18" x14ac:dyDescent="0.2">
      <c r="P22">
        <v>6.9999999999999902</v>
      </c>
      <c r="Q22" s="55">
        <f t="shared" si="0"/>
        <v>186932.09327145055</v>
      </c>
      <c r="R22">
        <f t="shared" si="1"/>
        <v>6.9999999999999902</v>
      </c>
    </row>
    <row r="23" spans="1:18" ht="13.5" customHeight="1" thickBot="1" x14ac:dyDescent="0.25">
      <c r="A23" s="23" t="s">
        <v>36</v>
      </c>
      <c r="B23" s="23"/>
      <c r="P23">
        <v>7.0999999999999899</v>
      </c>
      <c r="Q23" s="55">
        <f t="shared" si="0"/>
        <v>192300.60178314234</v>
      </c>
      <c r="R23">
        <f t="shared" si="1"/>
        <v>7.0999999999999899</v>
      </c>
    </row>
    <row r="24" spans="1:18" ht="15.95" customHeight="1" thickTop="1" x14ac:dyDescent="0.2">
      <c r="A24" t="s">
        <v>37</v>
      </c>
      <c r="B24" t="s">
        <v>38</v>
      </c>
      <c r="C24" s="36">
        <v>1219</v>
      </c>
      <c r="D24" t="s">
        <v>39</v>
      </c>
      <c r="P24">
        <v>7.1999999999999904</v>
      </c>
      <c r="Q24" s="55">
        <f t="shared" si="0"/>
        <v>197744.81011141505</v>
      </c>
      <c r="R24">
        <f t="shared" si="1"/>
        <v>7.1999999999999904</v>
      </c>
    </row>
    <row r="25" spans="1:18" ht="15.6" customHeight="1" x14ac:dyDescent="0.2">
      <c r="A25" t="s">
        <v>40</v>
      </c>
      <c r="B25" t="s">
        <v>38</v>
      </c>
      <c r="C25" s="37">
        <v>28</v>
      </c>
      <c r="D25" t="s">
        <v>39</v>
      </c>
      <c r="E25">
        <f>C25*0.3937</f>
        <v>11.0236</v>
      </c>
      <c r="F25" s="20" t="s">
        <v>80</v>
      </c>
      <c r="P25">
        <v>7.2999999999999901</v>
      </c>
      <c r="Q25" s="55">
        <f t="shared" si="0"/>
        <v>203264.70568989805</v>
      </c>
      <c r="R25">
        <f t="shared" si="1"/>
        <v>7.2999999999999901</v>
      </c>
    </row>
    <row r="26" spans="1:18" ht="15.95" customHeight="1" thickBot="1" x14ac:dyDescent="0.25">
      <c r="A26" t="s">
        <v>41</v>
      </c>
      <c r="B26" t="s">
        <v>42</v>
      </c>
      <c r="C26" s="38"/>
      <c r="D26" t="s">
        <v>43</v>
      </c>
      <c r="P26">
        <v>7.3999999999999897</v>
      </c>
      <c r="Q26" s="55">
        <f t="shared" si="0"/>
        <v>208860.27595222069</v>
      </c>
      <c r="R26">
        <f t="shared" si="1"/>
        <v>7.3999999999999897</v>
      </c>
    </row>
    <row r="27" spans="1:18" ht="12.95" customHeight="1" thickTop="1" x14ac:dyDescent="0.2">
      <c r="C27" s="19"/>
      <c r="P27">
        <v>7.4999999999999902</v>
      </c>
      <c r="Q27" s="55">
        <f t="shared" si="0"/>
        <v>214531.50833201245</v>
      </c>
      <c r="R27">
        <f t="shared" si="1"/>
        <v>7.4999999999999902</v>
      </c>
    </row>
    <row r="28" spans="1:18" ht="12.95" customHeight="1" x14ac:dyDescent="0.2">
      <c r="A28" s="23" t="s">
        <v>44</v>
      </c>
      <c r="B28" s="23"/>
      <c r="P28">
        <v>7.5999999999999899</v>
      </c>
      <c r="Q28" s="55">
        <f t="shared" si="0"/>
        <v>220278.39026290257</v>
      </c>
      <c r="R28">
        <f t="shared" si="1"/>
        <v>7.5999999999999899</v>
      </c>
    </row>
    <row r="29" spans="1:18" x14ac:dyDescent="0.2">
      <c r="A29" t="s">
        <v>45</v>
      </c>
      <c r="B29" t="s">
        <v>38</v>
      </c>
      <c r="C29" s="8">
        <f>IF(C24=0,(C26-4/3*PI()*C25^3)/(PI()*C25^2)+2*C25,C24)</f>
        <v>1219</v>
      </c>
      <c r="D29" s="17">
        <f>E29</f>
        <v>479.9203</v>
      </c>
      <c r="E29">
        <f>C29*0.3937</f>
        <v>479.9203</v>
      </c>
      <c r="F29" s="20" t="s">
        <v>80</v>
      </c>
      <c r="P29">
        <v>7.6999999999999904</v>
      </c>
      <c r="Q29" s="55">
        <f t="shared" si="0"/>
        <v>226100.90917852055</v>
      </c>
      <c r="R29">
        <f t="shared" si="1"/>
        <v>7.6999999999999904</v>
      </c>
    </row>
    <row r="30" spans="1:18" x14ac:dyDescent="0.2">
      <c r="A30" t="s">
        <v>47</v>
      </c>
      <c r="B30" t="s">
        <v>38</v>
      </c>
      <c r="C30" s="8">
        <f>IF(C25=0,VLOOKUP(C26,Q:R,2),C25)</f>
        <v>28</v>
      </c>
      <c r="E30">
        <f>C30*0.3937</f>
        <v>11.0236</v>
      </c>
      <c r="F30" s="20" t="s">
        <v>80</v>
      </c>
      <c r="P30">
        <v>7.7999999999999901</v>
      </c>
      <c r="Q30" s="55">
        <f t="shared" si="0"/>
        <v>231999.05251249581</v>
      </c>
      <c r="R30">
        <f t="shared" si="1"/>
        <v>7.7999999999999901</v>
      </c>
    </row>
    <row r="31" spans="1:18" x14ac:dyDescent="0.2">
      <c r="A31" t="s">
        <v>48</v>
      </c>
      <c r="B31" t="s">
        <v>42</v>
      </c>
      <c r="C31" s="19">
        <f>(4/3*PI()*C30^3+PI()*C30^2*(C29-2*C30))</f>
        <v>2956431.3713774155</v>
      </c>
      <c r="D31" t="s">
        <v>49</v>
      </c>
      <c r="F31" s="20"/>
      <c r="P31">
        <v>7.8999999999999897</v>
      </c>
      <c r="Q31" s="55">
        <f t="shared" si="0"/>
        <v>237972.80769845759</v>
      </c>
      <c r="R31">
        <f t="shared" si="1"/>
        <v>7.8999999999999897</v>
      </c>
    </row>
    <row r="32" spans="1:18" x14ac:dyDescent="0.2">
      <c r="A32" t="s">
        <v>50</v>
      </c>
      <c r="B32" t="s">
        <v>51</v>
      </c>
      <c r="C32" s="10" t="e">
        <f>C31/C26</f>
        <v>#DIV/0!</v>
      </c>
      <c r="D32" t="s">
        <v>169</v>
      </c>
      <c r="P32">
        <v>7.9999999999999902</v>
      </c>
      <c r="Q32" s="55">
        <f t="shared" si="0"/>
        <v>244022.16217003539</v>
      </c>
      <c r="R32">
        <f t="shared" si="1"/>
        <v>7.9999999999999902</v>
      </c>
    </row>
    <row r="33" spans="1:18" x14ac:dyDescent="0.2">
      <c r="C33" s="10"/>
      <c r="P33">
        <v>8.0999999999999908</v>
      </c>
      <c r="Q33" s="55">
        <f t="shared" si="0"/>
        <v>250147.10336085863</v>
      </c>
      <c r="R33">
        <f t="shared" si="1"/>
        <v>8.0999999999999908</v>
      </c>
    </row>
    <row r="34" spans="1:18" ht="12.95" customHeight="1" x14ac:dyDescent="0.2">
      <c r="A34" s="23" t="s">
        <v>170</v>
      </c>
      <c r="C34" s="10"/>
      <c r="P34">
        <v>8.1999999999999904</v>
      </c>
      <c r="Q34" s="55">
        <f t="shared" si="0"/>
        <v>256347.61870455643</v>
      </c>
      <c r="R34">
        <f t="shared" si="1"/>
        <v>8.1999999999999904</v>
      </c>
    </row>
    <row r="35" spans="1:18" x14ac:dyDescent="0.2">
      <c r="A35" t="s">
        <v>171</v>
      </c>
      <c r="B35" t="s">
        <v>113</v>
      </c>
      <c r="C35" s="8">
        <f>C17*2.25</f>
        <v>562.5</v>
      </c>
      <c r="P35">
        <v>8.2999999999999901</v>
      </c>
      <c r="Q35" s="55">
        <f t="shared" si="0"/>
        <v>262623.69563475851</v>
      </c>
      <c r="R35">
        <f t="shared" si="1"/>
        <v>8.2999999999999901</v>
      </c>
    </row>
    <row r="36" spans="1:18" x14ac:dyDescent="0.2">
      <c r="A36" t="s">
        <v>172</v>
      </c>
      <c r="B36" t="s">
        <v>51</v>
      </c>
      <c r="C36" s="10">
        <v>0.21</v>
      </c>
      <c r="D36" t="s">
        <v>173</v>
      </c>
      <c r="P36">
        <v>8.3999999999999897</v>
      </c>
      <c r="Q36" s="55">
        <f t="shared" si="0"/>
        <v>268975.32158509409</v>
      </c>
      <c r="R36">
        <f t="shared" si="1"/>
        <v>8.3999999999999897</v>
      </c>
    </row>
    <row r="37" spans="1:18" x14ac:dyDescent="0.2">
      <c r="A37" t="s">
        <v>174</v>
      </c>
      <c r="B37" t="s">
        <v>113</v>
      </c>
      <c r="C37" s="8">
        <f>C35*C36</f>
        <v>118.125</v>
      </c>
      <c r="P37">
        <v>8.4999999999999893</v>
      </c>
      <c r="Q37" s="55">
        <f t="shared" si="0"/>
        <v>275402.48398919252</v>
      </c>
      <c r="R37">
        <f t="shared" si="1"/>
        <v>8.4999999999999893</v>
      </c>
    </row>
    <row r="38" spans="1:18" x14ac:dyDescent="0.2">
      <c r="A38" t="s">
        <v>175</v>
      </c>
      <c r="B38" t="s">
        <v>31</v>
      </c>
      <c r="C38" s="8">
        <v>3103</v>
      </c>
      <c r="D38" t="s">
        <v>176</v>
      </c>
      <c r="P38">
        <v>8.5999999999999908</v>
      </c>
      <c r="Q38" s="55">
        <f t="shared" si="0"/>
        <v>281905.17028068338</v>
      </c>
      <c r="R38">
        <f t="shared" si="1"/>
        <v>8.5999999999999908</v>
      </c>
    </row>
    <row r="39" spans="1:18" x14ac:dyDescent="0.2">
      <c r="A39" s="20" t="s">
        <v>177</v>
      </c>
      <c r="B39" s="20" t="s">
        <v>38</v>
      </c>
      <c r="C39" s="27">
        <f>MAX(0.3,C37*C30/C38)</f>
        <v>1.0659039639058976</v>
      </c>
      <c r="D39" t="s">
        <v>178</v>
      </c>
      <c r="P39">
        <v>8.6999999999999904</v>
      </c>
      <c r="Q39" s="55">
        <f t="shared" si="0"/>
        <v>288483.36789319583</v>
      </c>
      <c r="R39">
        <f t="shared" si="1"/>
        <v>8.6999999999999904</v>
      </c>
    </row>
    <row r="40" spans="1:18" x14ac:dyDescent="0.2">
      <c r="C40" s="8"/>
      <c r="P40">
        <v>8.7999999999999901</v>
      </c>
      <c r="Q40" s="55">
        <f t="shared" si="0"/>
        <v>295137.06426035939</v>
      </c>
      <c r="R40">
        <f t="shared" si="1"/>
        <v>8.7999999999999901</v>
      </c>
    </row>
    <row r="41" spans="1:18" x14ac:dyDescent="0.2">
      <c r="C41" s="8"/>
      <c r="P41">
        <v>8.8999999999999897</v>
      </c>
      <c r="Q41" s="55">
        <f t="shared" si="0"/>
        <v>301866.2468158034</v>
      </c>
      <c r="R41">
        <f t="shared" si="1"/>
        <v>8.8999999999999897</v>
      </c>
    </row>
    <row r="42" spans="1:18" ht="12.95" customHeight="1" x14ac:dyDescent="0.2">
      <c r="A42" s="23" t="s">
        <v>179</v>
      </c>
      <c r="B42" s="23"/>
      <c r="D42" s="20" t="s">
        <v>180</v>
      </c>
      <c r="P42">
        <v>8.9999999999999893</v>
      </c>
      <c r="Q42" s="55">
        <f t="shared" si="0"/>
        <v>308670.90299315716</v>
      </c>
      <c r="R42">
        <f t="shared" si="1"/>
        <v>8.9999999999999893</v>
      </c>
    </row>
    <row r="43" spans="1:18" x14ac:dyDescent="0.2">
      <c r="A43" s="20" t="s">
        <v>181</v>
      </c>
      <c r="B43" s="20" t="s">
        <v>31</v>
      </c>
      <c r="C43">
        <v>15306</v>
      </c>
      <c r="P43">
        <v>9.0999999999999908</v>
      </c>
      <c r="Q43" s="55">
        <f t="shared" si="0"/>
        <v>315551.0202260504</v>
      </c>
      <c r="R43">
        <f t="shared" si="1"/>
        <v>9.0999999999999908</v>
      </c>
    </row>
    <row r="44" spans="1:18" x14ac:dyDescent="0.2">
      <c r="A44" s="20" t="s">
        <v>182</v>
      </c>
      <c r="B44" s="21" t="s">
        <v>34</v>
      </c>
      <c r="C44">
        <v>2.25</v>
      </c>
      <c r="D44" t="s">
        <v>183</v>
      </c>
      <c r="P44">
        <v>9.1999999999999904</v>
      </c>
      <c r="Q44" s="55">
        <f t="shared" si="0"/>
        <v>322506.58594811207</v>
      </c>
      <c r="R44">
        <f t="shared" si="1"/>
        <v>9.1999999999999904</v>
      </c>
    </row>
    <row r="45" spans="1:18" x14ac:dyDescent="0.2">
      <c r="A45" s="20" t="s">
        <v>184</v>
      </c>
      <c r="B45" s="20" t="s">
        <v>38</v>
      </c>
      <c r="C45" s="8">
        <f>C30+C39</f>
        <v>29.065903963905896</v>
      </c>
      <c r="P45">
        <v>9.2999999999999794</v>
      </c>
      <c r="Q45" s="55">
        <f t="shared" si="0"/>
        <v>329537.58759297093</v>
      </c>
      <c r="R45">
        <f t="shared" si="1"/>
        <v>9.2999999999999794</v>
      </c>
    </row>
    <row r="46" spans="1:18" x14ac:dyDescent="0.2">
      <c r="A46" t="s">
        <v>185</v>
      </c>
      <c r="B46" t="s">
        <v>38</v>
      </c>
      <c r="C46">
        <f>(C17*C45/C43*C44)/C21</f>
        <v>1.3352256451470883</v>
      </c>
      <c r="D46" t="s">
        <v>186</v>
      </c>
      <c r="P46">
        <v>9.3999999999999808</v>
      </c>
      <c r="Q46" s="55">
        <f t="shared" si="0"/>
        <v>336644.01259425812</v>
      </c>
      <c r="R46">
        <f t="shared" si="1"/>
        <v>9.3999999999999808</v>
      </c>
    </row>
    <row r="47" spans="1:18" x14ac:dyDescent="0.2">
      <c r="A47" t="s">
        <v>187</v>
      </c>
      <c r="B47" t="s">
        <v>38</v>
      </c>
      <c r="C47">
        <v>9.1439999999999994E-2</v>
      </c>
      <c r="D47" t="s">
        <v>188</v>
      </c>
      <c r="P47">
        <v>9.4999999999999805</v>
      </c>
      <c r="Q47" s="55">
        <f t="shared" si="0"/>
        <v>343825.84838560189</v>
      </c>
      <c r="R47">
        <f t="shared" si="1"/>
        <v>9.4999999999999805</v>
      </c>
    </row>
    <row r="48" spans="1:18" x14ac:dyDescent="0.2">
      <c r="A48" t="s">
        <v>189</v>
      </c>
      <c r="C48">
        <f>ROUNDUP(C46/C47,0)</f>
        <v>15</v>
      </c>
      <c r="P48">
        <v>9.5999999999999801</v>
      </c>
      <c r="Q48" s="55">
        <f t="shared" si="0"/>
        <v>351083.0824006318</v>
      </c>
      <c r="R48">
        <f t="shared" si="1"/>
        <v>9.5999999999999801</v>
      </c>
    </row>
    <row r="49" spans="1:18" x14ac:dyDescent="0.2">
      <c r="A49" t="s">
        <v>190</v>
      </c>
      <c r="B49" t="s">
        <v>38</v>
      </c>
      <c r="C49">
        <f>C48*C47</f>
        <v>1.3715999999999999</v>
      </c>
      <c r="P49">
        <v>9.6999999999999797</v>
      </c>
      <c r="Q49" s="55">
        <f t="shared" si="0"/>
        <v>358415.70207297738</v>
      </c>
      <c r="R49">
        <f t="shared" si="1"/>
        <v>9.6999999999999797</v>
      </c>
    </row>
    <row r="50" spans="1:18" x14ac:dyDescent="0.2">
      <c r="A50" t="s">
        <v>191</v>
      </c>
      <c r="B50" t="s">
        <v>38</v>
      </c>
      <c r="C50">
        <f>3*C47</f>
        <v>0.27432000000000001</v>
      </c>
      <c r="D50" t="s">
        <v>192</v>
      </c>
      <c r="P50">
        <v>9.7999999999999794</v>
      </c>
      <c r="Q50" s="55">
        <f t="shared" si="0"/>
        <v>365823.69483626774</v>
      </c>
      <c r="R50">
        <f t="shared" si="1"/>
        <v>9.7999999999999794</v>
      </c>
    </row>
    <row r="51" spans="1:18" x14ac:dyDescent="0.2">
      <c r="A51" t="s">
        <v>193</v>
      </c>
      <c r="B51" t="s">
        <v>38</v>
      </c>
      <c r="C51">
        <f>MAX(C49:C50)</f>
        <v>1.3715999999999999</v>
      </c>
      <c r="P51">
        <v>9.8999999999999808</v>
      </c>
      <c r="Q51" s="55">
        <f t="shared" si="0"/>
        <v>373307.04812413268</v>
      </c>
      <c r="R51">
        <f t="shared" si="1"/>
        <v>9.8999999999999808</v>
      </c>
    </row>
    <row r="52" spans="1:18" x14ac:dyDescent="0.2">
      <c r="A52" t="s">
        <v>194</v>
      </c>
      <c r="C52" s="26">
        <f>+C44*C49/C46</f>
        <v>2.3112947322548134</v>
      </c>
      <c r="D52" t="s">
        <v>195</v>
      </c>
      <c r="P52">
        <v>9.9999999999999805</v>
      </c>
      <c r="Q52" s="55">
        <f t="shared" si="0"/>
        <v>380865.74937020108</v>
      </c>
      <c r="R52">
        <f t="shared" si="1"/>
        <v>9.9999999999999805</v>
      </c>
    </row>
    <row r="53" spans="1:18" x14ac:dyDescent="0.2">
      <c r="A53" t="s">
        <v>196</v>
      </c>
      <c r="B53" t="s">
        <v>31</v>
      </c>
      <c r="C53" s="8">
        <f>C52*C17</f>
        <v>577.82368306370336</v>
      </c>
      <c r="P53">
        <v>10.1</v>
      </c>
      <c r="Q53" s="55">
        <f t="shared" si="0"/>
        <v>388499.7860081041</v>
      </c>
      <c r="R53">
        <f t="shared" si="1"/>
        <v>10.1</v>
      </c>
    </row>
    <row r="54" spans="1:18" x14ac:dyDescent="0.2">
      <c r="P54">
        <v>10.199999999999999</v>
      </c>
      <c r="Q54" s="55">
        <f t="shared" si="0"/>
        <v>396209.1454714681</v>
      </c>
      <c r="R54">
        <f t="shared" si="1"/>
        <v>10.199999999999999</v>
      </c>
    </row>
    <row r="55" spans="1:18" ht="12.95" customHeight="1" x14ac:dyDescent="0.2">
      <c r="A55" s="23" t="s">
        <v>197</v>
      </c>
      <c r="B55" s="23"/>
      <c r="D55" s="20" t="s">
        <v>198</v>
      </c>
      <c r="P55">
        <v>10.3</v>
      </c>
      <c r="Q55" s="55">
        <f t="shared" si="0"/>
        <v>403993.81519392418</v>
      </c>
      <c r="R55">
        <f t="shared" si="1"/>
        <v>10.3</v>
      </c>
    </row>
    <row r="56" spans="1:18" x14ac:dyDescent="0.2">
      <c r="A56" s="20" t="s">
        <v>199</v>
      </c>
      <c r="B56" s="20" t="s">
        <v>31</v>
      </c>
      <c r="C56">
        <v>3103</v>
      </c>
      <c r="D56" s="20" t="s">
        <v>176</v>
      </c>
      <c r="P56">
        <v>10.4</v>
      </c>
      <c r="Q56" s="55">
        <f t="shared" si="0"/>
        <v>411853.78260910121</v>
      </c>
      <c r="R56">
        <f t="shared" si="1"/>
        <v>10.4</v>
      </c>
    </row>
    <row r="57" spans="1:18" x14ac:dyDescent="0.2">
      <c r="A57" s="20" t="s">
        <v>200</v>
      </c>
      <c r="B57" s="20" t="s">
        <v>31</v>
      </c>
      <c r="C57">
        <f>C39*C56/C30</f>
        <v>118.125</v>
      </c>
      <c r="P57">
        <v>10.5</v>
      </c>
      <c r="Q57" s="55">
        <f t="shared" si="0"/>
        <v>419789.03515062894</v>
      </c>
      <c r="R57">
        <f t="shared" si="1"/>
        <v>10.5</v>
      </c>
    </row>
    <row r="58" spans="1:18" x14ac:dyDescent="0.2">
      <c r="A58" s="20" t="s">
        <v>201</v>
      </c>
      <c r="B58" s="20" t="s">
        <v>31</v>
      </c>
      <c r="C58">
        <f>(C17*C44-C57)</f>
        <v>444.375</v>
      </c>
      <c r="D58" t="s">
        <v>202</v>
      </c>
      <c r="P58">
        <v>10.6</v>
      </c>
      <c r="Q58" s="55">
        <f t="shared" si="0"/>
        <v>427799.56025213667</v>
      </c>
      <c r="R58">
        <f t="shared" si="1"/>
        <v>10.6</v>
      </c>
    </row>
    <row r="59" spans="1:18" x14ac:dyDescent="0.2">
      <c r="A59" t="s">
        <v>185</v>
      </c>
      <c r="B59" t="s">
        <v>38</v>
      </c>
      <c r="C59">
        <f>C58*C45/(C43*C21)</f>
        <v>1.0548282596661995</v>
      </c>
      <c r="D59" t="s">
        <v>203</v>
      </c>
      <c r="P59">
        <v>10.7</v>
      </c>
      <c r="Q59" s="55">
        <f t="shared" si="0"/>
        <v>435885.34534725372</v>
      </c>
      <c r="R59">
        <f t="shared" si="1"/>
        <v>10.7</v>
      </c>
    </row>
    <row r="60" spans="1:18" x14ac:dyDescent="0.2">
      <c r="A60" t="s">
        <v>187</v>
      </c>
      <c r="B60" t="s">
        <v>38</v>
      </c>
      <c r="C60">
        <v>9.1439999999999994E-2</v>
      </c>
      <c r="D60" t="s">
        <v>188</v>
      </c>
      <c r="P60">
        <v>10.8</v>
      </c>
      <c r="Q60" s="55">
        <f t="shared" si="0"/>
        <v>444046.37786960992</v>
      </c>
      <c r="R60">
        <f t="shared" si="1"/>
        <v>10.8</v>
      </c>
    </row>
    <row r="61" spans="1:18" x14ac:dyDescent="0.2">
      <c r="A61" t="s">
        <v>189</v>
      </c>
      <c r="C61">
        <f>ROUNDUP(C59/C60,0)</f>
        <v>12</v>
      </c>
      <c r="P61">
        <v>10.9</v>
      </c>
      <c r="Q61" s="55">
        <f t="shared" si="0"/>
        <v>452282.6452528339</v>
      </c>
      <c r="R61">
        <f t="shared" si="1"/>
        <v>10.9</v>
      </c>
    </row>
    <row r="62" spans="1:18" x14ac:dyDescent="0.2">
      <c r="A62" t="s">
        <v>190</v>
      </c>
      <c r="B62" t="s">
        <v>38</v>
      </c>
      <c r="C62">
        <f>C61*C60</f>
        <v>1.09728</v>
      </c>
      <c r="P62">
        <v>11</v>
      </c>
      <c r="Q62" s="55">
        <f t="shared" si="0"/>
        <v>460594.13493055559</v>
      </c>
      <c r="R62">
        <f t="shared" si="1"/>
        <v>11</v>
      </c>
    </row>
    <row r="63" spans="1:18" x14ac:dyDescent="0.2">
      <c r="A63" t="s">
        <v>191</v>
      </c>
      <c r="B63" t="s">
        <v>38</v>
      </c>
      <c r="C63">
        <f>3*C60</f>
        <v>0.27432000000000001</v>
      </c>
      <c r="D63" t="s">
        <v>192</v>
      </c>
      <c r="P63">
        <v>11.1</v>
      </c>
      <c r="Q63" s="55">
        <f t="shared" si="0"/>
        <v>468980.83433640411</v>
      </c>
      <c r="R63">
        <f t="shared" si="1"/>
        <v>11.1</v>
      </c>
    </row>
    <row r="64" spans="1:18" x14ac:dyDescent="0.2">
      <c r="A64" t="s">
        <v>193</v>
      </c>
      <c r="B64" t="s">
        <v>38</v>
      </c>
      <c r="C64">
        <f>MAX(C62:C63)</f>
        <v>1.09728</v>
      </c>
      <c r="P64">
        <v>11.2</v>
      </c>
      <c r="Q64" s="55">
        <f t="shared" si="0"/>
        <v>477442.73090400896</v>
      </c>
      <c r="R64">
        <f t="shared" si="1"/>
        <v>11.2</v>
      </c>
    </row>
    <row r="65" spans="1:18" x14ac:dyDescent="0.2">
      <c r="A65" t="s">
        <v>204</v>
      </c>
      <c r="B65" t="s">
        <v>205</v>
      </c>
      <c r="C65" s="30">
        <f>C58/(C58+C57)</f>
        <v>0.79</v>
      </c>
      <c r="D65" t="s">
        <v>206</v>
      </c>
      <c r="P65">
        <v>11.3</v>
      </c>
      <c r="Q65" s="55">
        <f t="shared" si="0"/>
        <v>485979.81206699979</v>
      </c>
      <c r="R65">
        <f t="shared" si="1"/>
        <v>11.3</v>
      </c>
    </row>
    <row r="66" spans="1:18" x14ac:dyDescent="0.2">
      <c r="C66" s="8"/>
      <c r="P66">
        <v>11.4</v>
      </c>
      <c r="Q66" s="55">
        <f t="shared" ref="Q66:Q129" si="2">4/3*PI()*P66^3+PI()*P66^2*($O$2-2*P66)</f>
        <v>494592.06525900553</v>
      </c>
      <c r="R66">
        <f t="shared" ref="R66:R129" si="3">P66</f>
        <v>11.4</v>
      </c>
    </row>
    <row r="67" spans="1:18" ht="12.95" customHeight="1" x14ac:dyDescent="0.2">
      <c r="A67" s="23" t="s">
        <v>207</v>
      </c>
      <c r="B67" s="23" t="s">
        <v>208</v>
      </c>
      <c r="C67" s="23" t="s">
        <v>209</v>
      </c>
      <c r="P67">
        <v>11.5</v>
      </c>
      <c r="Q67" s="55">
        <f t="shared" si="2"/>
        <v>503279.47791365563</v>
      </c>
      <c r="R67">
        <f t="shared" si="3"/>
        <v>11.5</v>
      </c>
    </row>
    <row r="68" spans="1:18" x14ac:dyDescent="0.2">
      <c r="A68" t="s">
        <v>210</v>
      </c>
      <c r="B68" s="8">
        <f>C68</f>
        <v>28</v>
      </c>
      <c r="C68" s="8">
        <f>C30</f>
        <v>28</v>
      </c>
      <c r="P68">
        <v>11.6</v>
      </c>
      <c r="Q68" s="55">
        <f t="shared" si="2"/>
        <v>512042.0374645798</v>
      </c>
      <c r="R68">
        <f t="shared" si="3"/>
        <v>11.6</v>
      </c>
    </row>
    <row r="69" spans="1:18" x14ac:dyDescent="0.2">
      <c r="A69" t="s">
        <v>211</v>
      </c>
      <c r="B69" s="8">
        <f>C69</f>
        <v>1219</v>
      </c>
      <c r="C69" s="8">
        <f>C29</f>
        <v>1219</v>
      </c>
      <c r="P69">
        <v>11.7</v>
      </c>
      <c r="Q69" s="55">
        <f t="shared" si="2"/>
        <v>520879.73134540697</v>
      </c>
      <c r="R69">
        <f t="shared" si="3"/>
        <v>11.7</v>
      </c>
    </row>
    <row r="70" spans="1:18" x14ac:dyDescent="0.2">
      <c r="A70" t="s">
        <v>212</v>
      </c>
      <c r="B70" s="8">
        <f>C70</f>
        <v>1.0659039639058976</v>
      </c>
      <c r="C70">
        <f>C39</f>
        <v>1.0659039639058976</v>
      </c>
      <c r="P70">
        <v>11.8</v>
      </c>
      <c r="Q70" s="55">
        <f t="shared" si="2"/>
        <v>529792.54698976711</v>
      </c>
      <c r="R70">
        <f t="shared" si="3"/>
        <v>11.8</v>
      </c>
    </row>
    <row r="71" spans="1:18" x14ac:dyDescent="0.2">
      <c r="A71" t="s">
        <v>213</v>
      </c>
      <c r="B71">
        <f>C64</f>
        <v>1.09728</v>
      </c>
      <c r="C71">
        <f>C51</f>
        <v>1.3715999999999999</v>
      </c>
      <c r="P71">
        <v>11.9</v>
      </c>
      <c r="Q71" s="55">
        <f t="shared" si="2"/>
        <v>538780.47183128912</v>
      </c>
      <c r="R71">
        <f t="shared" si="3"/>
        <v>11.9</v>
      </c>
    </row>
    <row r="72" spans="1:18" x14ac:dyDescent="0.2">
      <c r="A72" t="s">
        <v>214</v>
      </c>
      <c r="B72">
        <v>2.663E-3</v>
      </c>
      <c r="C72">
        <v>2.663E-3</v>
      </c>
      <c r="P72">
        <v>12</v>
      </c>
      <c r="Q72" s="55">
        <f t="shared" si="2"/>
        <v>547843.49330360244</v>
      </c>
      <c r="R72">
        <f t="shared" si="3"/>
        <v>12</v>
      </c>
    </row>
    <row r="73" spans="1:18" x14ac:dyDescent="0.2">
      <c r="A73" t="s">
        <v>215</v>
      </c>
      <c r="B73">
        <v>1.611E-3</v>
      </c>
      <c r="C73">
        <v>1.611E-3</v>
      </c>
      <c r="P73">
        <v>12.1</v>
      </c>
      <c r="Q73" s="55">
        <f t="shared" si="2"/>
        <v>556981.59884033666</v>
      </c>
      <c r="R73">
        <f t="shared" si="3"/>
        <v>12.1</v>
      </c>
    </row>
    <row r="74" spans="1:18" x14ac:dyDescent="0.2">
      <c r="P74">
        <v>12.2</v>
      </c>
      <c r="Q74" s="55">
        <f t="shared" si="2"/>
        <v>566194.77587512101</v>
      </c>
      <c r="R74">
        <f t="shared" si="3"/>
        <v>12.2</v>
      </c>
    </row>
    <row r="75" spans="1:18" x14ac:dyDescent="0.2">
      <c r="A75" t="s">
        <v>216</v>
      </c>
      <c r="B75">
        <f>B68+B70+B71</f>
        <v>30.163183963905897</v>
      </c>
      <c r="C75">
        <f>C68+C70+C71</f>
        <v>30.437503963905897</v>
      </c>
      <c r="P75">
        <v>12.3</v>
      </c>
      <c r="Q75" s="55">
        <f t="shared" si="2"/>
        <v>575483.01184158516</v>
      </c>
      <c r="R75">
        <f t="shared" si="3"/>
        <v>12.3</v>
      </c>
    </row>
    <row r="76" spans="1:18" x14ac:dyDescent="0.2">
      <c r="A76" t="s">
        <v>217</v>
      </c>
      <c r="B76">
        <f>B69+2*B70+2*B71</f>
        <v>1223.3263679278118</v>
      </c>
      <c r="C76">
        <f>C69+2*C70+2*C71</f>
        <v>1223.8750079278118</v>
      </c>
      <c r="P76">
        <v>12.4</v>
      </c>
      <c r="Q76" s="55">
        <f t="shared" si="2"/>
        <v>584846.29417335812</v>
      </c>
      <c r="R76">
        <f t="shared" si="3"/>
        <v>12.4</v>
      </c>
    </row>
    <row r="77" spans="1:18" x14ac:dyDescent="0.2">
      <c r="P77">
        <v>12.5</v>
      </c>
      <c r="Q77" s="55">
        <f t="shared" si="2"/>
        <v>594284.61030406924</v>
      </c>
      <c r="R77">
        <f t="shared" si="3"/>
        <v>12.5</v>
      </c>
    </row>
    <row r="78" spans="1:18" x14ac:dyDescent="0.2">
      <c r="A78" t="s">
        <v>218</v>
      </c>
      <c r="B78">
        <f>B68+B70</f>
        <v>29.065903963905896</v>
      </c>
      <c r="C78">
        <f>C68+C70</f>
        <v>29.065903963905896</v>
      </c>
      <c r="P78">
        <v>12.6</v>
      </c>
      <c r="Q78" s="55">
        <f t="shared" si="2"/>
        <v>603797.94766734808</v>
      </c>
      <c r="R78">
        <f t="shared" si="3"/>
        <v>12.6</v>
      </c>
    </row>
    <row r="79" spans="1:18" x14ac:dyDescent="0.2">
      <c r="A79" t="s">
        <v>219</v>
      </c>
      <c r="B79">
        <f>B69+2*B70</f>
        <v>1221.1318079278119</v>
      </c>
      <c r="C79">
        <f>C69+2*C70</f>
        <v>1221.1318079278119</v>
      </c>
      <c r="P79">
        <v>12.7</v>
      </c>
      <c r="Q79" s="55">
        <f t="shared" si="2"/>
        <v>613386.29369682411</v>
      </c>
      <c r="R79">
        <f t="shared" si="3"/>
        <v>12.7</v>
      </c>
    </row>
    <row r="80" spans="1:18" x14ac:dyDescent="0.2">
      <c r="P80">
        <v>12.8</v>
      </c>
      <c r="Q80" s="55">
        <f t="shared" si="2"/>
        <v>623049.63582612702</v>
      </c>
      <c r="R80">
        <f t="shared" si="3"/>
        <v>12.8</v>
      </c>
    </row>
    <row r="81" spans="1:18" x14ac:dyDescent="0.2">
      <c r="A81" t="s">
        <v>220</v>
      </c>
      <c r="B81">
        <f>(4/3*PI()*B75^3+PI()*B75^2*(B76-2*B75))/1000</f>
        <v>3439.128527249175</v>
      </c>
      <c r="C81">
        <f>(4/3*PI()*C75^3+PI()*C75^2*(C76-2*C75))/1000</f>
        <v>3503.0320439152833</v>
      </c>
      <c r="P81">
        <v>12.9</v>
      </c>
      <c r="Q81" s="55">
        <f t="shared" si="2"/>
        <v>632787.96148888534</v>
      </c>
      <c r="R81">
        <f t="shared" si="3"/>
        <v>12.9</v>
      </c>
    </row>
    <row r="82" spans="1:18" x14ac:dyDescent="0.2">
      <c r="A82" t="s">
        <v>221</v>
      </c>
      <c r="B82">
        <f>(4/3*PI()*B78^3+PI()*B78^2*(B79-2*B78))/1000</f>
        <v>3189.5786249636335</v>
      </c>
      <c r="C82">
        <f>(4/3*PI()*C78^3+PI()*C78^2*(C79-2*C78))/1000</f>
        <v>3189.5786249636335</v>
      </c>
      <c r="P82">
        <v>13</v>
      </c>
      <c r="Q82" s="55">
        <f t="shared" si="2"/>
        <v>642601.25811872911</v>
      </c>
      <c r="R82">
        <f t="shared" si="3"/>
        <v>13</v>
      </c>
    </row>
    <row r="83" spans="1:18" x14ac:dyDescent="0.2">
      <c r="A83" t="s">
        <v>222</v>
      </c>
      <c r="B83">
        <f>(4/3*PI()*B68^3+PI()*B68^2*(B69-2*B68))/1000</f>
        <v>2956.4313713774154</v>
      </c>
      <c r="C83">
        <f>(4/3*PI()*C68^3+PI()*C68^2*(C69-2*C68))/1000</f>
        <v>2956.4313713774154</v>
      </c>
      <c r="P83">
        <v>13.1</v>
      </c>
      <c r="Q83" s="55">
        <f t="shared" si="2"/>
        <v>652489.51314928744</v>
      </c>
      <c r="R83">
        <f t="shared" si="3"/>
        <v>13.1</v>
      </c>
    </row>
    <row r="84" spans="1:18" x14ac:dyDescent="0.2">
      <c r="P84">
        <v>13.2</v>
      </c>
      <c r="Q84" s="55">
        <f t="shared" si="2"/>
        <v>662452.71401418955</v>
      </c>
      <c r="R84">
        <f t="shared" si="3"/>
        <v>13.2</v>
      </c>
    </row>
    <row r="85" spans="1:18" x14ac:dyDescent="0.2">
      <c r="A85" t="s">
        <v>223</v>
      </c>
      <c r="B85">
        <f>(B81-B82)*1000</f>
        <v>249549.90228554152</v>
      </c>
      <c r="C85">
        <f>(C81-C82)*1000</f>
        <v>313453.41895164986</v>
      </c>
      <c r="P85">
        <v>13.3</v>
      </c>
      <c r="Q85" s="55">
        <f t="shared" si="2"/>
        <v>672490.84814706573</v>
      </c>
      <c r="R85">
        <f t="shared" si="3"/>
        <v>13.3</v>
      </c>
    </row>
    <row r="86" spans="1:18" x14ac:dyDescent="0.2">
      <c r="A86" t="s">
        <v>224</v>
      </c>
      <c r="B86">
        <f>(B82-B83)*1000</f>
        <v>233147.25358621808</v>
      </c>
      <c r="C86">
        <f>(C82-C83)*1000</f>
        <v>233147.25358621808</v>
      </c>
      <c r="P86">
        <v>13.4</v>
      </c>
      <c r="Q86" s="55">
        <f t="shared" si="2"/>
        <v>682603.90298154438</v>
      </c>
      <c r="R86">
        <f t="shared" si="3"/>
        <v>13.4</v>
      </c>
    </row>
    <row r="87" spans="1:18" x14ac:dyDescent="0.2">
      <c r="P87">
        <v>13.5</v>
      </c>
      <c r="Q87" s="55">
        <f t="shared" si="2"/>
        <v>692791.86595125508</v>
      </c>
      <c r="R87">
        <f t="shared" si="3"/>
        <v>13.5</v>
      </c>
    </row>
    <row r="88" spans="1:18" x14ac:dyDescent="0.2">
      <c r="A88" s="20" t="s">
        <v>225</v>
      </c>
      <c r="B88" s="15">
        <f>B85*B73</f>
        <v>402.0248925820074</v>
      </c>
      <c r="C88" s="26">
        <f>C85*C73</f>
        <v>504.97345793110793</v>
      </c>
      <c r="D88" s="44" t="s">
        <v>226</v>
      </c>
      <c r="P88">
        <v>13.6</v>
      </c>
      <c r="Q88" s="55">
        <f t="shared" si="2"/>
        <v>703054.72448982741</v>
      </c>
      <c r="R88">
        <f t="shared" si="3"/>
        <v>13.6</v>
      </c>
    </row>
    <row r="89" spans="1:18" x14ac:dyDescent="0.2">
      <c r="A89" s="20" t="s">
        <v>227</v>
      </c>
      <c r="B89" s="15">
        <f>B86*B72</f>
        <v>620.87113630009878</v>
      </c>
      <c r="C89" s="26">
        <f>C86*C72</f>
        <v>620.87113630009878</v>
      </c>
      <c r="D89" s="20"/>
      <c r="P89">
        <v>13.7</v>
      </c>
      <c r="Q89" s="55">
        <f t="shared" si="2"/>
        <v>713392.46603089082</v>
      </c>
      <c r="R89">
        <f t="shared" si="3"/>
        <v>13.7</v>
      </c>
    </row>
    <row r="90" spans="1:18" x14ac:dyDescent="0.2">
      <c r="A90" t="s">
        <v>228</v>
      </c>
      <c r="B90" s="15">
        <f>B88+B89</f>
        <v>1022.8960288821062</v>
      </c>
      <c r="C90" s="26">
        <f>C88+C89</f>
        <v>1125.8445942312067</v>
      </c>
      <c r="D90" s="20"/>
      <c r="P90">
        <v>13.8</v>
      </c>
      <c r="Q90" s="55">
        <f t="shared" si="2"/>
        <v>723805.0780080749</v>
      </c>
      <c r="R90">
        <f t="shared" si="3"/>
        <v>13.8</v>
      </c>
    </row>
    <row r="91" spans="1:18" x14ac:dyDescent="0.2">
      <c r="P91">
        <v>13.9</v>
      </c>
      <c r="Q91" s="55">
        <f t="shared" si="2"/>
        <v>734292.54785500828</v>
      </c>
      <c r="R91">
        <f t="shared" si="3"/>
        <v>13.9</v>
      </c>
    </row>
    <row r="92" spans="1:18" x14ac:dyDescent="0.2">
      <c r="A92" t="s">
        <v>229</v>
      </c>
      <c r="B92">
        <f>B76/B75/2</f>
        <v>20.278468768278543</v>
      </c>
      <c r="C92">
        <f>C76/C75/2</f>
        <v>20.104720304581075</v>
      </c>
      <c r="P92">
        <v>14</v>
      </c>
      <c r="Q92" s="55">
        <f t="shared" si="2"/>
        <v>744854.86300532066</v>
      </c>
      <c r="R92">
        <f t="shared" si="3"/>
        <v>14</v>
      </c>
    </row>
    <row r="93" spans="1:18" x14ac:dyDescent="0.2">
      <c r="A93" s="20" t="s">
        <v>230</v>
      </c>
      <c r="B93">
        <f>(MAX(C61,3))</f>
        <v>12</v>
      </c>
      <c r="C93">
        <f>C48</f>
        <v>15</v>
      </c>
      <c r="D93" t="s">
        <v>231</v>
      </c>
      <c r="P93">
        <v>14.1</v>
      </c>
      <c r="Q93" s="55">
        <f t="shared" si="2"/>
        <v>755492.01089264185</v>
      </c>
      <c r="R93">
        <f t="shared" si="3"/>
        <v>14.1</v>
      </c>
    </row>
    <row r="94" spans="1:18" ht="12.95" customHeight="1" x14ac:dyDescent="0.2">
      <c r="A94" s="23"/>
      <c r="P94">
        <v>14.2</v>
      </c>
      <c r="Q94" s="55">
        <f t="shared" si="2"/>
        <v>766203.97895060084</v>
      </c>
      <c r="R94">
        <f t="shared" si="3"/>
        <v>14.2</v>
      </c>
    </row>
    <row r="95" spans="1:18" ht="12.95" customHeight="1" x14ac:dyDescent="0.2">
      <c r="A95" s="23" t="s">
        <v>96</v>
      </c>
      <c r="P95">
        <v>14.3</v>
      </c>
      <c r="Q95" s="55">
        <f t="shared" si="2"/>
        <v>776990.75461282732</v>
      </c>
      <c r="R95">
        <f t="shared" si="3"/>
        <v>14.3</v>
      </c>
    </row>
    <row r="96" spans="1:18" x14ac:dyDescent="0.2">
      <c r="A96" t="s">
        <v>232</v>
      </c>
      <c r="B96" s="25">
        <f>(B90/C31*1000)^-1</f>
        <v>2.8902559868263591</v>
      </c>
      <c r="C96" s="26">
        <f>(C90/C31*1000)^-1</f>
        <v>2.6259675505181441</v>
      </c>
      <c r="D96" t="s">
        <v>99</v>
      </c>
      <c r="P96">
        <v>14.4</v>
      </c>
      <c r="Q96" s="55">
        <f t="shared" si="2"/>
        <v>787852.3253129503</v>
      </c>
      <c r="R96">
        <f t="shared" si="3"/>
        <v>14.4</v>
      </c>
    </row>
    <row r="97" spans="1:18" x14ac:dyDescent="0.2">
      <c r="P97">
        <v>14.5</v>
      </c>
      <c r="Q97" s="55">
        <f t="shared" si="2"/>
        <v>798788.67848459911</v>
      </c>
      <c r="R97">
        <f t="shared" si="3"/>
        <v>14.5</v>
      </c>
    </row>
    <row r="98" spans="1:18" ht="12.95" customHeight="1" x14ac:dyDescent="0.2">
      <c r="A98" s="23" t="s">
        <v>233</v>
      </c>
      <c r="P98">
        <v>14.6</v>
      </c>
      <c r="Q98" s="55">
        <f t="shared" si="2"/>
        <v>809799.80156140367</v>
      </c>
      <c r="R98">
        <f t="shared" si="3"/>
        <v>14.6</v>
      </c>
    </row>
    <row r="99" spans="1:18" x14ac:dyDescent="0.2">
      <c r="A99" t="s">
        <v>234</v>
      </c>
      <c r="B99" s="49">
        <v>4.45</v>
      </c>
      <c r="C99" s="50">
        <v>4.45</v>
      </c>
      <c r="D99" t="s">
        <v>235</v>
      </c>
      <c r="P99">
        <v>14.7</v>
      </c>
      <c r="Q99" s="55">
        <f t="shared" si="2"/>
        <v>820885.68197699264</v>
      </c>
      <c r="R99">
        <f t="shared" si="3"/>
        <v>14.7</v>
      </c>
    </row>
    <row r="100" spans="1:18" x14ac:dyDescent="0.2">
      <c r="A100" t="s">
        <v>236</v>
      </c>
      <c r="B100" s="51">
        <v>30.65</v>
      </c>
      <c r="C100" s="52">
        <v>30.65</v>
      </c>
      <c r="D100" t="s">
        <v>235</v>
      </c>
      <c r="P100">
        <v>14.8</v>
      </c>
      <c r="Q100" s="55">
        <f t="shared" si="2"/>
        <v>832046.30716499651</v>
      </c>
      <c r="R100">
        <f t="shared" si="3"/>
        <v>14.8</v>
      </c>
    </row>
    <row r="101" spans="1:18" x14ac:dyDescent="0.2">
      <c r="A101" t="s">
        <v>237</v>
      </c>
      <c r="B101" s="28">
        <f>B99*B89</f>
        <v>2762.8765565354397</v>
      </c>
      <c r="C101" s="26">
        <f>C99*C89</f>
        <v>2762.8765565354397</v>
      </c>
      <c r="D101" s="29" t="s">
        <v>238</v>
      </c>
      <c r="P101">
        <v>14.9</v>
      </c>
      <c r="Q101" s="55">
        <f t="shared" si="2"/>
        <v>843281.66455904359</v>
      </c>
      <c r="R101">
        <f t="shared" si="3"/>
        <v>14.9</v>
      </c>
    </row>
    <row r="102" spans="1:18" x14ac:dyDescent="0.2">
      <c r="A102" t="s">
        <v>239</v>
      </c>
      <c r="B102" s="28">
        <f>B100*B88</f>
        <v>12322.062957638525</v>
      </c>
      <c r="C102" s="26">
        <f>C100*C88</f>
        <v>15477.436485588458</v>
      </c>
      <c r="P102">
        <v>15</v>
      </c>
      <c r="Q102" s="55">
        <f t="shared" si="2"/>
        <v>854591.74159276346</v>
      </c>
      <c r="R102">
        <f t="shared" si="3"/>
        <v>15</v>
      </c>
    </row>
    <row r="103" spans="1:18" x14ac:dyDescent="0.2">
      <c r="A103" t="s">
        <v>240</v>
      </c>
      <c r="B103" s="28">
        <f>B101+B102</f>
        <v>15084.939514173966</v>
      </c>
      <c r="C103" s="26">
        <f>C101+C102</f>
        <v>18240.313042123897</v>
      </c>
      <c r="D103" t="s">
        <v>145</v>
      </c>
      <c r="P103">
        <v>15.1</v>
      </c>
      <c r="Q103" s="55">
        <f t="shared" si="2"/>
        <v>865976.52569978579</v>
      </c>
      <c r="R103">
        <f t="shared" si="3"/>
        <v>15.1</v>
      </c>
    </row>
    <row r="104" spans="1:18" x14ac:dyDescent="0.2">
      <c r="P104">
        <v>15.2</v>
      </c>
      <c r="Q104" s="55">
        <f t="shared" si="2"/>
        <v>877436.00431373995</v>
      </c>
      <c r="R104">
        <f t="shared" si="3"/>
        <v>15.2</v>
      </c>
    </row>
    <row r="105" spans="1:18" ht="12.95" customHeight="1" x14ac:dyDescent="0.2">
      <c r="A105" s="23"/>
      <c r="P105">
        <v>15.3</v>
      </c>
      <c r="Q105" s="55">
        <f t="shared" si="2"/>
        <v>888970.1648682555</v>
      </c>
      <c r="R105">
        <f t="shared" si="3"/>
        <v>15.3</v>
      </c>
    </row>
    <row r="106" spans="1:18" x14ac:dyDescent="0.2">
      <c r="A106" t="s">
        <v>241</v>
      </c>
      <c r="P106">
        <v>15.4</v>
      </c>
      <c r="Q106" s="55">
        <f t="shared" si="2"/>
        <v>900578.99479696131</v>
      </c>
      <c r="R106">
        <f t="shared" si="3"/>
        <v>15.4</v>
      </c>
    </row>
    <row r="107" spans="1:18" x14ac:dyDescent="0.2">
      <c r="A107" t="s">
        <v>242</v>
      </c>
      <c r="B107">
        <f>C30/C39</f>
        <v>26.268783068783065</v>
      </c>
      <c r="C107" s="8"/>
      <c r="P107">
        <v>15.5</v>
      </c>
      <c r="Q107" s="55">
        <f t="shared" si="2"/>
        <v>912262.48153348686</v>
      </c>
      <c r="R107">
        <f t="shared" si="3"/>
        <v>15.5</v>
      </c>
    </row>
    <row r="108" spans="1:18" x14ac:dyDescent="0.2">
      <c r="A108" t="s">
        <v>243</v>
      </c>
      <c r="B108">
        <f>C30/C64</f>
        <v>25.517643627879849</v>
      </c>
      <c r="C108" s="26"/>
      <c r="P108">
        <v>15.6</v>
      </c>
      <c r="Q108" s="55">
        <f t="shared" si="2"/>
        <v>924020.61251146183</v>
      </c>
      <c r="R108">
        <f t="shared" si="3"/>
        <v>15.6</v>
      </c>
    </row>
    <row r="109" spans="1:18" x14ac:dyDescent="0.2">
      <c r="C109" s="31"/>
      <c r="P109">
        <v>15.7</v>
      </c>
      <c r="Q109" s="55">
        <f t="shared" si="2"/>
        <v>935853.37516451546</v>
      </c>
      <c r="R109">
        <f t="shared" si="3"/>
        <v>15.7</v>
      </c>
    </row>
    <row r="110" spans="1:18" x14ac:dyDescent="0.2">
      <c r="P110">
        <v>15.8</v>
      </c>
      <c r="Q110" s="55">
        <f t="shared" si="2"/>
        <v>947760.75692627754</v>
      </c>
      <c r="R110">
        <f t="shared" si="3"/>
        <v>15.8</v>
      </c>
    </row>
    <row r="111" spans="1:18" x14ac:dyDescent="0.2">
      <c r="P111">
        <v>15.9</v>
      </c>
      <c r="Q111" s="55">
        <f t="shared" si="2"/>
        <v>959742.7452303766</v>
      </c>
      <c r="R111">
        <f t="shared" si="3"/>
        <v>15.9</v>
      </c>
    </row>
    <row r="112" spans="1:18" x14ac:dyDescent="0.2">
      <c r="P112">
        <v>16</v>
      </c>
      <c r="Q112" s="55">
        <f t="shared" si="2"/>
        <v>971799.3275104427</v>
      </c>
      <c r="R112">
        <f t="shared" si="3"/>
        <v>16</v>
      </c>
    </row>
    <row r="113" spans="16:18" x14ac:dyDescent="0.2">
      <c r="P113">
        <v>16.100000000000001</v>
      </c>
      <c r="Q113" s="55">
        <f t="shared" si="2"/>
        <v>983930.49120010505</v>
      </c>
      <c r="R113">
        <f t="shared" si="3"/>
        <v>16.100000000000001</v>
      </c>
    </row>
    <row r="114" spans="16:18" x14ac:dyDescent="0.2">
      <c r="P114">
        <v>16.2</v>
      </c>
      <c r="Q114" s="55">
        <f t="shared" si="2"/>
        <v>996136.22373299277</v>
      </c>
      <c r="R114">
        <f t="shared" si="3"/>
        <v>16.2</v>
      </c>
    </row>
    <row r="115" spans="16:18" x14ac:dyDescent="0.2">
      <c r="P115">
        <v>16.3</v>
      </c>
      <c r="Q115" s="55">
        <f t="shared" si="2"/>
        <v>1008416.5125427358</v>
      </c>
      <c r="R115">
        <f t="shared" si="3"/>
        <v>16.3</v>
      </c>
    </row>
    <row r="116" spans="16:18" x14ac:dyDescent="0.2">
      <c r="P116">
        <v>16.399999999999999</v>
      </c>
      <c r="Q116" s="55">
        <f t="shared" si="2"/>
        <v>1020771.3450629628</v>
      </c>
      <c r="R116">
        <f t="shared" si="3"/>
        <v>16.399999999999999</v>
      </c>
    </row>
    <row r="117" spans="16:18" x14ac:dyDescent="0.2">
      <c r="P117">
        <v>16.5</v>
      </c>
      <c r="Q117" s="55">
        <f t="shared" si="2"/>
        <v>1033200.708727304</v>
      </c>
      <c r="R117">
        <f t="shared" si="3"/>
        <v>16.5</v>
      </c>
    </row>
    <row r="118" spans="16:18" x14ac:dyDescent="0.2">
      <c r="P118">
        <v>16.600000000000001</v>
      </c>
      <c r="Q118" s="55">
        <f t="shared" si="2"/>
        <v>1045704.5909693884</v>
      </c>
      <c r="R118">
        <f t="shared" si="3"/>
        <v>16.600000000000001</v>
      </c>
    </row>
    <row r="119" spans="16:18" x14ac:dyDescent="0.2">
      <c r="P119">
        <v>16.7</v>
      </c>
      <c r="Q119" s="55">
        <f t="shared" si="2"/>
        <v>1058282.9792228446</v>
      </c>
      <c r="R119">
        <f t="shared" si="3"/>
        <v>16.7</v>
      </c>
    </row>
    <row r="120" spans="16:18" x14ac:dyDescent="0.2">
      <c r="P120">
        <v>16.8</v>
      </c>
      <c r="Q120" s="55">
        <f t="shared" si="2"/>
        <v>1070935.8609213035</v>
      </c>
      <c r="R120">
        <f t="shared" si="3"/>
        <v>16.8</v>
      </c>
    </row>
    <row r="121" spans="16:18" x14ac:dyDescent="0.2">
      <c r="P121">
        <v>16.899999999999999</v>
      </c>
      <c r="Q121" s="55">
        <f t="shared" si="2"/>
        <v>1083663.2234983933</v>
      </c>
      <c r="R121">
        <f t="shared" si="3"/>
        <v>16.899999999999999</v>
      </c>
    </row>
    <row r="122" spans="16:18" x14ac:dyDescent="0.2">
      <c r="P122">
        <v>17</v>
      </c>
      <c r="Q122" s="55">
        <f t="shared" si="2"/>
        <v>1096465.0543877441</v>
      </c>
      <c r="R122">
        <f t="shared" si="3"/>
        <v>17</v>
      </c>
    </row>
    <row r="123" spans="16:18" x14ac:dyDescent="0.2">
      <c r="P123">
        <v>17.100000000000001</v>
      </c>
      <c r="Q123" s="55">
        <f t="shared" si="2"/>
        <v>1109341.3410229848</v>
      </c>
      <c r="R123">
        <f t="shared" si="3"/>
        <v>17.100000000000001</v>
      </c>
    </row>
    <row r="124" spans="16:18" x14ac:dyDescent="0.2">
      <c r="P124">
        <v>17.2</v>
      </c>
      <c r="Q124" s="55">
        <f t="shared" si="2"/>
        <v>1122292.0708377447</v>
      </c>
      <c r="R124">
        <f t="shared" si="3"/>
        <v>17.2</v>
      </c>
    </row>
    <row r="125" spans="16:18" x14ac:dyDescent="0.2">
      <c r="P125">
        <v>17.3</v>
      </c>
      <c r="Q125" s="55">
        <f t="shared" si="2"/>
        <v>1135317.2312656541</v>
      </c>
      <c r="R125">
        <f t="shared" si="3"/>
        <v>17.3</v>
      </c>
    </row>
    <row r="126" spans="16:18" x14ac:dyDescent="0.2">
      <c r="P126">
        <v>17.399999999999999</v>
      </c>
      <c r="Q126" s="55">
        <f t="shared" si="2"/>
        <v>1148416.809740341</v>
      </c>
      <c r="R126">
        <f t="shared" si="3"/>
        <v>17.399999999999999</v>
      </c>
    </row>
    <row r="127" spans="16:18" x14ac:dyDescent="0.2">
      <c r="P127">
        <v>17.5</v>
      </c>
      <c r="Q127" s="55">
        <f t="shared" si="2"/>
        <v>1161590.7936954361</v>
      </c>
      <c r="R127">
        <f t="shared" si="3"/>
        <v>17.5</v>
      </c>
    </row>
    <row r="128" spans="16:18" x14ac:dyDescent="0.2">
      <c r="P128">
        <v>17.600000000000001</v>
      </c>
      <c r="Q128" s="55">
        <f t="shared" si="2"/>
        <v>1174839.1705645681</v>
      </c>
      <c r="R128">
        <f t="shared" si="3"/>
        <v>17.600000000000001</v>
      </c>
    </row>
    <row r="129" spans="16:18" x14ac:dyDescent="0.2">
      <c r="P129">
        <v>17.7</v>
      </c>
      <c r="Q129" s="55">
        <f t="shared" si="2"/>
        <v>1188161.927781366</v>
      </c>
      <c r="R129">
        <f t="shared" si="3"/>
        <v>17.7</v>
      </c>
    </row>
    <row r="130" spans="16:18" x14ac:dyDescent="0.2">
      <c r="P130">
        <v>17.8</v>
      </c>
      <c r="Q130" s="55">
        <f t="shared" ref="Q130:Q193" si="4">4/3*PI()*P130^3+PI()*P130^2*($O$2-2*P130)</f>
        <v>1201559.0527794606</v>
      </c>
      <c r="R130">
        <f t="shared" ref="R130:R193" si="5">P130</f>
        <v>17.8</v>
      </c>
    </row>
    <row r="131" spans="16:18" x14ac:dyDescent="0.2">
      <c r="P131">
        <v>17.899999999999999</v>
      </c>
      <c r="Q131" s="55">
        <f t="shared" si="4"/>
        <v>1215030.5329924792</v>
      </c>
      <c r="R131">
        <f t="shared" si="5"/>
        <v>17.899999999999999</v>
      </c>
    </row>
    <row r="132" spans="16:18" x14ac:dyDescent="0.2">
      <c r="P132">
        <v>18</v>
      </c>
      <c r="Q132" s="55">
        <f t="shared" si="4"/>
        <v>1228576.3558540531</v>
      </c>
      <c r="R132">
        <f t="shared" si="5"/>
        <v>18</v>
      </c>
    </row>
    <row r="133" spans="16:18" x14ac:dyDescent="0.2">
      <c r="P133">
        <v>18.100000000000001</v>
      </c>
      <c r="Q133" s="55">
        <f t="shared" si="4"/>
        <v>1242196.5087978109</v>
      </c>
      <c r="R133">
        <f t="shared" si="5"/>
        <v>18.100000000000001</v>
      </c>
    </row>
    <row r="134" spans="16:18" x14ac:dyDescent="0.2">
      <c r="P134">
        <v>18.2</v>
      </c>
      <c r="Q134" s="55">
        <f t="shared" si="4"/>
        <v>1255890.9792573818</v>
      </c>
      <c r="R134">
        <f t="shared" si="5"/>
        <v>18.2</v>
      </c>
    </row>
    <row r="135" spans="16:18" x14ac:dyDescent="0.2">
      <c r="P135">
        <v>18.3</v>
      </c>
      <c r="Q135" s="55">
        <f t="shared" si="4"/>
        <v>1269659.7546663957</v>
      </c>
      <c r="R135">
        <f t="shared" si="5"/>
        <v>18.3</v>
      </c>
    </row>
    <row r="136" spans="16:18" x14ac:dyDescent="0.2">
      <c r="P136">
        <v>18.399999999999999</v>
      </c>
      <c r="Q136" s="55">
        <f t="shared" si="4"/>
        <v>1283502.8224584814</v>
      </c>
      <c r="R136">
        <f t="shared" si="5"/>
        <v>18.399999999999999</v>
      </c>
    </row>
    <row r="137" spans="16:18" x14ac:dyDescent="0.2">
      <c r="P137">
        <v>18.5</v>
      </c>
      <c r="Q137" s="55">
        <f t="shared" si="4"/>
        <v>1297420.1700672687</v>
      </c>
      <c r="R137">
        <f t="shared" si="5"/>
        <v>18.5</v>
      </c>
    </row>
    <row r="138" spans="16:18" x14ac:dyDescent="0.2">
      <c r="P138">
        <v>18.600000000000001</v>
      </c>
      <c r="Q138" s="55">
        <f t="shared" si="4"/>
        <v>1311411.784926387</v>
      </c>
      <c r="R138">
        <f t="shared" si="5"/>
        <v>18.600000000000001</v>
      </c>
    </row>
    <row r="139" spans="16:18" x14ac:dyDescent="0.2">
      <c r="P139">
        <v>18.7</v>
      </c>
      <c r="Q139" s="55">
        <f t="shared" si="4"/>
        <v>1325477.6544694651</v>
      </c>
      <c r="R139">
        <f t="shared" si="5"/>
        <v>18.7</v>
      </c>
    </row>
    <row r="140" spans="16:18" x14ac:dyDescent="0.2">
      <c r="P140">
        <v>18.8</v>
      </c>
      <c r="Q140" s="55">
        <f t="shared" si="4"/>
        <v>1339617.7661301335</v>
      </c>
      <c r="R140">
        <f t="shared" si="5"/>
        <v>18.8</v>
      </c>
    </row>
    <row r="141" spans="16:18" x14ac:dyDescent="0.2">
      <c r="P141">
        <v>18.899999999999999</v>
      </c>
      <c r="Q141" s="55">
        <f t="shared" si="4"/>
        <v>1353832.1073420201</v>
      </c>
      <c r="R141">
        <f t="shared" si="5"/>
        <v>18.899999999999999</v>
      </c>
    </row>
    <row r="142" spans="16:18" x14ac:dyDescent="0.2">
      <c r="P142">
        <v>19</v>
      </c>
      <c r="Q142" s="55">
        <f t="shared" si="4"/>
        <v>1368120.6655387557</v>
      </c>
      <c r="R142">
        <f t="shared" si="5"/>
        <v>19</v>
      </c>
    </row>
    <row r="143" spans="16:18" x14ac:dyDescent="0.2">
      <c r="P143">
        <v>19.099999999999898</v>
      </c>
      <c r="Q143" s="55">
        <f t="shared" si="4"/>
        <v>1382483.4281539544</v>
      </c>
      <c r="R143">
        <f t="shared" si="5"/>
        <v>19.099999999999898</v>
      </c>
    </row>
    <row r="144" spans="16:18" x14ac:dyDescent="0.2">
      <c r="P144">
        <v>19.1999999999999</v>
      </c>
      <c r="Q144" s="55">
        <f t="shared" si="4"/>
        <v>1396920.382621275</v>
      </c>
      <c r="R144">
        <f t="shared" si="5"/>
        <v>19.1999999999999</v>
      </c>
    </row>
    <row r="145" spans="16:18" x14ac:dyDescent="0.2">
      <c r="P145">
        <v>19.299999999999901</v>
      </c>
      <c r="Q145" s="55">
        <f t="shared" si="4"/>
        <v>1411431.5163743321</v>
      </c>
      <c r="R145">
        <f t="shared" si="5"/>
        <v>19.299999999999901</v>
      </c>
    </row>
    <row r="146" spans="16:18" x14ac:dyDescent="0.2">
      <c r="P146">
        <v>19.399999999999899</v>
      </c>
      <c r="Q146" s="55">
        <f t="shared" si="4"/>
        <v>1426016.8168467549</v>
      </c>
      <c r="R146">
        <f t="shared" si="5"/>
        <v>19.399999999999899</v>
      </c>
    </row>
    <row r="147" spans="16:18" x14ac:dyDescent="0.2">
      <c r="P147">
        <v>19.499999999999901</v>
      </c>
      <c r="Q147" s="55">
        <f t="shared" si="4"/>
        <v>1440676.2714721733</v>
      </c>
      <c r="R147">
        <f t="shared" si="5"/>
        <v>19.499999999999901</v>
      </c>
    </row>
    <row r="148" spans="16:18" x14ac:dyDescent="0.2">
      <c r="P148">
        <v>19.599999999999898</v>
      </c>
      <c r="Q148" s="55">
        <f t="shared" si="4"/>
        <v>1455409.8676842153</v>
      </c>
      <c r="R148">
        <f t="shared" si="5"/>
        <v>19.599999999999898</v>
      </c>
    </row>
    <row r="149" spans="16:18" x14ac:dyDescent="0.2">
      <c r="P149">
        <v>19.6999999999999</v>
      </c>
      <c r="Q149" s="55">
        <f t="shared" si="4"/>
        <v>1470217.5929165126</v>
      </c>
      <c r="R149">
        <f t="shared" si="5"/>
        <v>19.6999999999999</v>
      </c>
    </row>
    <row r="150" spans="16:18" x14ac:dyDescent="0.2">
      <c r="P150">
        <v>19.799999999999901</v>
      </c>
      <c r="Q150" s="55">
        <f t="shared" si="4"/>
        <v>1485099.4346026937</v>
      </c>
      <c r="R150">
        <f t="shared" si="5"/>
        <v>19.799999999999901</v>
      </c>
    </row>
    <row r="151" spans="16:18" x14ac:dyDescent="0.2">
      <c r="P151">
        <v>19.899999999999899</v>
      </c>
      <c r="Q151" s="55">
        <f t="shared" si="4"/>
        <v>1500055.380176387</v>
      </c>
      <c r="R151">
        <f t="shared" si="5"/>
        <v>19.899999999999899</v>
      </c>
    </row>
    <row r="152" spans="16:18" x14ac:dyDescent="0.2">
      <c r="P152">
        <v>19.999999999999901</v>
      </c>
      <c r="Q152" s="55">
        <f t="shared" si="4"/>
        <v>1515085.4170712226</v>
      </c>
      <c r="R152">
        <f t="shared" si="5"/>
        <v>19.999999999999901</v>
      </c>
    </row>
    <row r="153" spans="16:18" x14ac:dyDescent="0.2">
      <c r="P153">
        <v>20.099999999999898</v>
      </c>
      <c r="Q153" s="55">
        <f t="shared" si="4"/>
        <v>1530189.5327208296</v>
      </c>
      <c r="R153">
        <f t="shared" si="5"/>
        <v>20.099999999999898</v>
      </c>
    </row>
    <row r="154" spans="16:18" x14ac:dyDescent="0.2">
      <c r="P154">
        <v>20.1999999999999</v>
      </c>
      <c r="Q154" s="55">
        <f t="shared" si="4"/>
        <v>1545367.7145588377</v>
      </c>
      <c r="R154">
        <f t="shared" si="5"/>
        <v>20.1999999999999</v>
      </c>
    </row>
    <row r="155" spans="16:18" x14ac:dyDescent="0.2">
      <c r="P155">
        <v>20.299999999999901</v>
      </c>
      <c r="Q155" s="55">
        <f t="shared" si="4"/>
        <v>1560619.9500188769</v>
      </c>
      <c r="R155">
        <f t="shared" si="5"/>
        <v>20.299999999999901</v>
      </c>
    </row>
    <row r="156" spans="16:18" x14ac:dyDescent="0.2">
      <c r="P156">
        <v>20.399999999999899</v>
      </c>
      <c r="Q156" s="55">
        <f t="shared" si="4"/>
        <v>1575946.2265345752</v>
      </c>
      <c r="R156">
        <f t="shared" si="5"/>
        <v>20.399999999999899</v>
      </c>
    </row>
    <row r="157" spans="16:18" x14ac:dyDescent="0.2">
      <c r="P157">
        <v>20.499999999999901</v>
      </c>
      <c r="Q157" s="55">
        <f t="shared" si="4"/>
        <v>1591346.5315395633</v>
      </c>
      <c r="R157">
        <f t="shared" si="5"/>
        <v>20.499999999999901</v>
      </c>
    </row>
    <row r="158" spans="16:18" x14ac:dyDescent="0.2">
      <c r="P158">
        <v>20.599999999999898</v>
      </c>
      <c r="Q158" s="55">
        <f t="shared" si="4"/>
        <v>1606820.8524674692</v>
      </c>
      <c r="R158">
        <f t="shared" si="5"/>
        <v>20.599999999999898</v>
      </c>
    </row>
    <row r="159" spans="16:18" x14ac:dyDescent="0.2">
      <c r="P159">
        <v>20.6999999999999</v>
      </c>
      <c r="Q159" s="55">
        <f t="shared" si="4"/>
        <v>1622369.1767519235</v>
      </c>
      <c r="R159">
        <f t="shared" si="5"/>
        <v>20.6999999999999</v>
      </c>
    </row>
    <row r="160" spans="16:18" x14ac:dyDescent="0.2">
      <c r="P160">
        <v>20.799999999999901</v>
      </c>
      <c r="Q160" s="55">
        <f t="shared" si="4"/>
        <v>1637991.4918265555</v>
      </c>
      <c r="R160">
        <f t="shared" si="5"/>
        <v>20.799999999999901</v>
      </c>
    </row>
    <row r="161" spans="16:18" x14ac:dyDescent="0.2">
      <c r="P161">
        <v>20.899999999999899</v>
      </c>
      <c r="Q161" s="55">
        <f t="shared" si="4"/>
        <v>1653687.7851249939</v>
      </c>
      <c r="R161">
        <f t="shared" si="5"/>
        <v>20.899999999999899</v>
      </c>
    </row>
    <row r="162" spans="16:18" x14ac:dyDescent="0.2">
      <c r="P162">
        <v>20.999999999999901</v>
      </c>
      <c r="Q162" s="55">
        <f t="shared" si="4"/>
        <v>1669458.0440808681</v>
      </c>
      <c r="R162">
        <f t="shared" si="5"/>
        <v>20.999999999999901</v>
      </c>
    </row>
    <row r="163" spans="16:18" x14ac:dyDescent="0.2">
      <c r="P163">
        <v>21.099999999999898</v>
      </c>
      <c r="Q163" s="55">
        <f t="shared" si="4"/>
        <v>1685302.256127808</v>
      </c>
      <c r="R163">
        <f t="shared" si="5"/>
        <v>21.099999999999898</v>
      </c>
    </row>
    <row r="164" spans="16:18" x14ac:dyDescent="0.2">
      <c r="P164">
        <v>21.1999999999999</v>
      </c>
      <c r="Q164" s="55">
        <f t="shared" si="4"/>
        <v>1701220.4086994426</v>
      </c>
      <c r="R164">
        <f t="shared" si="5"/>
        <v>21.1999999999999</v>
      </c>
    </row>
    <row r="165" spans="16:18" x14ac:dyDescent="0.2">
      <c r="P165">
        <v>21.299999999999901</v>
      </c>
      <c r="Q165" s="55">
        <f t="shared" si="4"/>
        <v>1717212.4892294023</v>
      </c>
      <c r="R165">
        <f t="shared" si="5"/>
        <v>21.299999999999901</v>
      </c>
    </row>
    <row r="166" spans="16:18" x14ac:dyDescent="0.2">
      <c r="P166">
        <v>21.399999999999899</v>
      </c>
      <c r="Q166" s="55">
        <f t="shared" si="4"/>
        <v>1733278.4851513149</v>
      </c>
      <c r="R166">
        <f t="shared" si="5"/>
        <v>21.399999999999899</v>
      </c>
    </row>
    <row r="167" spans="16:18" x14ac:dyDescent="0.2">
      <c r="P167">
        <v>21.499999999999901</v>
      </c>
      <c r="Q167" s="55">
        <f t="shared" si="4"/>
        <v>1749418.3838988109</v>
      </c>
      <c r="R167">
        <f t="shared" si="5"/>
        <v>21.499999999999901</v>
      </c>
    </row>
    <row r="168" spans="16:18" x14ac:dyDescent="0.2">
      <c r="P168">
        <v>21.599999999999898</v>
      </c>
      <c r="Q168" s="55">
        <f t="shared" si="4"/>
        <v>1765632.1729055189</v>
      </c>
      <c r="R168">
        <f t="shared" si="5"/>
        <v>21.599999999999898</v>
      </c>
    </row>
    <row r="169" spans="16:18" x14ac:dyDescent="0.2">
      <c r="P169">
        <v>21.6999999999999</v>
      </c>
      <c r="Q169" s="55">
        <f t="shared" si="4"/>
        <v>1781919.839605069</v>
      </c>
      <c r="R169">
        <f t="shared" si="5"/>
        <v>21.6999999999999</v>
      </c>
    </row>
    <row r="170" spans="16:18" x14ac:dyDescent="0.2">
      <c r="P170">
        <v>21.799999999999901</v>
      </c>
      <c r="Q170" s="55">
        <f t="shared" si="4"/>
        <v>1798281.3714310906</v>
      </c>
      <c r="R170">
        <f t="shared" si="5"/>
        <v>21.799999999999901</v>
      </c>
    </row>
    <row r="171" spans="16:18" x14ac:dyDescent="0.2">
      <c r="P171">
        <v>21.899999999999899</v>
      </c>
      <c r="Q171" s="55">
        <f t="shared" si="4"/>
        <v>1814716.7558172126</v>
      </c>
      <c r="R171">
        <f t="shared" si="5"/>
        <v>21.899999999999899</v>
      </c>
    </row>
    <row r="172" spans="16:18" x14ac:dyDescent="0.2">
      <c r="P172">
        <v>21.999999999999901</v>
      </c>
      <c r="Q172" s="55">
        <f t="shared" si="4"/>
        <v>1831225.9801970643</v>
      </c>
      <c r="R172">
        <f t="shared" si="5"/>
        <v>21.999999999999901</v>
      </c>
    </row>
    <row r="173" spans="16:18" x14ac:dyDescent="0.2">
      <c r="P173">
        <v>22.099999999999898</v>
      </c>
      <c r="Q173" s="55">
        <f t="shared" si="4"/>
        <v>1847809.0320042754</v>
      </c>
      <c r="R173">
        <f t="shared" si="5"/>
        <v>22.099999999999898</v>
      </c>
    </row>
    <row r="174" spans="16:18" x14ac:dyDescent="0.2">
      <c r="P174">
        <v>22.1999999999999</v>
      </c>
      <c r="Q174" s="55">
        <f t="shared" si="4"/>
        <v>1864465.8986724755</v>
      </c>
      <c r="R174">
        <f t="shared" si="5"/>
        <v>22.1999999999999</v>
      </c>
    </row>
    <row r="175" spans="16:18" x14ac:dyDescent="0.2">
      <c r="P175">
        <v>22.299999999999901</v>
      </c>
      <c r="Q175" s="55">
        <f t="shared" si="4"/>
        <v>1881196.5676352938</v>
      </c>
      <c r="R175">
        <f t="shared" si="5"/>
        <v>22.299999999999901</v>
      </c>
    </row>
    <row r="176" spans="16:18" x14ac:dyDescent="0.2">
      <c r="P176">
        <v>22.399999999999899</v>
      </c>
      <c r="Q176" s="55">
        <f t="shared" si="4"/>
        <v>1898001.0263263592</v>
      </c>
      <c r="R176">
        <f t="shared" si="5"/>
        <v>22.399999999999899</v>
      </c>
    </row>
    <row r="177" spans="16:18" x14ac:dyDescent="0.2">
      <c r="P177">
        <v>22.499999999999901</v>
      </c>
      <c r="Q177" s="55">
        <f t="shared" si="4"/>
        <v>1914879.2621793016</v>
      </c>
      <c r="R177">
        <f t="shared" si="5"/>
        <v>22.499999999999901</v>
      </c>
    </row>
    <row r="178" spans="16:18" x14ac:dyDescent="0.2">
      <c r="P178">
        <v>22.599999999999898</v>
      </c>
      <c r="Q178" s="55">
        <f t="shared" si="4"/>
        <v>1931831.2626277499</v>
      </c>
      <c r="R178">
        <f t="shared" si="5"/>
        <v>22.599999999999898</v>
      </c>
    </row>
    <row r="179" spans="16:18" x14ac:dyDescent="0.2">
      <c r="P179">
        <v>22.6999999999999</v>
      </c>
      <c r="Q179" s="55">
        <f t="shared" si="4"/>
        <v>1948857.0151053348</v>
      </c>
      <c r="R179">
        <f t="shared" si="5"/>
        <v>22.6999999999999</v>
      </c>
    </row>
    <row r="180" spans="16:18" x14ac:dyDescent="0.2">
      <c r="P180">
        <v>22.799999999999901</v>
      </c>
      <c r="Q180" s="55">
        <f t="shared" si="4"/>
        <v>1965956.5070456844</v>
      </c>
      <c r="R180">
        <f t="shared" si="5"/>
        <v>22.799999999999901</v>
      </c>
    </row>
    <row r="181" spans="16:18" x14ac:dyDescent="0.2">
      <c r="P181">
        <v>22.899999999999899</v>
      </c>
      <c r="Q181" s="55">
        <f t="shared" si="4"/>
        <v>1983129.7258824287</v>
      </c>
      <c r="R181">
        <f t="shared" si="5"/>
        <v>22.899999999999899</v>
      </c>
    </row>
    <row r="182" spans="16:18" x14ac:dyDescent="0.2">
      <c r="P182">
        <v>22.999999999999901</v>
      </c>
      <c r="Q182" s="55">
        <f t="shared" si="4"/>
        <v>2000376.6590491964</v>
      </c>
      <c r="R182">
        <f t="shared" si="5"/>
        <v>22.999999999999901</v>
      </c>
    </row>
    <row r="183" spans="16:18" x14ac:dyDescent="0.2">
      <c r="P183">
        <v>23.099999999999898</v>
      </c>
      <c r="Q183" s="55">
        <f t="shared" si="4"/>
        <v>2017697.2939796173</v>
      </c>
      <c r="R183">
        <f t="shared" si="5"/>
        <v>23.099999999999898</v>
      </c>
    </row>
    <row r="184" spans="16:18" x14ac:dyDescent="0.2">
      <c r="P184">
        <v>23.1999999999999</v>
      </c>
      <c r="Q184" s="55">
        <f t="shared" si="4"/>
        <v>2035091.618107321</v>
      </c>
      <c r="R184">
        <f t="shared" si="5"/>
        <v>23.1999999999999</v>
      </c>
    </row>
    <row r="185" spans="16:18" x14ac:dyDescent="0.2">
      <c r="P185">
        <v>23.299999999999901</v>
      </c>
      <c r="Q185" s="55">
        <f t="shared" si="4"/>
        <v>2052559.618865937</v>
      </c>
      <c r="R185">
        <f t="shared" si="5"/>
        <v>23.299999999999901</v>
      </c>
    </row>
    <row r="186" spans="16:18" x14ac:dyDescent="0.2">
      <c r="P186">
        <v>23.399999999999899</v>
      </c>
      <c r="Q186" s="55">
        <f t="shared" si="4"/>
        <v>2070101.2836890935</v>
      </c>
      <c r="R186">
        <f t="shared" si="5"/>
        <v>23.399999999999899</v>
      </c>
    </row>
    <row r="187" spans="16:18" x14ac:dyDescent="0.2">
      <c r="P187">
        <v>23.499999999999901</v>
      </c>
      <c r="Q187" s="55">
        <f t="shared" si="4"/>
        <v>2087716.6000104218</v>
      </c>
      <c r="R187">
        <f t="shared" si="5"/>
        <v>23.499999999999901</v>
      </c>
    </row>
    <row r="188" spans="16:18" x14ac:dyDescent="0.2">
      <c r="P188">
        <v>23.599999999999898</v>
      </c>
      <c r="Q188" s="55">
        <f t="shared" si="4"/>
        <v>2105405.5552635486</v>
      </c>
      <c r="R188">
        <f t="shared" si="5"/>
        <v>23.599999999999898</v>
      </c>
    </row>
    <row r="189" spans="16:18" x14ac:dyDescent="0.2">
      <c r="P189">
        <v>23.6999999999999</v>
      </c>
      <c r="Q189" s="55">
        <f t="shared" si="4"/>
        <v>2123168.1368821068</v>
      </c>
      <c r="R189">
        <f t="shared" si="5"/>
        <v>23.6999999999999</v>
      </c>
    </row>
    <row r="190" spans="16:18" x14ac:dyDescent="0.2">
      <c r="P190">
        <v>23.799999999999901</v>
      </c>
      <c r="Q190" s="55">
        <f t="shared" si="4"/>
        <v>2141004.3322997233</v>
      </c>
      <c r="R190">
        <f t="shared" si="5"/>
        <v>23.799999999999901</v>
      </c>
    </row>
    <row r="191" spans="16:18" x14ac:dyDescent="0.2">
      <c r="P191">
        <v>23.899999999999899</v>
      </c>
      <c r="Q191" s="55">
        <f t="shared" si="4"/>
        <v>2158914.1289500277</v>
      </c>
      <c r="R191">
        <f t="shared" si="5"/>
        <v>23.899999999999899</v>
      </c>
    </row>
    <row r="192" spans="16:18" x14ac:dyDescent="0.2">
      <c r="P192">
        <v>23.999999999999901</v>
      </c>
      <c r="Q192" s="55">
        <f t="shared" si="4"/>
        <v>2176897.5142666502</v>
      </c>
      <c r="R192">
        <f t="shared" si="5"/>
        <v>23.999999999999901</v>
      </c>
    </row>
    <row r="193" spans="16:18" x14ac:dyDescent="0.2">
      <c r="P193">
        <v>24.099999999999898</v>
      </c>
      <c r="Q193" s="55">
        <f t="shared" si="4"/>
        <v>2194954.4756832193</v>
      </c>
      <c r="R193">
        <f t="shared" si="5"/>
        <v>24.099999999999898</v>
      </c>
    </row>
    <row r="194" spans="16:18" x14ac:dyDescent="0.2">
      <c r="P194">
        <v>24.1999999999999</v>
      </c>
      <c r="Q194" s="55">
        <f t="shared" ref="Q194:Q257" si="6">4/3*PI()*P194^3+PI()*P194^2*($O$2-2*P194)</f>
        <v>2213085.0006333655</v>
      </c>
      <c r="R194">
        <f t="shared" ref="R194:R257" si="7">P194</f>
        <v>24.1999999999999</v>
      </c>
    </row>
    <row r="195" spans="16:18" x14ac:dyDescent="0.2">
      <c r="P195">
        <v>24.299999999999901</v>
      </c>
      <c r="Q195" s="55">
        <f t="shared" si="6"/>
        <v>2231289.076550717</v>
      </c>
      <c r="R195">
        <f t="shared" si="7"/>
        <v>24.299999999999901</v>
      </c>
    </row>
    <row r="196" spans="16:18" x14ac:dyDescent="0.2">
      <c r="P196">
        <v>24.399999999999899</v>
      </c>
      <c r="Q196" s="55">
        <f t="shared" si="6"/>
        <v>2249566.6908689043</v>
      </c>
      <c r="R196">
        <f t="shared" si="7"/>
        <v>24.399999999999899</v>
      </c>
    </row>
    <row r="197" spans="16:18" x14ac:dyDescent="0.2">
      <c r="P197">
        <v>24.499999999999901</v>
      </c>
      <c r="Q197" s="55">
        <f t="shared" si="6"/>
        <v>2267917.8310215557</v>
      </c>
      <c r="R197">
        <f t="shared" si="7"/>
        <v>24.499999999999901</v>
      </c>
    </row>
    <row r="198" spans="16:18" x14ac:dyDescent="0.2">
      <c r="P198">
        <v>24.599999999999898</v>
      </c>
      <c r="Q198" s="55">
        <f t="shared" si="6"/>
        <v>2286342.4844423006</v>
      </c>
      <c r="R198">
        <f t="shared" si="7"/>
        <v>24.599999999999898</v>
      </c>
    </row>
    <row r="199" spans="16:18" x14ac:dyDescent="0.2">
      <c r="P199">
        <v>24.6999999999999</v>
      </c>
      <c r="Q199" s="55">
        <f t="shared" si="6"/>
        <v>2304840.6385647701</v>
      </c>
      <c r="R199">
        <f t="shared" si="7"/>
        <v>24.6999999999999</v>
      </c>
    </row>
    <row r="200" spans="16:18" x14ac:dyDescent="0.2">
      <c r="P200">
        <v>24.799999999999901</v>
      </c>
      <c r="Q200" s="55">
        <f t="shared" si="6"/>
        <v>2323412.2808225919</v>
      </c>
      <c r="R200">
        <f t="shared" si="7"/>
        <v>24.799999999999901</v>
      </c>
    </row>
    <row r="201" spans="16:18" x14ac:dyDescent="0.2">
      <c r="P201">
        <v>24.899999999999899</v>
      </c>
      <c r="Q201" s="55">
        <f t="shared" si="6"/>
        <v>2342057.3986493959</v>
      </c>
      <c r="R201">
        <f t="shared" si="7"/>
        <v>24.899999999999899</v>
      </c>
    </row>
    <row r="202" spans="16:18" x14ac:dyDescent="0.2">
      <c r="P202">
        <v>24.999999999999901</v>
      </c>
      <c r="Q202" s="55">
        <f t="shared" si="6"/>
        <v>2360775.9794788114</v>
      </c>
      <c r="R202">
        <f t="shared" si="7"/>
        <v>24.999999999999901</v>
      </c>
    </row>
    <row r="203" spans="16:18" x14ac:dyDescent="0.2">
      <c r="P203">
        <v>25.099999999999898</v>
      </c>
      <c r="Q203" s="55">
        <f t="shared" si="6"/>
        <v>2379568.0107444669</v>
      </c>
      <c r="R203">
        <f t="shared" si="7"/>
        <v>25.099999999999898</v>
      </c>
    </row>
    <row r="204" spans="16:18" x14ac:dyDescent="0.2">
      <c r="P204">
        <v>25.1999999999999</v>
      </c>
      <c r="Q204" s="55">
        <f t="shared" si="6"/>
        <v>2398433.4798799944</v>
      </c>
      <c r="R204">
        <f t="shared" si="7"/>
        <v>25.1999999999999</v>
      </c>
    </row>
    <row r="205" spans="16:18" x14ac:dyDescent="0.2">
      <c r="P205">
        <v>25.299999999999901</v>
      </c>
      <c r="Q205" s="55">
        <f t="shared" si="6"/>
        <v>2417372.3743190207</v>
      </c>
      <c r="R205">
        <f t="shared" si="7"/>
        <v>25.299999999999901</v>
      </c>
    </row>
    <row r="206" spans="16:18" x14ac:dyDescent="0.2">
      <c r="P206">
        <v>25.399999999999899</v>
      </c>
      <c r="Q206" s="55">
        <f t="shared" si="6"/>
        <v>2436384.6814951757</v>
      </c>
      <c r="R206">
        <f t="shared" si="7"/>
        <v>25.399999999999899</v>
      </c>
    </row>
    <row r="207" spans="16:18" x14ac:dyDescent="0.2">
      <c r="P207">
        <v>25.499999999999901</v>
      </c>
      <c r="Q207" s="55">
        <f t="shared" si="6"/>
        <v>2455470.38884209</v>
      </c>
      <c r="R207">
        <f t="shared" si="7"/>
        <v>25.499999999999901</v>
      </c>
    </row>
    <row r="208" spans="16:18" x14ac:dyDescent="0.2">
      <c r="P208">
        <v>25.599999999999898</v>
      </c>
      <c r="Q208" s="55">
        <f t="shared" si="6"/>
        <v>2474629.4837933918</v>
      </c>
      <c r="R208">
        <f t="shared" si="7"/>
        <v>25.599999999999898</v>
      </c>
    </row>
    <row r="209" spans="16:18" x14ac:dyDescent="0.2">
      <c r="P209">
        <v>25.6999999999999</v>
      </c>
      <c r="Q209" s="55">
        <f t="shared" si="6"/>
        <v>2493861.9537827112</v>
      </c>
      <c r="R209">
        <f t="shared" si="7"/>
        <v>25.6999999999999</v>
      </c>
    </row>
    <row r="210" spans="16:18" x14ac:dyDescent="0.2">
      <c r="P210">
        <v>25.799999999999901</v>
      </c>
      <c r="Q210" s="55">
        <f t="shared" si="6"/>
        <v>2513167.7862436762</v>
      </c>
      <c r="R210">
        <f t="shared" si="7"/>
        <v>25.799999999999901</v>
      </c>
    </row>
    <row r="211" spans="16:18" x14ac:dyDescent="0.2">
      <c r="P211">
        <v>25.899999999999899</v>
      </c>
      <c r="Q211" s="55">
        <f t="shared" si="6"/>
        <v>2532546.9686099184</v>
      </c>
      <c r="R211">
        <f t="shared" si="7"/>
        <v>25.899999999999899</v>
      </c>
    </row>
    <row r="212" spans="16:18" x14ac:dyDescent="0.2">
      <c r="P212">
        <v>25.999999999999901</v>
      </c>
      <c r="Q212" s="55">
        <f t="shared" si="6"/>
        <v>2551999.4883150654</v>
      </c>
      <c r="R212">
        <f t="shared" si="7"/>
        <v>25.999999999999901</v>
      </c>
    </row>
    <row r="213" spans="16:18" x14ac:dyDescent="0.2">
      <c r="P213">
        <v>26.099999999999898</v>
      </c>
      <c r="Q213" s="55">
        <f t="shared" si="6"/>
        <v>2571525.3327927468</v>
      </c>
      <c r="R213">
        <f t="shared" si="7"/>
        <v>26.099999999999898</v>
      </c>
    </row>
    <row r="214" spans="16:18" x14ac:dyDescent="0.2">
      <c r="P214">
        <v>26.1999999999999</v>
      </c>
      <c r="Q214" s="55">
        <f t="shared" si="6"/>
        <v>2591124.4894765927</v>
      </c>
      <c r="R214">
        <f t="shared" si="7"/>
        <v>26.1999999999999</v>
      </c>
    </row>
    <row r="215" spans="16:18" x14ac:dyDescent="0.2">
      <c r="P215">
        <v>26.299999999999901</v>
      </c>
      <c r="Q215" s="55">
        <f t="shared" si="6"/>
        <v>2610796.9458002327</v>
      </c>
      <c r="R215">
        <f t="shared" si="7"/>
        <v>26.299999999999901</v>
      </c>
    </row>
    <row r="216" spans="16:18" x14ac:dyDescent="0.2">
      <c r="P216">
        <v>26.399999999999899</v>
      </c>
      <c r="Q216" s="55">
        <f t="shared" si="6"/>
        <v>2630542.6891972953</v>
      </c>
      <c r="R216">
        <f t="shared" si="7"/>
        <v>26.399999999999899</v>
      </c>
    </row>
    <row r="217" spans="16:18" x14ac:dyDescent="0.2">
      <c r="P217">
        <v>26.499999999999901</v>
      </c>
      <c r="Q217" s="55">
        <f t="shared" si="6"/>
        <v>2650361.7071014107</v>
      </c>
      <c r="R217">
        <f t="shared" si="7"/>
        <v>26.499999999999901</v>
      </c>
    </row>
    <row r="218" spans="16:18" x14ac:dyDescent="0.2">
      <c r="P218">
        <v>26.599999999999898</v>
      </c>
      <c r="Q218" s="55">
        <f t="shared" si="6"/>
        <v>2670253.9869462065</v>
      </c>
      <c r="R218">
        <f t="shared" si="7"/>
        <v>26.599999999999898</v>
      </c>
    </row>
    <row r="219" spans="16:18" x14ac:dyDescent="0.2">
      <c r="P219">
        <v>26.6999999999999</v>
      </c>
      <c r="Q219" s="55">
        <f t="shared" si="6"/>
        <v>2690219.5161653138</v>
      </c>
      <c r="R219">
        <f t="shared" si="7"/>
        <v>26.6999999999999</v>
      </c>
    </row>
    <row r="220" spans="16:18" x14ac:dyDescent="0.2">
      <c r="P220">
        <v>26.799999999999901</v>
      </c>
      <c r="Q220" s="55">
        <f t="shared" si="6"/>
        <v>2710258.282192362</v>
      </c>
      <c r="R220">
        <f t="shared" si="7"/>
        <v>26.799999999999901</v>
      </c>
    </row>
    <row r="221" spans="16:18" x14ac:dyDescent="0.2">
      <c r="P221">
        <v>26.899999999999899</v>
      </c>
      <c r="Q221" s="55">
        <f t="shared" si="6"/>
        <v>2730370.2724609803</v>
      </c>
      <c r="R221">
        <f t="shared" si="7"/>
        <v>26.899999999999899</v>
      </c>
    </row>
    <row r="222" spans="16:18" x14ac:dyDescent="0.2">
      <c r="P222">
        <v>26.999999999999901</v>
      </c>
      <c r="Q222" s="55">
        <f t="shared" si="6"/>
        <v>2750555.4744047979</v>
      </c>
      <c r="R222">
        <f t="shared" si="7"/>
        <v>26.999999999999901</v>
      </c>
    </row>
    <row r="223" spans="16:18" x14ac:dyDescent="0.2">
      <c r="P223">
        <v>27.099999999999898</v>
      </c>
      <c r="Q223" s="55">
        <f t="shared" si="6"/>
        <v>2770813.8754574433</v>
      </c>
      <c r="R223">
        <f t="shared" si="7"/>
        <v>27.099999999999898</v>
      </c>
    </row>
    <row r="224" spans="16:18" x14ac:dyDescent="0.2">
      <c r="P224">
        <v>27.1999999999999</v>
      </c>
      <c r="Q224" s="55">
        <f t="shared" si="6"/>
        <v>2791145.4630525471</v>
      </c>
      <c r="R224">
        <f t="shared" si="7"/>
        <v>27.1999999999999</v>
      </c>
    </row>
    <row r="225" spans="16:18" x14ac:dyDescent="0.2">
      <c r="P225">
        <v>27.299999999999901</v>
      </c>
      <c r="Q225" s="55">
        <f t="shared" si="6"/>
        <v>2811550.2246237393</v>
      </c>
      <c r="R225">
        <f t="shared" si="7"/>
        <v>27.299999999999901</v>
      </c>
    </row>
    <row r="226" spans="16:18" x14ac:dyDescent="0.2">
      <c r="P226">
        <v>27.399999999999899</v>
      </c>
      <c r="Q226" s="55">
        <f t="shared" si="6"/>
        <v>2832028.1476046466</v>
      </c>
      <c r="R226">
        <f t="shared" si="7"/>
        <v>27.399999999999899</v>
      </c>
    </row>
    <row r="227" spans="16:18" x14ac:dyDescent="0.2">
      <c r="P227">
        <v>27.499999999999901</v>
      </c>
      <c r="Q227" s="55">
        <f t="shared" si="6"/>
        <v>2852579.2194289016</v>
      </c>
      <c r="R227">
        <f t="shared" si="7"/>
        <v>27.499999999999901</v>
      </c>
    </row>
    <row r="228" spans="16:18" x14ac:dyDescent="0.2">
      <c r="P228">
        <v>27.599999999999898</v>
      </c>
      <c r="Q228" s="55">
        <f t="shared" si="6"/>
        <v>2873203.4275301308</v>
      </c>
      <c r="R228">
        <f t="shared" si="7"/>
        <v>27.599999999999898</v>
      </c>
    </row>
    <row r="229" spans="16:18" x14ac:dyDescent="0.2">
      <c r="P229">
        <v>27.6999999999999</v>
      </c>
      <c r="Q229" s="55">
        <f t="shared" si="6"/>
        <v>2893900.7593419659</v>
      </c>
      <c r="R229">
        <f t="shared" si="7"/>
        <v>27.6999999999999</v>
      </c>
    </row>
    <row r="230" spans="16:18" x14ac:dyDescent="0.2">
      <c r="P230">
        <v>27.799999999999901</v>
      </c>
      <c r="Q230" s="55">
        <f t="shared" si="6"/>
        <v>2914671.2022980354</v>
      </c>
      <c r="R230">
        <f t="shared" si="7"/>
        <v>27.799999999999901</v>
      </c>
    </row>
    <row r="231" spans="16:18" x14ac:dyDescent="0.2">
      <c r="P231">
        <v>27.899999999999899</v>
      </c>
      <c r="Q231" s="55">
        <f t="shared" si="6"/>
        <v>2935514.7438319684</v>
      </c>
      <c r="R231">
        <f t="shared" si="7"/>
        <v>27.899999999999899</v>
      </c>
    </row>
    <row r="232" spans="16:18" x14ac:dyDescent="0.2">
      <c r="P232">
        <v>27.999999999999901</v>
      </c>
      <c r="Q232" s="55">
        <f t="shared" si="6"/>
        <v>2956431.371377395</v>
      </c>
      <c r="R232">
        <f t="shared" si="7"/>
        <v>27.999999999999901</v>
      </c>
    </row>
    <row r="233" spans="16:18" x14ac:dyDescent="0.2">
      <c r="P233">
        <v>28.099999999999898</v>
      </c>
      <c r="Q233" s="55">
        <f t="shared" si="6"/>
        <v>2977421.0723679429</v>
      </c>
      <c r="R233">
        <f t="shared" si="7"/>
        <v>28.099999999999898</v>
      </c>
    </row>
    <row r="234" spans="16:18" x14ac:dyDescent="0.2">
      <c r="P234">
        <v>28.1999999999999</v>
      </c>
      <c r="Q234" s="55">
        <f t="shared" si="6"/>
        <v>2998483.8342372435</v>
      </c>
      <c r="R234">
        <f t="shared" si="7"/>
        <v>28.1999999999999</v>
      </c>
    </row>
    <row r="235" spans="16:18" x14ac:dyDescent="0.2">
      <c r="P235">
        <v>28.299999999999901</v>
      </c>
      <c r="Q235" s="55">
        <f t="shared" si="6"/>
        <v>3019619.644418925</v>
      </c>
      <c r="R235">
        <f t="shared" si="7"/>
        <v>28.299999999999901</v>
      </c>
    </row>
    <row r="236" spans="16:18" x14ac:dyDescent="0.2">
      <c r="P236">
        <v>28.399999999999899</v>
      </c>
      <c r="Q236" s="55">
        <f t="shared" si="6"/>
        <v>3040828.4903466171</v>
      </c>
      <c r="R236">
        <f t="shared" si="7"/>
        <v>28.399999999999899</v>
      </c>
    </row>
    <row r="237" spans="16:18" x14ac:dyDescent="0.2">
      <c r="P237">
        <v>28.499999999999901</v>
      </c>
      <c r="Q237" s="55">
        <f t="shared" si="6"/>
        <v>3062110.3594539505</v>
      </c>
      <c r="R237">
        <f t="shared" si="7"/>
        <v>28.499999999999901</v>
      </c>
    </row>
    <row r="238" spans="16:18" x14ac:dyDescent="0.2">
      <c r="P238">
        <v>28.599999999999898</v>
      </c>
      <c r="Q238" s="55">
        <f t="shared" si="6"/>
        <v>3083465.2391745518</v>
      </c>
      <c r="R238">
        <f t="shared" si="7"/>
        <v>28.599999999999898</v>
      </c>
    </row>
    <row r="239" spans="16:18" x14ac:dyDescent="0.2">
      <c r="P239">
        <v>28.6999999999999</v>
      </c>
      <c r="Q239" s="55">
        <f t="shared" si="6"/>
        <v>3104893.1169420523</v>
      </c>
      <c r="R239">
        <f t="shared" si="7"/>
        <v>28.6999999999999</v>
      </c>
    </row>
    <row r="240" spans="16:18" x14ac:dyDescent="0.2">
      <c r="P240">
        <v>28.799999999999901</v>
      </c>
      <c r="Q240" s="55">
        <f t="shared" si="6"/>
        <v>3126393.9801900815</v>
      </c>
      <c r="R240">
        <f t="shared" si="7"/>
        <v>28.799999999999901</v>
      </c>
    </row>
    <row r="241" spans="16:18" x14ac:dyDescent="0.2">
      <c r="P241">
        <v>28.899999999999899</v>
      </c>
      <c r="Q241" s="55">
        <f t="shared" si="6"/>
        <v>3147967.8163522677</v>
      </c>
      <c r="R241">
        <f t="shared" si="7"/>
        <v>28.899999999999899</v>
      </c>
    </row>
    <row r="242" spans="16:18" x14ac:dyDescent="0.2">
      <c r="P242">
        <v>28.999999999999901</v>
      </c>
      <c r="Q242" s="55">
        <f t="shared" si="6"/>
        <v>3169614.6128622415</v>
      </c>
      <c r="R242">
        <f t="shared" si="7"/>
        <v>28.999999999999901</v>
      </c>
    </row>
    <row r="243" spans="16:18" x14ac:dyDescent="0.2">
      <c r="P243">
        <v>29.099999999999898</v>
      </c>
      <c r="Q243" s="55">
        <f t="shared" si="6"/>
        <v>3191334.3571536303</v>
      </c>
      <c r="R243">
        <f t="shared" si="7"/>
        <v>29.099999999999898</v>
      </c>
    </row>
    <row r="244" spans="16:18" x14ac:dyDescent="0.2">
      <c r="P244">
        <v>29.1999999999999</v>
      </c>
      <c r="Q244" s="55">
        <f t="shared" si="6"/>
        <v>3213127.0366600668</v>
      </c>
      <c r="R244">
        <f t="shared" si="7"/>
        <v>29.1999999999999</v>
      </c>
    </row>
    <row r="245" spans="16:18" x14ac:dyDescent="0.2">
      <c r="P245">
        <v>29.299999999999901</v>
      </c>
      <c r="Q245" s="55">
        <f t="shared" si="6"/>
        <v>3234992.6388151771</v>
      </c>
      <c r="R245">
        <f t="shared" si="7"/>
        <v>29.299999999999901</v>
      </c>
    </row>
    <row r="246" spans="16:18" x14ac:dyDescent="0.2">
      <c r="P246">
        <v>29.399999999999899</v>
      </c>
      <c r="Q246" s="55">
        <f t="shared" si="6"/>
        <v>3256931.1510525923</v>
      </c>
      <c r="R246">
        <f t="shared" si="7"/>
        <v>29.399999999999899</v>
      </c>
    </row>
    <row r="247" spans="16:18" x14ac:dyDescent="0.2">
      <c r="P247">
        <v>29.499999999999901</v>
      </c>
      <c r="Q247" s="55">
        <f t="shared" si="6"/>
        <v>3278942.560805941</v>
      </c>
      <c r="R247">
        <f t="shared" si="7"/>
        <v>29.499999999999901</v>
      </c>
    </row>
    <row r="248" spans="16:18" x14ac:dyDescent="0.2">
      <c r="P248">
        <v>29.599999999999898</v>
      </c>
      <c r="Q248" s="55">
        <f t="shared" si="6"/>
        <v>3301026.8555088528</v>
      </c>
      <c r="R248">
        <f t="shared" si="7"/>
        <v>29.599999999999898</v>
      </c>
    </row>
    <row r="249" spans="16:18" x14ac:dyDescent="0.2">
      <c r="P249">
        <v>29.6999999999999</v>
      </c>
      <c r="Q249" s="55">
        <f t="shared" si="6"/>
        <v>3323184.0225949581</v>
      </c>
      <c r="R249">
        <f t="shared" si="7"/>
        <v>29.6999999999999</v>
      </c>
    </row>
    <row r="250" spans="16:18" x14ac:dyDescent="0.2">
      <c r="P250">
        <v>29.799999999999901</v>
      </c>
      <c r="Q250" s="55">
        <f t="shared" si="6"/>
        <v>3345414.0494978856</v>
      </c>
      <c r="R250">
        <f t="shared" si="7"/>
        <v>29.799999999999901</v>
      </c>
    </row>
    <row r="251" spans="16:18" x14ac:dyDescent="0.2">
      <c r="P251">
        <v>29.899999999999899</v>
      </c>
      <c r="Q251" s="55">
        <f t="shared" si="6"/>
        <v>3367716.923651264</v>
      </c>
      <c r="R251">
        <f t="shared" si="7"/>
        <v>29.899999999999899</v>
      </c>
    </row>
    <row r="252" spans="16:18" x14ac:dyDescent="0.2">
      <c r="P252">
        <v>29.999999999999901</v>
      </c>
      <c r="Q252" s="55">
        <f t="shared" si="6"/>
        <v>3390092.6324887238</v>
      </c>
      <c r="R252">
        <f t="shared" si="7"/>
        <v>29.999999999999901</v>
      </c>
    </row>
    <row r="253" spans="16:18" x14ac:dyDescent="0.2">
      <c r="P253">
        <v>30.099999999999898</v>
      </c>
      <c r="Q253" s="55">
        <f t="shared" si="6"/>
        <v>3412541.1634438923</v>
      </c>
      <c r="R253">
        <f t="shared" si="7"/>
        <v>30.099999999999898</v>
      </c>
    </row>
    <row r="254" spans="16:18" x14ac:dyDescent="0.2">
      <c r="P254">
        <v>30.1999999999999</v>
      </c>
      <c r="Q254" s="55">
        <f t="shared" si="6"/>
        <v>3435062.5039504017</v>
      </c>
      <c r="R254">
        <f t="shared" si="7"/>
        <v>30.1999999999999</v>
      </c>
    </row>
    <row r="255" spans="16:18" x14ac:dyDescent="0.2">
      <c r="P255">
        <v>30.299999999999901</v>
      </c>
      <c r="Q255" s="55">
        <f t="shared" si="6"/>
        <v>3457656.6414418803</v>
      </c>
      <c r="R255">
        <f t="shared" si="7"/>
        <v>30.299999999999901</v>
      </c>
    </row>
    <row r="256" spans="16:18" x14ac:dyDescent="0.2">
      <c r="P256">
        <v>30.399999999999899</v>
      </c>
      <c r="Q256" s="55">
        <f t="shared" si="6"/>
        <v>3480323.5633519562</v>
      </c>
      <c r="R256">
        <f t="shared" si="7"/>
        <v>30.399999999999899</v>
      </c>
    </row>
    <row r="257" spans="16:18" x14ac:dyDescent="0.2">
      <c r="P257">
        <v>30.499999999999901</v>
      </c>
      <c r="Q257" s="55">
        <f t="shared" si="6"/>
        <v>3503063.2571142609</v>
      </c>
      <c r="R257">
        <f t="shared" si="7"/>
        <v>30.499999999999901</v>
      </c>
    </row>
    <row r="258" spans="16:18" x14ac:dyDescent="0.2">
      <c r="P258">
        <v>30.599999999999898</v>
      </c>
      <c r="Q258" s="55">
        <f t="shared" ref="Q258:Q321" si="8">4/3*PI()*P258^3+PI()*P258^2*($O$2-2*P258)</f>
        <v>3525875.7101624217</v>
      </c>
      <c r="R258">
        <f t="shared" ref="R258:R321" si="9">P258</f>
        <v>30.599999999999898</v>
      </c>
    </row>
    <row r="259" spans="16:18" x14ac:dyDescent="0.2">
      <c r="P259">
        <v>30.6999999999999</v>
      </c>
      <c r="Q259" s="55">
        <f t="shared" si="8"/>
        <v>3548760.9099300704</v>
      </c>
      <c r="R259">
        <f t="shared" si="9"/>
        <v>30.6999999999999</v>
      </c>
    </row>
    <row r="260" spans="16:18" x14ac:dyDescent="0.2">
      <c r="P260">
        <v>30.799999999999901</v>
      </c>
      <c r="Q260" s="55">
        <f t="shared" si="8"/>
        <v>3571718.8438508338</v>
      </c>
      <c r="R260">
        <f t="shared" si="9"/>
        <v>30.799999999999901</v>
      </c>
    </row>
    <row r="261" spans="16:18" x14ac:dyDescent="0.2">
      <c r="P261">
        <v>30.899999999999899</v>
      </c>
      <c r="Q261" s="55">
        <f t="shared" si="8"/>
        <v>3594749.499358343</v>
      </c>
      <c r="R261">
        <f t="shared" si="9"/>
        <v>30.899999999999899</v>
      </c>
    </row>
    <row r="262" spans="16:18" x14ac:dyDescent="0.2">
      <c r="P262">
        <v>30.999999999999901</v>
      </c>
      <c r="Q262" s="55">
        <f t="shared" si="8"/>
        <v>3617852.8638862264</v>
      </c>
      <c r="R262">
        <f t="shared" si="9"/>
        <v>30.999999999999901</v>
      </c>
    </row>
    <row r="263" spans="16:18" x14ac:dyDescent="0.2">
      <c r="P263">
        <v>31.099999999999898</v>
      </c>
      <c r="Q263" s="55">
        <f t="shared" si="8"/>
        <v>3641028.9248681143</v>
      </c>
      <c r="R263">
        <f t="shared" si="9"/>
        <v>31.099999999999898</v>
      </c>
    </row>
    <row r="264" spans="16:18" x14ac:dyDescent="0.2">
      <c r="P264">
        <v>31.1999999999999</v>
      </c>
      <c r="Q264" s="55">
        <f t="shared" si="8"/>
        <v>3664277.6697376361</v>
      </c>
      <c r="R264">
        <f t="shared" si="9"/>
        <v>31.1999999999999</v>
      </c>
    </row>
    <row r="265" spans="16:18" x14ac:dyDescent="0.2">
      <c r="P265">
        <v>31.299999999999901</v>
      </c>
      <c r="Q265" s="55">
        <f t="shared" si="8"/>
        <v>3687599.0859284196</v>
      </c>
      <c r="R265">
        <f t="shared" si="9"/>
        <v>31.299999999999901</v>
      </c>
    </row>
    <row r="266" spans="16:18" x14ac:dyDescent="0.2">
      <c r="P266">
        <v>31.399999999999899</v>
      </c>
      <c r="Q266" s="55">
        <f t="shared" si="8"/>
        <v>3710993.1608740962</v>
      </c>
      <c r="R266">
        <f t="shared" si="9"/>
        <v>31.399999999999899</v>
      </c>
    </row>
    <row r="267" spans="16:18" x14ac:dyDescent="0.2">
      <c r="P267">
        <v>31.499999999999901</v>
      </c>
      <c r="Q267" s="55">
        <f t="shared" si="8"/>
        <v>3734459.8820082946</v>
      </c>
      <c r="R267">
        <f t="shared" si="9"/>
        <v>31.499999999999901</v>
      </c>
    </row>
    <row r="268" spans="16:18" x14ac:dyDescent="0.2">
      <c r="P268">
        <v>31.599999999999898</v>
      </c>
      <c r="Q268" s="55">
        <f t="shared" si="8"/>
        <v>3757999.2367646424</v>
      </c>
      <c r="R268">
        <f t="shared" si="9"/>
        <v>31.599999999999898</v>
      </c>
    </row>
    <row r="269" spans="16:18" x14ac:dyDescent="0.2">
      <c r="P269">
        <v>31.6999999999999</v>
      </c>
      <c r="Q269" s="55">
        <f t="shared" si="8"/>
        <v>3781611.2125767721</v>
      </c>
      <c r="R269">
        <f t="shared" si="9"/>
        <v>31.6999999999999</v>
      </c>
    </row>
    <row r="270" spans="16:18" x14ac:dyDescent="0.2">
      <c r="P270">
        <v>31.799999999999901</v>
      </c>
      <c r="Q270" s="55">
        <f t="shared" si="8"/>
        <v>3805295.7968783118</v>
      </c>
      <c r="R270">
        <f t="shared" si="9"/>
        <v>31.799999999999901</v>
      </c>
    </row>
    <row r="271" spans="16:18" x14ac:dyDescent="0.2">
      <c r="P271">
        <v>31.899999999999899</v>
      </c>
      <c r="Q271" s="55">
        <f t="shared" si="8"/>
        <v>3829052.9771028901</v>
      </c>
      <c r="R271">
        <f t="shared" si="9"/>
        <v>31.899999999999899</v>
      </c>
    </row>
    <row r="272" spans="16:18" x14ac:dyDescent="0.2">
      <c r="P272">
        <v>31.999999999999901</v>
      </c>
      <c r="Q272" s="55">
        <f t="shared" si="8"/>
        <v>3852882.7406841372</v>
      </c>
      <c r="R272">
        <f t="shared" si="9"/>
        <v>31.999999999999901</v>
      </c>
    </row>
    <row r="273" spans="16:18" x14ac:dyDescent="0.2">
      <c r="P273">
        <v>32.099999999999902</v>
      </c>
      <c r="Q273" s="55">
        <f t="shared" si="8"/>
        <v>3876785.0750556816</v>
      </c>
      <c r="R273">
        <f t="shared" si="9"/>
        <v>32.099999999999902</v>
      </c>
    </row>
    <row r="274" spans="16:18" x14ac:dyDescent="0.2">
      <c r="P274">
        <v>32.199999999999903</v>
      </c>
      <c r="Q274" s="55">
        <f t="shared" si="8"/>
        <v>3900759.9676511539</v>
      </c>
      <c r="R274">
        <f t="shared" si="9"/>
        <v>32.199999999999903</v>
      </c>
    </row>
    <row r="275" spans="16:18" x14ac:dyDescent="0.2">
      <c r="P275">
        <v>32.299999999999898</v>
      </c>
      <c r="Q275" s="55">
        <f t="shared" si="8"/>
        <v>3924807.4059041813</v>
      </c>
      <c r="R275">
        <f t="shared" si="9"/>
        <v>32.299999999999898</v>
      </c>
    </row>
    <row r="276" spans="16:18" x14ac:dyDescent="0.2">
      <c r="P276">
        <v>32.399999999999899</v>
      </c>
      <c r="Q276" s="55">
        <f t="shared" si="8"/>
        <v>3948927.3772483966</v>
      </c>
      <c r="R276">
        <f t="shared" si="9"/>
        <v>32.399999999999899</v>
      </c>
    </row>
    <row r="277" spans="16:18" x14ac:dyDescent="0.2">
      <c r="P277">
        <v>32.499999999999901</v>
      </c>
      <c r="Q277" s="55">
        <f t="shared" si="8"/>
        <v>3973119.8691174281</v>
      </c>
      <c r="R277">
        <f t="shared" si="9"/>
        <v>32.499999999999901</v>
      </c>
    </row>
    <row r="278" spans="16:18" x14ac:dyDescent="0.2">
      <c r="P278">
        <v>32.599999999999902</v>
      </c>
      <c r="Q278" s="55">
        <f t="shared" si="8"/>
        <v>3997384.8689449029</v>
      </c>
      <c r="R278">
        <f t="shared" si="9"/>
        <v>32.599999999999902</v>
      </c>
    </row>
    <row r="279" spans="16:18" x14ac:dyDescent="0.2">
      <c r="P279">
        <v>32.699999999999903</v>
      </c>
      <c r="Q279" s="55">
        <f t="shared" si="8"/>
        <v>4021722.3641644521</v>
      </c>
      <c r="R279">
        <f t="shared" si="9"/>
        <v>32.699999999999903</v>
      </c>
    </row>
    <row r="280" spans="16:18" x14ac:dyDescent="0.2">
      <c r="P280">
        <v>32.799999999999898</v>
      </c>
      <c r="Q280" s="55">
        <f t="shared" si="8"/>
        <v>4046132.3422097042</v>
      </c>
      <c r="R280">
        <f t="shared" si="9"/>
        <v>32.799999999999898</v>
      </c>
    </row>
    <row r="281" spans="16:18" x14ac:dyDescent="0.2">
      <c r="P281">
        <v>32.899999999999899</v>
      </c>
      <c r="Q281" s="55">
        <f t="shared" si="8"/>
        <v>4070614.7905142908</v>
      </c>
      <c r="R281">
        <f t="shared" si="9"/>
        <v>32.899999999999899</v>
      </c>
    </row>
    <row r="282" spans="16:18" x14ac:dyDescent="0.2">
      <c r="P282">
        <v>32.999999999999901</v>
      </c>
      <c r="Q282" s="55">
        <f t="shared" si="8"/>
        <v>4095169.6965118395</v>
      </c>
      <c r="R282">
        <f t="shared" si="9"/>
        <v>32.999999999999901</v>
      </c>
    </row>
    <row r="283" spans="16:18" x14ac:dyDescent="0.2">
      <c r="P283">
        <v>33.099999999999902</v>
      </c>
      <c r="Q283" s="55">
        <f t="shared" si="8"/>
        <v>4119797.04763598</v>
      </c>
      <c r="R283">
        <f t="shared" si="9"/>
        <v>33.099999999999902</v>
      </c>
    </row>
    <row r="284" spans="16:18" x14ac:dyDescent="0.2">
      <c r="P284">
        <v>33.199999999999903</v>
      </c>
      <c r="Q284" s="55">
        <f t="shared" si="8"/>
        <v>4144496.8313203417</v>
      </c>
      <c r="R284">
        <f t="shared" si="9"/>
        <v>33.199999999999903</v>
      </c>
    </row>
    <row r="285" spans="16:18" x14ac:dyDescent="0.2">
      <c r="P285">
        <v>33.299999999999898</v>
      </c>
      <c r="Q285" s="55">
        <f t="shared" si="8"/>
        <v>4169269.0349985519</v>
      </c>
      <c r="R285">
        <f t="shared" si="9"/>
        <v>33.299999999999898</v>
      </c>
    </row>
    <row r="286" spans="16:18" x14ac:dyDescent="0.2">
      <c r="P286">
        <v>33.399999999999899</v>
      </c>
      <c r="Q286" s="55">
        <f t="shared" si="8"/>
        <v>4194113.646104245</v>
      </c>
      <c r="R286">
        <f t="shared" si="9"/>
        <v>33.399999999999899</v>
      </c>
    </row>
    <row r="287" spans="16:18" x14ac:dyDescent="0.2">
      <c r="P287">
        <v>33.499999999999901</v>
      </c>
      <c r="Q287" s="55">
        <f t="shared" si="8"/>
        <v>4219030.6520710457</v>
      </c>
      <c r="R287">
        <f t="shared" si="9"/>
        <v>33.499999999999901</v>
      </c>
    </row>
    <row r="288" spans="16:18" x14ac:dyDescent="0.2">
      <c r="P288">
        <v>33.599999999999902</v>
      </c>
      <c r="Q288" s="55">
        <f t="shared" si="8"/>
        <v>4244020.0403325856</v>
      </c>
      <c r="R288">
        <f t="shared" si="9"/>
        <v>33.599999999999902</v>
      </c>
    </row>
    <row r="289" spans="16:18" x14ac:dyDescent="0.2">
      <c r="P289">
        <v>33.699999999999903</v>
      </c>
      <c r="Q289" s="55">
        <f t="shared" si="8"/>
        <v>4269081.7983224941</v>
      </c>
      <c r="R289">
        <f t="shared" si="9"/>
        <v>33.699999999999903</v>
      </c>
    </row>
    <row r="290" spans="16:18" x14ac:dyDescent="0.2">
      <c r="P290">
        <v>33.799999999999898</v>
      </c>
      <c r="Q290" s="55">
        <f t="shared" si="8"/>
        <v>4294215.9134743977</v>
      </c>
      <c r="R290">
        <f t="shared" si="9"/>
        <v>33.799999999999898</v>
      </c>
    </row>
    <row r="291" spans="16:18" x14ac:dyDescent="0.2">
      <c r="P291">
        <v>33.899999999999899</v>
      </c>
      <c r="Q291" s="55">
        <f t="shared" si="8"/>
        <v>4319422.373221932</v>
      </c>
      <c r="R291">
        <f t="shared" si="9"/>
        <v>33.899999999999899</v>
      </c>
    </row>
    <row r="292" spans="16:18" x14ac:dyDescent="0.2">
      <c r="P292">
        <v>33.999999999999901</v>
      </c>
      <c r="Q292" s="55">
        <f t="shared" si="8"/>
        <v>4344701.1649987195</v>
      </c>
      <c r="R292">
        <f t="shared" si="9"/>
        <v>33.999999999999901</v>
      </c>
    </row>
    <row r="293" spans="16:18" x14ac:dyDescent="0.2">
      <c r="P293">
        <v>34.099999999999902</v>
      </c>
      <c r="Q293" s="55">
        <f t="shared" si="8"/>
        <v>4370052.2762383949</v>
      </c>
      <c r="R293">
        <f t="shared" si="9"/>
        <v>34.099999999999902</v>
      </c>
    </row>
    <row r="294" spans="16:18" x14ac:dyDescent="0.2">
      <c r="P294">
        <v>34.199999999999903</v>
      </c>
      <c r="Q294" s="55">
        <f t="shared" si="8"/>
        <v>4395475.6943745837</v>
      </c>
      <c r="R294">
        <f t="shared" si="9"/>
        <v>34.199999999999903</v>
      </c>
    </row>
    <row r="295" spans="16:18" x14ac:dyDescent="0.2">
      <c r="P295">
        <v>34.299999999999898</v>
      </c>
      <c r="Q295" s="55">
        <f t="shared" si="8"/>
        <v>4420971.4068409158</v>
      </c>
      <c r="R295">
        <f t="shared" si="9"/>
        <v>34.299999999999898</v>
      </c>
    </row>
    <row r="296" spans="16:18" x14ac:dyDescent="0.2">
      <c r="P296">
        <v>34.399999999999899</v>
      </c>
      <c r="Q296" s="55">
        <f t="shared" si="8"/>
        <v>4446539.4010710241</v>
      </c>
      <c r="R296">
        <f t="shared" si="9"/>
        <v>34.399999999999899</v>
      </c>
    </row>
    <row r="297" spans="16:18" x14ac:dyDescent="0.2">
      <c r="P297">
        <v>34.499999999999901</v>
      </c>
      <c r="Q297" s="55">
        <f t="shared" si="8"/>
        <v>4472179.664498535</v>
      </c>
      <c r="R297">
        <f t="shared" si="9"/>
        <v>34.499999999999901</v>
      </c>
    </row>
    <row r="298" spans="16:18" x14ac:dyDescent="0.2">
      <c r="P298">
        <v>34.599999999999902</v>
      </c>
      <c r="Q298" s="55">
        <f t="shared" si="8"/>
        <v>4497892.1845570784</v>
      </c>
      <c r="R298">
        <f t="shared" si="9"/>
        <v>34.599999999999902</v>
      </c>
    </row>
    <row r="299" spans="16:18" x14ac:dyDescent="0.2">
      <c r="P299">
        <v>34.699999999999903</v>
      </c>
      <c r="Q299" s="55">
        <f t="shared" si="8"/>
        <v>4523676.9486802835</v>
      </c>
      <c r="R299">
        <f t="shared" si="9"/>
        <v>34.699999999999903</v>
      </c>
    </row>
    <row r="300" spans="16:18" x14ac:dyDescent="0.2">
      <c r="P300">
        <v>34.799999999999898</v>
      </c>
      <c r="Q300" s="55">
        <f t="shared" si="8"/>
        <v>4549533.9443017794</v>
      </c>
      <c r="R300">
        <f t="shared" si="9"/>
        <v>34.799999999999898</v>
      </c>
    </row>
    <row r="301" spans="16:18" x14ac:dyDescent="0.2">
      <c r="P301">
        <v>34.899999999999899</v>
      </c>
      <c r="Q301" s="55">
        <f t="shared" si="8"/>
        <v>4575463.158855197</v>
      </c>
      <c r="R301">
        <f t="shared" si="9"/>
        <v>34.899999999999899</v>
      </c>
    </row>
    <row r="302" spans="16:18" x14ac:dyDescent="0.2">
      <c r="P302">
        <v>34.999999999999901</v>
      </c>
      <c r="Q302" s="55">
        <f t="shared" si="8"/>
        <v>4601464.5797741637</v>
      </c>
      <c r="R302">
        <f t="shared" si="9"/>
        <v>34.999999999999901</v>
      </c>
    </row>
    <row r="303" spans="16:18" x14ac:dyDescent="0.2">
      <c r="P303">
        <v>35.099999999999902</v>
      </c>
      <c r="Q303" s="55">
        <f t="shared" si="8"/>
        <v>4627538.1944923112</v>
      </c>
      <c r="R303">
        <f t="shared" si="9"/>
        <v>35.099999999999902</v>
      </c>
    </row>
    <row r="304" spans="16:18" x14ac:dyDescent="0.2">
      <c r="P304">
        <v>35.199999999999903</v>
      </c>
      <c r="Q304" s="55">
        <f t="shared" si="8"/>
        <v>4653683.9904432669</v>
      </c>
      <c r="R304">
        <f t="shared" si="9"/>
        <v>35.199999999999903</v>
      </c>
    </row>
    <row r="305" spans="16:18" x14ac:dyDescent="0.2">
      <c r="P305">
        <v>35.299999999999898</v>
      </c>
      <c r="Q305" s="55">
        <f t="shared" si="8"/>
        <v>4679901.9550606599</v>
      </c>
      <c r="R305">
        <f t="shared" si="9"/>
        <v>35.299999999999898</v>
      </c>
    </row>
    <row r="306" spans="16:18" x14ac:dyDescent="0.2">
      <c r="P306">
        <v>35.399999999999899</v>
      </c>
      <c r="Q306" s="55">
        <f t="shared" si="8"/>
        <v>4706192.0757781211</v>
      </c>
      <c r="R306">
        <f t="shared" si="9"/>
        <v>35.399999999999899</v>
      </c>
    </row>
    <row r="307" spans="16:18" x14ac:dyDescent="0.2">
      <c r="P307">
        <v>35.499999999999901</v>
      </c>
      <c r="Q307" s="55">
        <f t="shared" si="8"/>
        <v>4732554.3400292816</v>
      </c>
      <c r="R307">
        <f t="shared" si="9"/>
        <v>35.499999999999901</v>
      </c>
    </row>
    <row r="308" spans="16:18" x14ac:dyDescent="0.2">
      <c r="P308">
        <v>35.599999999999902</v>
      </c>
      <c r="Q308" s="55">
        <f t="shared" si="8"/>
        <v>4758988.7352477666</v>
      </c>
      <c r="R308">
        <f t="shared" si="9"/>
        <v>35.599999999999902</v>
      </c>
    </row>
    <row r="309" spans="16:18" x14ac:dyDescent="0.2">
      <c r="P309">
        <v>35.699999999999903</v>
      </c>
      <c r="Q309" s="55">
        <f t="shared" si="8"/>
        <v>4785495.2488672072</v>
      </c>
      <c r="R309">
        <f t="shared" si="9"/>
        <v>35.699999999999903</v>
      </c>
    </row>
    <row r="310" spans="16:18" x14ac:dyDescent="0.2">
      <c r="P310">
        <v>35.799999999999898</v>
      </c>
      <c r="Q310" s="55">
        <f t="shared" si="8"/>
        <v>4812073.8683212306</v>
      </c>
      <c r="R310">
        <f t="shared" si="9"/>
        <v>35.799999999999898</v>
      </c>
    </row>
    <row r="311" spans="16:18" x14ac:dyDescent="0.2">
      <c r="P311">
        <v>35.899999999999899</v>
      </c>
      <c r="Q311" s="55">
        <f t="shared" si="8"/>
        <v>4838724.5810434725</v>
      </c>
      <c r="R311">
        <f t="shared" si="9"/>
        <v>35.899999999999899</v>
      </c>
    </row>
    <row r="312" spans="16:18" x14ac:dyDescent="0.2">
      <c r="P312">
        <v>35.999999999999901</v>
      </c>
      <c r="Q312" s="55">
        <f t="shared" si="8"/>
        <v>4865447.3744675573</v>
      </c>
      <c r="R312">
        <f t="shared" si="9"/>
        <v>35.999999999999901</v>
      </c>
    </row>
    <row r="313" spans="16:18" x14ac:dyDescent="0.2">
      <c r="P313">
        <v>36.099999999999902</v>
      </c>
      <c r="Q313" s="55">
        <f t="shared" si="8"/>
        <v>4892242.2360271169</v>
      </c>
      <c r="R313">
        <f t="shared" si="9"/>
        <v>36.099999999999902</v>
      </c>
    </row>
    <row r="314" spans="16:18" x14ac:dyDescent="0.2">
      <c r="P314">
        <v>36.199999999999903</v>
      </c>
      <c r="Q314" s="55">
        <f t="shared" si="8"/>
        <v>4919109.1531557767</v>
      </c>
      <c r="R314">
        <f t="shared" si="9"/>
        <v>36.199999999999903</v>
      </c>
    </row>
    <row r="315" spans="16:18" x14ac:dyDescent="0.2">
      <c r="P315">
        <v>36.299999999999898</v>
      </c>
      <c r="Q315" s="55">
        <f t="shared" si="8"/>
        <v>4946048.1132871686</v>
      </c>
      <c r="R315">
        <f t="shared" si="9"/>
        <v>36.299999999999898</v>
      </c>
    </row>
    <row r="316" spans="16:18" x14ac:dyDescent="0.2">
      <c r="P316">
        <v>36.399999999999899</v>
      </c>
      <c r="Q316" s="55">
        <f t="shared" si="8"/>
        <v>4973059.1038549235</v>
      </c>
      <c r="R316">
        <f t="shared" si="9"/>
        <v>36.399999999999899</v>
      </c>
    </row>
    <row r="317" spans="16:18" x14ac:dyDescent="0.2">
      <c r="P317">
        <v>36.499999999999901</v>
      </c>
      <c r="Q317" s="55">
        <f t="shared" si="8"/>
        <v>5000142.1122926679</v>
      </c>
      <c r="R317">
        <f t="shared" si="9"/>
        <v>36.499999999999901</v>
      </c>
    </row>
    <row r="318" spans="16:18" x14ac:dyDescent="0.2">
      <c r="P318">
        <v>36.599999999999902</v>
      </c>
      <c r="Q318" s="55">
        <f t="shared" si="8"/>
        <v>5027297.1260340344</v>
      </c>
      <c r="R318">
        <f t="shared" si="9"/>
        <v>36.599999999999902</v>
      </c>
    </row>
    <row r="319" spans="16:18" x14ac:dyDescent="0.2">
      <c r="P319">
        <v>36.699999999999903</v>
      </c>
      <c r="Q319" s="55">
        <f t="shared" si="8"/>
        <v>5054524.1325126495</v>
      </c>
      <c r="R319">
        <f t="shared" si="9"/>
        <v>36.699999999999903</v>
      </c>
    </row>
    <row r="320" spans="16:18" x14ac:dyDescent="0.2">
      <c r="P320">
        <v>36.799999999999898</v>
      </c>
      <c r="Q320" s="55">
        <f t="shared" si="8"/>
        <v>5081823.1191621413</v>
      </c>
      <c r="R320">
        <f t="shared" si="9"/>
        <v>36.799999999999898</v>
      </c>
    </row>
    <row r="321" spans="16:18" x14ac:dyDescent="0.2">
      <c r="P321">
        <v>36.899999999999899</v>
      </c>
      <c r="Q321" s="55">
        <f t="shared" si="8"/>
        <v>5109194.0734161455</v>
      </c>
      <c r="R321">
        <f t="shared" si="9"/>
        <v>36.899999999999899</v>
      </c>
    </row>
    <row r="322" spans="16:18" x14ac:dyDescent="0.2">
      <c r="P322">
        <v>36.999999999999901</v>
      </c>
      <c r="Q322" s="55">
        <f t="shared" ref="Q322:Q385" si="10">4/3*PI()*P322^3+PI()*P322^2*($O$2-2*P322)</f>
        <v>5136636.9827082874</v>
      </c>
      <c r="R322">
        <f t="shared" ref="R322:R385" si="11">P322</f>
        <v>36.999999999999901</v>
      </c>
    </row>
    <row r="323" spans="16:18" x14ac:dyDescent="0.2">
      <c r="P323">
        <v>37.099999999999902</v>
      </c>
      <c r="Q323" s="55">
        <f t="shared" si="10"/>
        <v>5164151.8344721952</v>
      </c>
      <c r="R323">
        <f t="shared" si="11"/>
        <v>37.099999999999902</v>
      </c>
    </row>
    <row r="324" spans="16:18" x14ac:dyDescent="0.2">
      <c r="P324">
        <v>37.199999999999903</v>
      </c>
      <c r="Q324" s="55">
        <f t="shared" si="10"/>
        <v>5191738.6161414981</v>
      </c>
      <c r="R324">
        <f t="shared" si="11"/>
        <v>37.199999999999903</v>
      </c>
    </row>
    <row r="325" spans="16:18" x14ac:dyDescent="0.2">
      <c r="P325">
        <v>37.299999999999898</v>
      </c>
      <c r="Q325" s="55">
        <f t="shared" si="10"/>
        <v>5219397.3151498269</v>
      </c>
      <c r="R325">
        <f t="shared" si="11"/>
        <v>37.299999999999898</v>
      </c>
    </row>
    <row r="326" spans="16:18" x14ac:dyDescent="0.2">
      <c r="P326">
        <v>37.399999999999899</v>
      </c>
      <c r="Q326" s="55">
        <f t="shared" si="10"/>
        <v>5247127.9189308146</v>
      </c>
      <c r="R326">
        <f t="shared" si="11"/>
        <v>37.399999999999899</v>
      </c>
    </row>
    <row r="327" spans="16:18" x14ac:dyDescent="0.2">
      <c r="P327">
        <v>37.499999999999901</v>
      </c>
      <c r="Q327" s="55">
        <f t="shared" si="10"/>
        <v>5274930.4149180846</v>
      </c>
      <c r="R327">
        <f t="shared" si="11"/>
        <v>37.499999999999901</v>
      </c>
    </row>
    <row r="328" spans="16:18" x14ac:dyDescent="0.2">
      <c r="P328">
        <v>37.599999999999902</v>
      </c>
      <c r="Q328" s="55">
        <f t="shared" si="10"/>
        <v>5302804.7905452689</v>
      </c>
      <c r="R328">
        <f t="shared" si="11"/>
        <v>37.599999999999902</v>
      </c>
    </row>
    <row r="329" spans="16:18" x14ac:dyDescent="0.2">
      <c r="P329">
        <v>37.699999999999903</v>
      </c>
      <c r="Q329" s="55">
        <f t="shared" si="10"/>
        <v>5330751.0332459975</v>
      </c>
      <c r="R329">
        <f t="shared" si="11"/>
        <v>37.699999999999903</v>
      </c>
    </row>
    <row r="330" spans="16:18" x14ac:dyDescent="0.2">
      <c r="P330">
        <v>37.799999999999898</v>
      </c>
      <c r="Q330" s="55">
        <f t="shared" si="10"/>
        <v>5358769.1304538958</v>
      </c>
      <c r="R330">
        <f t="shared" si="11"/>
        <v>37.799999999999898</v>
      </c>
    </row>
    <row r="331" spans="16:18" x14ac:dyDescent="0.2">
      <c r="P331">
        <v>37.899999999999899</v>
      </c>
      <c r="Q331" s="55">
        <f t="shared" si="10"/>
        <v>5386859.0696026012</v>
      </c>
      <c r="R331">
        <f t="shared" si="11"/>
        <v>37.899999999999899</v>
      </c>
    </row>
    <row r="332" spans="16:18" x14ac:dyDescent="0.2">
      <c r="P332">
        <v>37.999999999999901</v>
      </c>
      <c r="Q332" s="55">
        <f t="shared" si="10"/>
        <v>5415020.8381257365</v>
      </c>
      <c r="R332">
        <f t="shared" si="11"/>
        <v>37.999999999999901</v>
      </c>
    </row>
    <row r="333" spans="16:18" x14ac:dyDescent="0.2">
      <c r="P333">
        <v>38.099999999999902</v>
      </c>
      <c r="Q333" s="55">
        <f t="shared" si="10"/>
        <v>5443254.4234569324</v>
      </c>
      <c r="R333">
        <f t="shared" si="11"/>
        <v>38.099999999999902</v>
      </c>
    </row>
    <row r="334" spans="16:18" x14ac:dyDescent="0.2">
      <c r="P334">
        <v>38.199999999999903</v>
      </c>
      <c r="Q334" s="55">
        <f t="shared" si="10"/>
        <v>5471559.8130298182</v>
      </c>
      <c r="R334">
        <f t="shared" si="11"/>
        <v>38.199999999999903</v>
      </c>
    </row>
    <row r="335" spans="16:18" x14ac:dyDescent="0.2">
      <c r="P335">
        <v>38.299999999999898</v>
      </c>
      <c r="Q335" s="55">
        <f t="shared" si="10"/>
        <v>5499936.994278023</v>
      </c>
      <c r="R335">
        <f t="shared" si="11"/>
        <v>38.299999999999898</v>
      </c>
    </row>
    <row r="336" spans="16:18" x14ac:dyDescent="0.2">
      <c r="P336">
        <v>38.399999999999899</v>
      </c>
      <c r="Q336" s="55">
        <f t="shared" si="10"/>
        <v>5528385.9546351796</v>
      </c>
      <c r="R336">
        <f t="shared" si="11"/>
        <v>38.399999999999899</v>
      </c>
    </row>
    <row r="337" spans="16:18" x14ac:dyDescent="0.2">
      <c r="P337">
        <v>38.499999999999901</v>
      </c>
      <c r="Q337" s="55">
        <f t="shared" si="10"/>
        <v>5556906.6815349134</v>
      </c>
      <c r="R337">
        <f t="shared" si="11"/>
        <v>38.499999999999901</v>
      </c>
    </row>
    <row r="338" spans="16:18" x14ac:dyDescent="0.2">
      <c r="P338">
        <v>38.599999999999902</v>
      </c>
      <c r="Q338" s="55">
        <f t="shared" si="10"/>
        <v>5585499.1624108562</v>
      </c>
      <c r="R338">
        <f t="shared" si="11"/>
        <v>38.599999999999902</v>
      </c>
    </row>
    <row r="339" spans="16:18" x14ac:dyDescent="0.2">
      <c r="P339">
        <v>38.699999999999903</v>
      </c>
      <c r="Q339" s="55">
        <f t="shared" si="10"/>
        <v>5614163.3846966354</v>
      </c>
      <c r="R339">
        <f t="shared" si="11"/>
        <v>38.699999999999903</v>
      </c>
    </row>
    <row r="340" spans="16:18" x14ac:dyDescent="0.2">
      <c r="P340">
        <v>38.799999999999898</v>
      </c>
      <c r="Q340" s="55">
        <f t="shared" si="10"/>
        <v>5642899.3358258791</v>
      </c>
      <c r="R340">
        <f t="shared" si="11"/>
        <v>38.799999999999898</v>
      </c>
    </row>
    <row r="341" spans="16:18" x14ac:dyDescent="0.2">
      <c r="P341">
        <v>38.899999999999899</v>
      </c>
      <c r="Q341" s="55">
        <f t="shared" si="10"/>
        <v>5671707.0032322221</v>
      </c>
      <c r="R341">
        <f t="shared" si="11"/>
        <v>38.899999999999899</v>
      </c>
    </row>
    <row r="342" spans="16:18" x14ac:dyDescent="0.2">
      <c r="P342">
        <v>38.999999999999901</v>
      </c>
      <c r="Q342" s="55">
        <f t="shared" si="10"/>
        <v>5700586.3743492914</v>
      </c>
      <c r="R342">
        <f t="shared" si="11"/>
        <v>38.999999999999901</v>
      </c>
    </row>
    <row r="343" spans="16:18" x14ac:dyDescent="0.2">
      <c r="P343">
        <v>39.099999999999902</v>
      </c>
      <c r="Q343" s="55">
        <f t="shared" si="10"/>
        <v>5729537.4366107145</v>
      </c>
      <c r="R343">
        <f t="shared" si="11"/>
        <v>39.099999999999902</v>
      </c>
    </row>
    <row r="344" spans="16:18" x14ac:dyDescent="0.2">
      <c r="P344">
        <v>39.199999999999903</v>
      </c>
      <c r="Q344" s="55">
        <f t="shared" si="10"/>
        <v>5758560.1774501214</v>
      </c>
      <c r="R344">
        <f t="shared" si="11"/>
        <v>39.199999999999903</v>
      </c>
    </row>
    <row r="345" spans="16:18" x14ac:dyDescent="0.2">
      <c r="P345">
        <v>39.299999999999898</v>
      </c>
      <c r="Q345" s="55">
        <f t="shared" si="10"/>
        <v>5787654.5843011402</v>
      </c>
      <c r="R345">
        <f t="shared" si="11"/>
        <v>39.299999999999898</v>
      </c>
    </row>
    <row r="346" spans="16:18" x14ac:dyDescent="0.2">
      <c r="P346">
        <v>39.399999999999899</v>
      </c>
      <c r="Q346" s="55">
        <f t="shared" si="10"/>
        <v>5816820.6445974046</v>
      </c>
      <c r="R346">
        <f t="shared" si="11"/>
        <v>39.399999999999899</v>
      </c>
    </row>
    <row r="347" spans="16:18" x14ac:dyDescent="0.2">
      <c r="P347">
        <v>39.499999999999901</v>
      </c>
      <c r="Q347" s="55">
        <f t="shared" si="10"/>
        <v>5846058.3457725411</v>
      </c>
      <c r="R347">
        <f t="shared" si="11"/>
        <v>39.499999999999901</v>
      </c>
    </row>
    <row r="348" spans="16:18" x14ac:dyDescent="0.2">
      <c r="P348">
        <v>39.599999999999902</v>
      </c>
      <c r="Q348" s="55">
        <f t="shared" si="10"/>
        <v>5875367.6752601797</v>
      </c>
      <c r="R348">
        <f t="shared" si="11"/>
        <v>39.599999999999902</v>
      </c>
    </row>
    <row r="349" spans="16:18" x14ac:dyDescent="0.2">
      <c r="P349">
        <v>39.699999999999903</v>
      </c>
      <c r="Q349" s="55">
        <f t="shared" si="10"/>
        <v>5904748.6204939494</v>
      </c>
      <c r="R349">
        <f t="shared" si="11"/>
        <v>39.699999999999903</v>
      </c>
    </row>
    <row r="350" spans="16:18" x14ac:dyDescent="0.2">
      <c r="P350">
        <v>39.799999999999898</v>
      </c>
      <c r="Q350" s="55">
        <f t="shared" si="10"/>
        <v>5934201.1689074766</v>
      </c>
      <c r="R350">
        <f t="shared" si="11"/>
        <v>39.799999999999898</v>
      </c>
    </row>
    <row r="351" spans="16:18" x14ac:dyDescent="0.2">
      <c r="P351">
        <v>39.899999999999899</v>
      </c>
      <c r="Q351" s="55">
        <f t="shared" si="10"/>
        <v>5963725.3079343997</v>
      </c>
      <c r="R351">
        <f t="shared" si="11"/>
        <v>39.899999999999899</v>
      </c>
    </row>
    <row r="352" spans="16:18" x14ac:dyDescent="0.2">
      <c r="P352">
        <v>39.999999999999901</v>
      </c>
      <c r="Q352" s="55">
        <f t="shared" si="10"/>
        <v>5993321.0250083385</v>
      </c>
      <c r="R352">
        <f t="shared" si="11"/>
        <v>39.999999999999901</v>
      </c>
    </row>
    <row r="353" spans="16:18" x14ac:dyDescent="0.2">
      <c r="P353">
        <v>40.099999999999902</v>
      </c>
      <c r="Q353" s="55">
        <f t="shared" si="10"/>
        <v>6022988.3075629259</v>
      </c>
      <c r="R353">
        <f t="shared" si="11"/>
        <v>40.099999999999902</v>
      </c>
    </row>
    <row r="354" spans="16:18" x14ac:dyDescent="0.2">
      <c r="P354">
        <v>40.199999999999903</v>
      </c>
      <c r="Q354" s="55">
        <f t="shared" si="10"/>
        <v>6052727.1430317927</v>
      </c>
      <c r="R354">
        <f t="shared" si="11"/>
        <v>40.199999999999903</v>
      </c>
    </row>
    <row r="355" spans="16:18" x14ac:dyDescent="0.2">
      <c r="P355">
        <v>40.299999999999898</v>
      </c>
      <c r="Q355" s="55">
        <f t="shared" si="10"/>
        <v>6082537.5188485654</v>
      </c>
      <c r="R355">
        <f t="shared" si="11"/>
        <v>40.299999999999898</v>
      </c>
    </row>
    <row r="356" spans="16:18" x14ac:dyDescent="0.2">
      <c r="P356">
        <v>40.399999999999899</v>
      </c>
      <c r="Q356" s="55">
        <f t="shared" si="10"/>
        <v>6112419.4224468777</v>
      </c>
      <c r="R356">
        <f t="shared" si="11"/>
        <v>40.399999999999899</v>
      </c>
    </row>
    <row r="357" spans="16:18" x14ac:dyDescent="0.2">
      <c r="P357">
        <v>40.499999999999901</v>
      </c>
      <c r="Q357" s="55">
        <f t="shared" si="10"/>
        <v>6142372.841260355</v>
      </c>
      <c r="R357">
        <f t="shared" si="11"/>
        <v>40.499999999999901</v>
      </c>
    </row>
    <row r="358" spans="16:18" x14ac:dyDescent="0.2">
      <c r="P358">
        <v>40.599999999999902</v>
      </c>
      <c r="Q358" s="55">
        <f t="shared" si="10"/>
        <v>6172397.7627226273</v>
      </c>
      <c r="R358">
        <f t="shared" si="11"/>
        <v>40.599999999999902</v>
      </c>
    </row>
    <row r="359" spans="16:18" x14ac:dyDescent="0.2">
      <c r="P359">
        <v>40.699999999999903</v>
      </c>
      <c r="Q359" s="55">
        <f t="shared" si="10"/>
        <v>6202494.1742673256</v>
      </c>
      <c r="R359">
        <f t="shared" si="11"/>
        <v>40.699999999999903</v>
      </c>
    </row>
    <row r="360" spans="16:18" x14ac:dyDescent="0.2">
      <c r="P360">
        <v>40.799999999999898</v>
      </c>
      <c r="Q360" s="55">
        <f t="shared" si="10"/>
        <v>6232662.0633280771</v>
      </c>
      <c r="R360">
        <f t="shared" si="11"/>
        <v>40.799999999999898</v>
      </c>
    </row>
    <row r="361" spans="16:18" x14ac:dyDescent="0.2">
      <c r="P361">
        <v>40.899999999999899</v>
      </c>
      <c r="Q361" s="55">
        <f t="shared" si="10"/>
        <v>6262901.4173385138</v>
      </c>
      <c r="R361">
        <f t="shared" si="11"/>
        <v>40.899999999999899</v>
      </c>
    </row>
    <row r="362" spans="16:18" x14ac:dyDescent="0.2">
      <c r="P362">
        <v>40.999999999999901</v>
      </c>
      <c r="Q362" s="55">
        <f t="shared" si="10"/>
        <v>6293212.2237322638</v>
      </c>
      <c r="R362">
        <f t="shared" si="11"/>
        <v>40.999999999999901</v>
      </c>
    </row>
    <row r="363" spans="16:18" x14ac:dyDescent="0.2">
      <c r="P363">
        <v>41.099999999999902</v>
      </c>
      <c r="Q363" s="55">
        <f t="shared" si="10"/>
        <v>6323594.4699429553</v>
      </c>
      <c r="R363">
        <f t="shared" si="11"/>
        <v>41.099999999999902</v>
      </c>
    </row>
    <row r="364" spans="16:18" x14ac:dyDescent="0.2">
      <c r="P364">
        <v>41.199999999999903</v>
      </c>
      <c r="Q364" s="55">
        <f t="shared" si="10"/>
        <v>6354048.1434042202</v>
      </c>
      <c r="R364">
        <f t="shared" si="11"/>
        <v>41.199999999999903</v>
      </c>
    </row>
    <row r="365" spans="16:18" x14ac:dyDescent="0.2">
      <c r="P365">
        <v>41.299999999999898</v>
      </c>
      <c r="Q365" s="55">
        <f t="shared" si="10"/>
        <v>6384573.2315496849</v>
      </c>
      <c r="R365">
        <f t="shared" si="11"/>
        <v>41.299999999999898</v>
      </c>
    </row>
    <row r="366" spans="16:18" x14ac:dyDescent="0.2">
      <c r="P366">
        <v>41.399999999999899</v>
      </c>
      <c r="Q366" s="55">
        <f t="shared" si="10"/>
        <v>6415169.7218129812</v>
      </c>
      <c r="R366">
        <f t="shared" si="11"/>
        <v>41.399999999999899</v>
      </c>
    </row>
    <row r="367" spans="16:18" x14ac:dyDescent="0.2">
      <c r="P367">
        <v>41.499999999999901</v>
      </c>
      <c r="Q367" s="55">
        <f t="shared" si="10"/>
        <v>6445837.6016277391</v>
      </c>
      <c r="R367">
        <f t="shared" si="11"/>
        <v>41.499999999999901</v>
      </c>
    </row>
    <row r="368" spans="16:18" x14ac:dyDescent="0.2">
      <c r="P368">
        <v>41.599999999999902</v>
      </c>
      <c r="Q368" s="55">
        <f t="shared" si="10"/>
        <v>6476576.8584275842</v>
      </c>
      <c r="R368">
        <f t="shared" si="11"/>
        <v>41.599999999999902</v>
      </c>
    </row>
    <row r="369" spans="16:18" x14ac:dyDescent="0.2">
      <c r="P369">
        <v>41.699999999999903</v>
      </c>
      <c r="Q369" s="55">
        <f t="shared" si="10"/>
        <v>6507387.4796461491</v>
      </c>
      <c r="R369">
        <f t="shared" si="11"/>
        <v>41.699999999999903</v>
      </c>
    </row>
    <row r="370" spans="16:18" x14ac:dyDescent="0.2">
      <c r="P370">
        <v>41.799999999999898</v>
      </c>
      <c r="Q370" s="55">
        <f t="shared" si="10"/>
        <v>6538269.4527170602</v>
      </c>
      <c r="R370">
        <f t="shared" si="11"/>
        <v>41.799999999999898</v>
      </c>
    </row>
    <row r="371" spans="16:18" x14ac:dyDescent="0.2">
      <c r="P371">
        <v>41.899999999999899</v>
      </c>
      <c r="Q371" s="55">
        <f t="shared" si="10"/>
        <v>6569222.7650739523</v>
      </c>
      <c r="R371">
        <f t="shared" si="11"/>
        <v>41.899999999999899</v>
      </c>
    </row>
    <row r="372" spans="16:18" x14ac:dyDescent="0.2">
      <c r="P372">
        <v>41.999999999999901</v>
      </c>
      <c r="Q372" s="55">
        <f t="shared" si="10"/>
        <v>6600247.4041504515</v>
      </c>
      <c r="R372">
        <f t="shared" si="11"/>
        <v>41.999999999999901</v>
      </c>
    </row>
    <row r="373" spans="16:18" x14ac:dyDescent="0.2">
      <c r="P373">
        <v>42.099999999999902</v>
      </c>
      <c r="Q373" s="55">
        <f t="shared" si="10"/>
        <v>6631343.3573801862</v>
      </c>
      <c r="R373">
        <f t="shared" si="11"/>
        <v>42.099999999999902</v>
      </c>
    </row>
    <row r="374" spans="16:18" x14ac:dyDescent="0.2">
      <c r="P374">
        <v>42.199999999999903</v>
      </c>
      <c r="Q374" s="55">
        <f t="shared" si="10"/>
        <v>6662510.6121967863</v>
      </c>
      <c r="R374">
        <f t="shared" si="11"/>
        <v>42.199999999999903</v>
      </c>
    </row>
    <row r="375" spans="16:18" x14ac:dyDescent="0.2">
      <c r="P375">
        <v>42.299999999999898</v>
      </c>
      <c r="Q375" s="55">
        <f t="shared" si="10"/>
        <v>6693749.156033881</v>
      </c>
      <c r="R375">
        <f t="shared" si="11"/>
        <v>42.299999999999898</v>
      </c>
    </row>
    <row r="376" spans="16:18" x14ac:dyDescent="0.2">
      <c r="P376">
        <v>42.399999999999899</v>
      </c>
      <c r="Q376" s="55">
        <f t="shared" si="10"/>
        <v>6725058.9763251022</v>
      </c>
      <c r="R376">
        <f t="shared" si="11"/>
        <v>42.399999999999899</v>
      </c>
    </row>
    <row r="377" spans="16:18" x14ac:dyDescent="0.2">
      <c r="P377">
        <v>42.499999999999901</v>
      </c>
      <c r="Q377" s="55">
        <f t="shared" si="10"/>
        <v>6756440.0605040779</v>
      </c>
      <c r="R377">
        <f t="shared" si="11"/>
        <v>42.499999999999901</v>
      </c>
    </row>
    <row r="378" spans="16:18" x14ac:dyDescent="0.2">
      <c r="P378">
        <v>42.599999999999902</v>
      </c>
      <c r="Q378" s="55">
        <f t="shared" si="10"/>
        <v>6787892.3960044365</v>
      </c>
      <c r="R378">
        <f t="shared" si="11"/>
        <v>42.599999999999902</v>
      </c>
    </row>
    <row r="379" spans="16:18" x14ac:dyDescent="0.2">
      <c r="P379">
        <v>42.699999999999903</v>
      </c>
      <c r="Q379" s="55">
        <f t="shared" si="10"/>
        <v>6819415.9702598071</v>
      </c>
      <c r="R379">
        <f t="shared" si="11"/>
        <v>42.699999999999903</v>
      </c>
    </row>
    <row r="380" spans="16:18" x14ac:dyDescent="0.2">
      <c r="P380">
        <v>42.799999999999898</v>
      </c>
      <c r="Q380" s="55">
        <f t="shared" si="10"/>
        <v>6851010.7707038168</v>
      </c>
      <c r="R380">
        <f t="shared" si="11"/>
        <v>42.799999999999898</v>
      </c>
    </row>
    <row r="381" spans="16:18" x14ac:dyDescent="0.2">
      <c r="P381">
        <v>42.899999999999899</v>
      </c>
      <c r="Q381" s="55">
        <f t="shared" si="10"/>
        <v>6882676.7847701032</v>
      </c>
      <c r="R381">
        <f t="shared" si="11"/>
        <v>42.899999999999899</v>
      </c>
    </row>
    <row r="382" spans="16:18" x14ac:dyDescent="0.2">
      <c r="P382">
        <v>42.999999999999901</v>
      </c>
      <c r="Q382" s="55">
        <f t="shared" si="10"/>
        <v>6914413.9998922879</v>
      </c>
      <c r="R382">
        <f t="shared" si="11"/>
        <v>42.999999999999901</v>
      </c>
    </row>
    <row r="383" spans="16:18" x14ac:dyDescent="0.2">
      <c r="P383">
        <v>43.099999999999902</v>
      </c>
      <c r="Q383" s="55">
        <f t="shared" si="10"/>
        <v>6946222.4035040038</v>
      </c>
      <c r="R383">
        <f t="shared" si="11"/>
        <v>43.099999999999902</v>
      </c>
    </row>
    <row r="384" spans="16:18" x14ac:dyDescent="0.2">
      <c r="P384">
        <v>43.199999999999903</v>
      </c>
      <c r="Q384" s="55">
        <f t="shared" si="10"/>
        <v>6978101.9830388799</v>
      </c>
      <c r="R384">
        <f t="shared" si="11"/>
        <v>43.199999999999903</v>
      </c>
    </row>
    <row r="385" spans="16:18" x14ac:dyDescent="0.2">
      <c r="P385">
        <v>43.299999999999898</v>
      </c>
      <c r="Q385" s="55">
        <f t="shared" si="10"/>
        <v>7010052.7259305427</v>
      </c>
      <c r="R385">
        <f t="shared" si="11"/>
        <v>43.299999999999898</v>
      </c>
    </row>
    <row r="386" spans="16:18" x14ac:dyDescent="0.2">
      <c r="P386">
        <v>43.399999999999899</v>
      </c>
      <c r="Q386" s="55">
        <f t="shared" ref="Q386:Q449" si="12">4/3*PI()*P386^3+PI()*P386^2*($O$2-2*P386)</f>
        <v>7042074.6196126267</v>
      </c>
      <c r="R386">
        <f t="shared" ref="R386:R452" si="13">P386</f>
        <v>43.399999999999899</v>
      </c>
    </row>
    <row r="387" spans="16:18" x14ac:dyDescent="0.2">
      <c r="P387">
        <v>43.499999999999901</v>
      </c>
      <c r="Q387" s="55">
        <f t="shared" si="12"/>
        <v>7074167.6515187584</v>
      </c>
      <c r="R387">
        <f t="shared" si="13"/>
        <v>43.499999999999901</v>
      </c>
    </row>
    <row r="388" spans="16:18" x14ac:dyDescent="0.2">
      <c r="P388">
        <v>43.599999999999902</v>
      </c>
      <c r="Q388" s="55">
        <f t="shared" si="12"/>
        <v>7106331.8090825658</v>
      </c>
      <c r="R388">
        <f t="shared" si="13"/>
        <v>43.599999999999902</v>
      </c>
    </row>
    <row r="389" spans="16:18" x14ac:dyDescent="0.2">
      <c r="P389">
        <v>43.699999999999903</v>
      </c>
      <c r="Q389" s="55">
        <f t="shared" si="12"/>
        <v>7138567.0797376828</v>
      </c>
      <c r="R389">
        <f t="shared" si="13"/>
        <v>43.699999999999903</v>
      </c>
    </row>
    <row r="390" spans="16:18" x14ac:dyDescent="0.2">
      <c r="P390">
        <v>43.799999999999898</v>
      </c>
      <c r="Q390" s="55">
        <f t="shared" si="12"/>
        <v>7170873.4509177301</v>
      </c>
      <c r="R390">
        <f t="shared" si="13"/>
        <v>43.799999999999898</v>
      </c>
    </row>
    <row r="391" spans="16:18" x14ac:dyDescent="0.2">
      <c r="P391">
        <v>43.899999999999899</v>
      </c>
      <c r="Q391" s="55">
        <f t="shared" si="12"/>
        <v>7203250.9100563489</v>
      </c>
      <c r="R391">
        <f t="shared" si="13"/>
        <v>43.899999999999899</v>
      </c>
    </row>
    <row r="392" spans="16:18" x14ac:dyDescent="0.2">
      <c r="P392">
        <v>43.999999999999901</v>
      </c>
      <c r="Q392" s="55">
        <f t="shared" si="12"/>
        <v>7235699.4445871608</v>
      </c>
      <c r="R392">
        <f t="shared" si="13"/>
        <v>43.999999999999901</v>
      </c>
    </row>
    <row r="393" spans="16:18" x14ac:dyDescent="0.2">
      <c r="P393">
        <v>44.099999999999902</v>
      </c>
      <c r="Q393" s="55">
        <f t="shared" si="12"/>
        <v>7268219.041943795</v>
      </c>
      <c r="R393">
        <f t="shared" si="13"/>
        <v>44.099999999999902</v>
      </c>
    </row>
    <row r="394" spans="16:18" x14ac:dyDescent="0.2">
      <c r="P394">
        <v>44.199999999999903</v>
      </c>
      <c r="Q394" s="55">
        <f t="shared" si="12"/>
        <v>7300809.6895598853</v>
      </c>
      <c r="R394">
        <f t="shared" si="13"/>
        <v>44.199999999999903</v>
      </c>
    </row>
    <row r="395" spans="16:18" x14ac:dyDescent="0.2">
      <c r="P395">
        <v>44.299999999999898</v>
      </c>
      <c r="Q395" s="55">
        <f t="shared" si="12"/>
        <v>7333471.3748690551</v>
      </c>
      <c r="R395">
        <f t="shared" si="13"/>
        <v>44.299999999999898</v>
      </c>
    </row>
    <row r="396" spans="16:18" x14ac:dyDescent="0.2">
      <c r="P396">
        <v>44.399999999999899</v>
      </c>
      <c r="Q396" s="55">
        <f t="shared" si="12"/>
        <v>7366204.0853049411</v>
      </c>
      <c r="R396">
        <f t="shared" si="13"/>
        <v>44.399999999999899</v>
      </c>
    </row>
    <row r="397" spans="16:18" x14ac:dyDescent="0.2">
      <c r="P397">
        <v>44.499999999999901</v>
      </c>
      <c r="Q397" s="55">
        <f t="shared" si="12"/>
        <v>7399007.8083011666</v>
      </c>
      <c r="R397">
        <f t="shared" si="13"/>
        <v>44.499999999999901</v>
      </c>
    </row>
    <row r="398" spans="16:18" x14ac:dyDescent="0.2">
      <c r="P398">
        <v>44.599999999999902</v>
      </c>
      <c r="Q398" s="55">
        <f t="shared" si="12"/>
        <v>7431882.5312913638</v>
      </c>
      <c r="R398">
        <f t="shared" si="13"/>
        <v>44.599999999999902</v>
      </c>
    </row>
    <row r="399" spans="16:18" x14ac:dyDescent="0.2">
      <c r="P399">
        <v>44.699999999999903</v>
      </c>
      <c r="Q399" s="55">
        <f t="shared" si="12"/>
        <v>7464828.2417091615</v>
      </c>
      <c r="R399">
        <f t="shared" si="13"/>
        <v>44.699999999999903</v>
      </c>
    </row>
    <row r="400" spans="16:18" x14ac:dyDescent="0.2">
      <c r="P400">
        <v>44.799999999999898</v>
      </c>
      <c r="Q400" s="55">
        <f t="shared" si="12"/>
        <v>7497844.9269881872</v>
      </c>
      <c r="R400">
        <f t="shared" si="13"/>
        <v>44.799999999999898</v>
      </c>
    </row>
    <row r="401" spans="16:18" x14ac:dyDescent="0.2">
      <c r="P401">
        <v>44.899999999999899</v>
      </c>
      <c r="Q401" s="55">
        <f t="shared" si="12"/>
        <v>7530932.5745620765</v>
      </c>
      <c r="R401">
        <f t="shared" si="13"/>
        <v>44.899999999999899</v>
      </c>
    </row>
    <row r="402" spans="16:18" x14ac:dyDescent="0.2">
      <c r="P402">
        <v>44.999999999999901</v>
      </c>
      <c r="Q402" s="55">
        <f t="shared" si="12"/>
        <v>7564091.1718644528</v>
      </c>
      <c r="R402">
        <f t="shared" si="13"/>
        <v>44.999999999999901</v>
      </c>
    </row>
    <row r="403" spans="16:18" x14ac:dyDescent="0.2">
      <c r="P403">
        <v>45.099999999999902</v>
      </c>
      <c r="Q403" s="55">
        <f t="shared" si="12"/>
        <v>7597320.7063289462</v>
      </c>
      <c r="R403">
        <f t="shared" si="13"/>
        <v>45.099999999999902</v>
      </c>
    </row>
    <row r="404" spans="16:18" x14ac:dyDescent="0.2">
      <c r="P404">
        <v>45.199999999999903</v>
      </c>
      <c r="Q404" s="55">
        <f t="shared" si="12"/>
        <v>7630621.1653891867</v>
      </c>
      <c r="R404">
        <f t="shared" si="13"/>
        <v>45.199999999999903</v>
      </c>
    </row>
    <row r="405" spans="16:18" x14ac:dyDescent="0.2">
      <c r="P405">
        <v>45.299999999999898</v>
      </c>
      <c r="Q405" s="55">
        <f t="shared" si="12"/>
        <v>7663992.5364788016</v>
      </c>
      <c r="R405">
        <f t="shared" si="13"/>
        <v>45.299999999999898</v>
      </c>
    </row>
    <row r="406" spans="16:18" x14ac:dyDescent="0.2">
      <c r="P406">
        <v>45.399999999999899</v>
      </c>
      <c r="Q406" s="55">
        <f t="shared" si="12"/>
        <v>7697434.8070314284</v>
      </c>
      <c r="R406">
        <f t="shared" si="13"/>
        <v>45.399999999999899</v>
      </c>
    </row>
    <row r="407" spans="16:18" x14ac:dyDescent="0.2">
      <c r="P407">
        <v>45.499999999999901</v>
      </c>
      <c r="Q407" s="55">
        <f t="shared" si="12"/>
        <v>7730947.9644806879</v>
      </c>
      <c r="R407">
        <f t="shared" si="13"/>
        <v>45.499999999999901</v>
      </c>
    </row>
    <row r="408" spans="16:18" x14ac:dyDescent="0.2">
      <c r="P408">
        <v>45.599999999999902</v>
      </c>
      <c r="Q408" s="55">
        <f t="shared" si="12"/>
        <v>7764531.9962602137</v>
      </c>
      <c r="R408">
        <f t="shared" si="13"/>
        <v>45.599999999999902</v>
      </c>
    </row>
    <row r="409" spans="16:18" x14ac:dyDescent="0.2">
      <c r="P409">
        <v>45.699999999999903</v>
      </c>
      <c r="Q409" s="55">
        <f t="shared" si="12"/>
        <v>7798186.8898036322</v>
      </c>
      <c r="R409">
        <f t="shared" si="13"/>
        <v>45.699999999999903</v>
      </c>
    </row>
    <row r="410" spans="16:18" x14ac:dyDescent="0.2">
      <c r="P410">
        <v>45.799999999999898</v>
      </c>
      <c r="Q410" s="55">
        <f t="shared" si="12"/>
        <v>7831912.6325445734</v>
      </c>
      <c r="R410">
        <f t="shared" si="13"/>
        <v>45.799999999999898</v>
      </c>
    </row>
    <row r="411" spans="16:18" x14ac:dyDescent="0.2">
      <c r="P411">
        <v>45.899999999999899</v>
      </c>
      <c r="Q411" s="55">
        <f t="shared" si="12"/>
        <v>7865709.2119166711</v>
      </c>
      <c r="R411">
        <f t="shared" si="13"/>
        <v>45.899999999999899</v>
      </c>
    </row>
    <row r="412" spans="16:18" x14ac:dyDescent="0.2">
      <c r="P412">
        <v>45.999999999999901</v>
      </c>
      <c r="Q412" s="55">
        <f t="shared" si="12"/>
        <v>7899576.6153535498</v>
      </c>
      <c r="R412">
        <f t="shared" si="13"/>
        <v>45.999999999999901</v>
      </c>
    </row>
    <row r="413" spans="16:18" x14ac:dyDescent="0.2">
      <c r="P413">
        <v>46.099999999999902</v>
      </c>
      <c r="Q413" s="55">
        <f t="shared" si="12"/>
        <v>7933514.8302888395</v>
      </c>
      <c r="R413">
        <f t="shared" si="13"/>
        <v>46.099999999999902</v>
      </c>
    </row>
    <row r="414" spans="16:18" x14ac:dyDescent="0.2">
      <c r="P414">
        <v>46.199999999999903</v>
      </c>
      <c r="Q414" s="55">
        <f t="shared" si="12"/>
        <v>7967523.8441561712</v>
      </c>
      <c r="R414">
        <f t="shared" si="13"/>
        <v>46.199999999999903</v>
      </c>
    </row>
    <row r="415" spans="16:18" x14ac:dyDescent="0.2">
      <c r="P415">
        <v>46.299999999999898</v>
      </c>
      <c r="Q415" s="55">
        <f t="shared" si="12"/>
        <v>8001603.6443891712</v>
      </c>
      <c r="R415">
        <f t="shared" si="13"/>
        <v>46.299999999999898</v>
      </c>
    </row>
    <row r="416" spans="16:18" x14ac:dyDescent="0.2">
      <c r="P416">
        <v>46.3999999999998</v>
      </c>
      <c r="Q416" s="55">
        <f t="shared" si="12"/>
        <v>8035754.2184214424</v>
      </c>
      <c r="R416">
        <f t="shared" si="13"/>
        <v>46.3999999999998</v>
      </c>
    </row>
    <row r="417" spans="16:18" x14ac:dyDescent="0.2">
      <c r="P417">
        <v>46.499999999999901</v>
      </c>
      <c r="Q417" s="55">
        <f t="shared" si="12"/>
        <v>8069975.5536867082</v>
      </c>
      <c r="R417">
        <f t="shared" si="13"/>
        <v>46.499999999999901</v>
      </c>
    </row>
    <row r="418" spans="16:18" x14ac:dyDescent="0.2">
      <c r="P418">
        <v>46.599999999999902</v>
      </c>
      <c r="Q418" s="55">
        <f t="shared" si="12"/>
        <v>8104267.6376184989</v>
      </c>
      <c r="R418">
        <f t="shared" si="13"/>
        <v>46.599999999999902</v>
      </c>
    </row>
    <row r="419" spans="16:18" x14ac:dyDescent="0.2">
      <c r="P419">
        <v>46.699999999999903</v>
      </c>
      <c r="Q419" s="55">
        <f t="shared" si="12"/>
        <v>8138630.4576504761</v>
      </c>
      <c r="R419">
        <f t="shared" si="13"/>
        <v>46.699999999999903</v>
      </c>
    </row>
    <row r="420" spans="16:18" x14ac:dyDescent="0.2">
      <c r="P420">
        <v>46.799999999999898</v>
      </c>
      <c r="Q420" s="55">
        <f t="shared" si="12"/>
        <v>8173064.0012162719</v>
      </c>
      <c r="R420">
        <f t="shared" si="13"/>
        <v>46.799999999999898</v>
      </c>
    </row>
    <row r="421" spans="16:18" x14ac:dyDescent="0.2">
      <c r="P421">
        <v>46.8999999999998</v>
      </c>
      <c r="Q421" s="55">
        <f t="shared" si="12"/>
        <v>8207568.2557494827</v>
      </c>
      <c r="R421">
        <f t="shared" si="13"/>
        <v>46.8999999999998</v>
      </c>
    </row>
    <row r="422" spans="16:18" x14ac:dyDescent="0.2">
      <c r="P422">
        <v>46.999999999999901</v>
      </c>
      <c r="Q422" s="55">
        <f t="shared" si="12"/>
        <v>8242143.2086838372</v>
      </c>
      <c r="R422">
        <f t="shared" si="13"/>
        <v>46.999999999999901</v>
      </c>
    </row>
    <row r="423" spans="16:18" x14ac:dyDescent="0.2">
      <c r="P423">
        <v>47.099999999999902</v>
      </c>
      <c r="Q423" s="55">
        <f t="shared" si="12"/>
        <v>8276788.8474528641</v>
      </c>
      <c r="R423">
        <f t="shared" si="13"/>
        <v>47.099999999999902</v>
      </c>
    </row>
    <row r="424" spans="16:18" x14ac:dyDescent="0.2">
      <c r="P424">
        <v>47.199999999999797</v>
      </c>
      <c r="Q424" s="55">
        <f t="shared" si="12"/>
        <v>8311505.1594901867</v>
      </c>
      <c r="R424">
        <f t="shared" si="13"/>
        <v>47.199999999999797</v>
      </c>
    </row>
    <row r="425" spans="16:18" x14ac:dyDescent="0.2">
      <c r="P425">
        <v>47.299999999999798</v>
      </c>
      <c r="Q425" s="55">
        <f t="shared" si="12"/>
        <v>8346292.1322295135</v>
      </c>
      <c r="R425">
        <f t="shared" si="13"/>
        <v>47.299999999999798</v>
      </c>
    </row>
    <row r="426" spans="16:18" x14ac:dyDescent="0.2">
      <c r="P426">
        <v>47.3999999999998</v>
      </c>
      <c r="Q426" s="55">
        <f t="shared" si="12"/>
        <v>8381149.7531044353</v>
      </c>
      <c r="R426">
        <f t="shared" si="13"/>
        <v>47.3999999999998</v>
      </c>
    </row>
    <row r="427" spans="16:18" x14ac:dyDescent="0.2">
      <c r="P427">
        <v>47.499999999999901</v>
      </c>
      <c r="Q427" s="55">
        <f t="shared" si="12"/>
        <v>8416078.0095486119</v>
      </c>
      <c r="R427">
        <f t="shared" si="13"/>
        <v>47.499999999999901</v>
      </c>
    </row>
    <row r="428" spans="16:18" x14ac:dyDescent="0.2">
      <c r="P428">
        <v>47.599999999999902</v>
      </c>
      <c r="Q428" s="55">
        <f t="shared" si="12"/>
        <v>8451076.8889956083</v>
      </c>
      <c r="R428">
        <f t="shared" si="13"/>
        <v>47.599999999999902</v>
      </c>
    </row>
    <row r="429" spans="16:18" x14ac:dyDescent="0.2">
      <c r="P429">
        <v>47.699999999999797</v>
      </c>
      <c r="Q429" s="55">
        <f t="shared" si="12"/>
        <v>8486146.3788790479</v>
      </c>
      <c r="R429">
        <f t="shared" si="13"/>
        <v>47.699999999999797</v>
      </c>
    </row>
    <row r="430" spans="16:18" x14ac:dyDescent="0.2">
      <c r="P430">
        <v>47.799999999999798</v>
      </c>
      <c r="Q430" s="55">
        <f t="shared" si="12"/>
        <v>8521286.4666326363</v>
      </c>
      <c r="R430">
        <f t="shared" si="13"/>
        <v>47.799999999999798</v>
      </c>
    </row>
    <row r="431" spans="16:18" x14ac:dyDescent="0.2">
      <c r="P431">
        <v>47.8999999999998</v>
      </c>
      <c r="Q431" s="55">
        <f t="shared" si="12"/>
        <v>8556497.1396899689</v>
      </c>
      <c r="R431">
        <f t="shared" si="13"/>
        <v>47.8999999999998</v>
      </c>
    </row>
    <row r="432" spans="16:18" x14ac:dyDescent="0.2">
      <c r="P432">
        <v>47.999999999999801</v>
      </c>
      <c r="Q432" s="55">
        <f t="shared" si="12"/>
        <v>8591778.3854846694</v>
      </c>
      <c r="R432">
        <f t="shared" si="13"/>
        <v>47.999999999999801</v>
      </c>
    </row>
    <row r="433" spans="16:18" x14ac:dyDescent="0.2">
      <c r="P433">
        <v>48.099999999999802</v>
      </c>
      <c r="Q433" s="55">
        <f t="shared" si="12"/>
        <v>8627130.1914503686</v>
      </c>
      <c r="R433">
        <f t="shared" si="13"/>
        <v>48.099999999999802</v>
      </c>
    </row>
    <row r="434" spans="16:18" x14ac:dyDescent="0.2">
      <c r="P434">
        <v>48.199999999999797</v>
      </c>
      <c r="Q434" s="55">
        <f t="shared" si="12"/>
        <v>8662552.5450206939</v>
      </c>
      <c r="R434">
        <f t="shared" si="13"/>
        <v>48.199999999999797</v>
      </c>
    </row>
    <row r="435" spans="16:18" x14ac:dyDescent="0.2">
      <c r="P435">
        <v>48.299999999999798</v>
      </c>
      <c r="Q435" s="55">
        <f t="shared" si="12"/>
        <v>8698045.43362928</v>
      </c>
      <c r="R435">
        <f t="shared" si="13"/>
        <v>48.299999999999798</v>
      </c>
    </row>
    <row r="436" spans="16:18" x14ac:dyDescent="0.2">
      <c r="P436">
        <v>48.3999999999998</v>
      </c>
      <c r="Q436" s="55">
        <f t="shared" si="12"/>
        <v>8733608.8447097577</v>
      </c>
      <c r="R436">
        <f t="shared" si="13"/>
        <v>48.3999999999998</v>
      </c>
    </row>
    <row r="437" spans="16:18" x14ac:dyDescent="0.2">
      <c r="P437">
        <v>48.499999999999801</v>
      </c>
      <c r="Q437" s="55">
        <f t="shared" si="12"/>
        <v>8769242.7656957507</v>
      </c>
      <c r="R437">
        <f t="shared" si="13"/>
        <v>48.499999999999801</v>
      </c>
    </row>
    <row r="438" spans="16:18" x14ac:dyDescent="0.2">
      <c r="P438">
        <v>48.599999999999802</v>
      </c>
      <c r="Q438" s="55">
        <f t="shared" si="12"/>
        <v>8804947.1840208899</v>
      </c>
      <c r="R438">
        <f t="shared" si="13"/>
        <v>48.599999999999802</v>
      </c>
    </row>
    <row r="439" spans="16:18" x14ac:dyDescent="0.2">
      <c r="P439">
        <v>48.699999999999797</v>
      </c>
      <c r="Q439" s="55">
        <f t="shared" si="12"/>
        <v>8840722.0871188007</v>
      </c>
      <c r="R439">
        <f t="shared" si="13"/>
        <v>48.699999999999797</v>
      </c>
    </row>
    <row r="440" spans="16:18" x14ac:dyDescent="0.2">
      <c r="P440">
        <v>48.799999999999798</v>
      </c>
      <c r="Q440" s="55">
        <f t="shared" si="12"/>
        <v>8876567.4624231234</v>
      </c>
      <c r="R440">
        <f t="shared" si="13"/>
        <v>48.799999999999798</v>
      </c>
    </row>
    <row r="441" spans="16:18" x14ac:dyDescent="0.2">
      <c r="P441">
        <v>48.8999999999998</v>
      </c>
      <c r="Q441" s="55">
        <f t="shared" si="12"/>
        <v>8912483.2973674778</v>
      </c>
      <c r="R441">
        <f t="shared" si="13"/>
        <v>48.8999999999998</v>
      </c>
    </row>
    <row r="442" spans="16:18" x14ac:dyDescent="0.2">
      <c r="P442">
        <v>48.999999999999801</v>
      </c>
      <c r="Q442" s="55">
        <f t="shared" si="12"/>
        <v>8948469.5793854967</v>
      </c>
      <c r="R442">
        <f t="shared" si="13"/>
        <v>48.999999999999801</v>
      </c>
    </row>
    <row r="443" spans="16:18" x14ac:dyDescent="0.2">
      <c r="P443">
        <v>49.099999999999802</v>
      </c>
      <c r="Q443" s="55">
        <f t="shared" si="12"/>
        <v>8984526.2959108073</v>
      </c>
      <c r="R443">
        <f t="shared" si="13"/>
        <v>49.099999999999802</v>
      </c>
    </row>
    <row r="444" spans="16:18" x14ac:dyDescent="0.2">
      <c r="P444">
        <v>49.199999999999797</v>
      </c>
      <c r="Q444" s="55">
        <f t="shared" si="12"/>
        <v>9020653.4343770407</v>
      </c>
      <c r="R444">
        <f t="shared" si="13"/>
        <v>49.199999999999797</v>
      </c>
    </row>
    <row r="445" spans="16:18" x14ac:dyDescent="0.2">
      <c r="P445">
        <v>49.299999999999798</v>
      </c>
      <c r="Q445" s="55">
        <f t="shared" si="12"/>
        <v>9056850.9822178297</v>
      </c>
      <c r="R445">
        <f t="shared" si="13"/>
        <v>49.299999999999798</v>
      </c>
    </row>
    <row r="446" spans="16:18" x14ac:dyDescent="0.2">
      <c r="P446">
        <v>49.3999999999998</v>
      </c>
      <c r="Q446" s="55">
        <f t="shared" si="12"/>
        <v>9093118.9268667996</v>
      </c>
      <c r="R446">
        <f t="shared" si="13"/>
        <v>49.3999999999998</v>
      </c>
    </row>
    <row r="447" spans="16:18" x14ac:dyDescent="0.2">
      <c r="P447">
        <v>49.499999999999801</v>
      </c>
      <c r="Q447" s="55">
        <f t="shared" si="12"/>
        <v>9129457.2557575814</v>
      </c>
      <c r="R447">
        <f t="shared" si="13"/>
        <v>49.499999999999801</v>
      </c>
    </row>
    <row r="448" spans="16:18" x14ac:dyDescent="0.2">
      <c r="P448">
        <v>49.599999999999802</v>
      </c>
      <c r="Q448" s="55">
        <f t="shared" si="12"/>
        <v>9165865.9563237987</v>
      </c>
      <c r="R448">
        <f t="shared" si="13"/>
        <v>49.599999999999802</v>
      </c>
    </row>
    <row r="449" spans="16:18" x14ac:dyDescent="0.2">
      <c r="P449">
        <v>49.699999999999797</v>
      </c>
      <c r="Q449" s="55">
        <f t="shared" si="12"/>
        <v>9202345.0159990862</v>
      </c>
      <c r="R449">
        <f t="shared" si="13"/>
        <v>49.699999999999797</v>
      </c>
    </row>
    <row r="450" spans="16:18" x14ac:dyDescent="0.2">
      <c r="P450">
        <v>49.799999999999798</v>
      </c>
      <c r="Q450" s="55">
        <f t="shared" ref="Q450:Q452" si="14">4/3*PI()*P450^3+PI()*P450^2*($O$2-2*P450)</f>
        <v>9238894.4222170766</v>
      </c>
      <c r="R450">
        <f t="shared" si="13"/>
        <v>49.799999999999798</v>
      </c>
    </row>
    <row r="451" spans="16:18" x14ac:dyDescent="0.2">
      <c r="P451">
        <v>49.8999999999998</v>
      </c>
      <c r="Q451" s="55">
        <f t="shared" si="14"/>
        <v>9275514.1624113973</v>
      </c>
      <c r="R451">
        <f t="shared" si="13"/>
        <v>49.8999999999998</v>
      </c>
    </row>
    <row r="452" spans="16:18" x14ac:dyDescent="0.2">
      <c r="P452">
        <v>49.999999999999801</v>
      </c>
      <c r="Q452" s="55">
        <f t="shared" si="14"/>
        <v>9312204.2240156736</v>
      </c>
      <c r="R452">
        <f t="shared" si="13"/>
        <v>49.999999999999801</v>
      </c>
    </row>
  </sheetData>
  <sheetProtection password="8E8F" sheet="1" objects="1" scenarios="1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N452"/>
  <sheetViews>
    <sheetView workbookViewId="0">
      <selection activeCell="C19" sqref="C19"/>
    </sheetView>
  </sheetViews>
  <sheetFormatPr defaultRowHeight="12.75" x14ac:dyDescent="0.2"/>
  <cols>
    <col min="1" max="1" width="44.5703125" style="47" bestFit="1" customWidth="1"/>
    <col min="2" max="2" width="10.42578125" style="47" customWidth="1"/>
    <col min="3" max="3" width="12.5703125" style="47" customWidth="1"/>
    <col min="4" max="4" width="75.5703125" style="47" bestFit="1" customWidth="1"/>
    <col min="10" max="10" width="21.5703125" style="47" customWidth="1"/>
    <col min="11" max="11" width="12.140625" style="47" bestFit="1" customWidth="1"/>
    <col min="12" max="12" width="10.5703125" style="47" customWidth="1"/>
    <col min="13" max="13" width="12.5703125" style="47" bestFit="1" customWidth="1"/>
  </cols>
  <sheetData>
    <row r="1" spans="1:14" ht="23.25" customHeight="1" x14ac:dyDescent="0.2">
      <c r="A1" t="s">
        <v>244</v>
      </c>
      <c r="B1" t="s">
        <v>1</v>
      </c>
      <c r="C1" s="1"/>
      <c r="D1" s="1" t="s">
        <v>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">
      <c r="J2" s="16">
        <f>C14</f>
        <v>100000000</v>
      </c>
      <c r="K2">
        <f>C12</f>
        <v>1000</v>
      </c>
      <c r="L2">
        <v>5</v>
      </c>
      <c r="M2" s="55">
        <f t="shared" ref="M2:M65" si="0">4/3*PI()*L2^3+PI()*L2^2*($K$2-2*L2)</f>
        <v>78278.016951945683</v>
      </c>
      <c r="N2">
        <f t="shared" ref="N2:N65" si="1">L2</f>
        <v>5</v>
      </c>
    </row>
    <row r="3" spans="1:14" ht="12.95" customHeight="1" x14ac:dyDescent="0.2">
      <c r="A3" s="23" t="s">
        <v>24</v>
      </c>
      <c r="B3" s="23"/>
      <c r="D3" t="s">
        <v>25</v>
      </c>
      <c r="L3">
        <v>5.0999999999999996</v>
      </c>
      <c r="M3" s="55">
        <f t="shared" si="0"/>
        <v>81435.001315142945</v>
      </c>
      <c r="N3">
        <f t="shared" si="1"/>
        <v>5.0999999999999996</v>
      </c>
    </row>
    <row r="4" spans="1:14" x14ac:dyDescent="0.2">
      <c r="A4" t="s">
        <v>27</v>
      </c>
      <c r="B4" t="s">
        <v>28</v>
      </c>
      <c r="C4" t="s">
        <v>159</v>
      </c>
      <c r="D4" t="s">
        <v>245</v>
      </c>
      <c r="L4">
        <v>5.2</v>
      </c>
      <c r="M4" s="55">
        <f t="shared" si="0"/>
        <v>84654.176646510721</v>
      </c>
      <c r="N4">
        <f t="shared" si="1"/>
        <v>5.2</v>
      </c>
    </row>
    <row r="5" spans="1:14" x14ac:dyDescent="0.2">
      <c r="A5" t="s">
        <v>161</v>
      </c>
      <c r="B5" t="s">
        <v>31</v>
      </c>
      <c r="C5" s="34">
        <v>350</v>
      </c>
      <c r="D5" t="s">
        <v>32</v>
      </c>
      <c r="L5">
        <v>5.3</v>
      </c>
      <c r="M5" s="55">
        <f t="shared" si="0"/>
        <v>87935.530379678297</v>
      </c>
      <c r="N5">
        <f t="shared" si="1"/>
        <v>5.3</v>
      </c>
    </row>
    <row r="6" spans="1:14" x14ac:dyDescent="0.2">
      <c r="A6" t="s">
        <v>33</v>
      </c>
      <c r="B6" s="21" t="s">
        <v>34</v>
      </c>
      <c r="D6" t="s">
        <v>163</v>
      </c>
      <c r="L6">
        <v>5.4</v>
      </c>
      <c r="M6" s="55">
        <f t="shared" si="0"/>
        <v>91279.049948275147</v>
      </c>
      <c r="N6">
        <f t="shared" si="1"/>
        <v>5.4</v>
      </c>
    </row>
    <row r="7" spans="1:14" x14ac:dyDescent="0.2">
      <c r="A7" t="s">
        <v>164</v>
      </c>
      <c r="B7" s="21"/>
      <c r="D7" t="s">
        <v>246</v>
      </c>
      <c r="L7">
        <v>5.5</v>
      </c>
      <c r="M7" s="55">
        <f t="shared" si="0"/>
        <v>94684.722785930571</v>
      </c>
      <c r="N7">
        <f t="shared" si="1"/>
        <v>5.5</v>
      </c>
    </row>
    <row r="8" spans="1:14" x14ac:dyDescent="0.2">
      <c r="A8" t="s">
        <v>177</v>
      </c>
      <c r="B8" s="20" t="s">
        <v>38</v>
      </c>
      <c r="C8" s="34">
        <v>0.4</v>
      </c>
      <c r="D8" t="s">
        <v>247</v>
      </c>
      <c r="L8">
        <v>5.6</v>
      </c>
      <c r="M8" s="55">
        <f t="shared" si="0"/>
        <v>98152.536326274014</v>
      </c>
      <c r="N8">
        <f t="shared" si="1"/>
        <v>5.6</v>
      </c>
    </row>
    <row r="9" spans="1:14" x14ac:dyDescent="0.2">
      <c r="A9" t="s">
        <v>167</v>
      </c>
      <c r="B9" s="20" t="s">
        <v>51</v>
      </c>
      <c r="C9" s="35">
        <v>0.8</v>
      </c>
      <c r="D9" s="20" t="s">
        <v>248</v>
      </c>
      <c r="L9">
        <v>5.7</v>
      </c>
      <c r="M9" s="55">
        <f t="shared" si="0"/>
        <v>101682.47800293488</v>
      </c>
      <c r="N9">
        <f t="shared" si="1"/>
        <v>5.7</v>
      </c>
    </row>
    <row r="10" spans="1:14" x14ac:dyDescent="0.2">
      <c r="L10">
        <v>5.8</v>
      </c>
      <c r="M10" s="55">
        <f t="shared" si="0"/>
        <v>105274.5352495425</v>
      </c>
      <c r="N10">
        <f t="shared" si="1"/>
        <v>5.8</v>
      </c>
    </row>
    <row r="11" spans="1:14" ht="13.5" customHeight="1" thickBot="1" x14ac:dyDescent="0.25">
      <c r="A11" s="23" t="s">
        <v>36</v>
      </c>
      <c r="B11" s="23"/>
      <c r="L11">
        <v>5.9</v>
      </c>
      <c r="M11" s="55">
        <f t="shared" si="0"/>
        <v>108928.69549972629</v>
      </c>
      <c r="N11">
        <f t="shared" si="1"/>
        <v>5.9</v>
      </c>
    </row>
    <row r="12" spans="1:14" ht="15.95" customHeight="1" thickTop="1" x14ac:dyDescent="0.2">
      <c r="A12" t="s">
        <v>37</v>
      </c>
      <c r="B12" t="s">
        <v>38</v>
      </c>
      <c r="C12" s="36">
        <v>1000</v>
      </c>
      <c r="D12" t="s">
        <v>39</v>
      </c>
      <c r="L12">
        <v>6</v>
      </c>
      <c r="M12" s="55">
        <f t="shared" si="0"/>
        <v>112644.94618711561</v>
      </c>
      <c r="N12">
        <f t="shared" si="1"/>
        <v>6</v>
      </c>
    </row>
    <row r="13" spans="1:14" ht="15.6" customHeight="1" x14ac:dyDescent="0.2">
      <c r="A13" t="s">
        <v>40</v>
      </c>
      <c r="B13" t="s">
        <v>38</v>
      </c>
      <c r="C13" s="37"/>
      <c r="D13" t="s">
        <v>39</v>
      </c>
      <c r="L13">
        <v>6.1</v>
      </c>
      <c r="M13" s="55">
        <f t="shared" si="0"/>
        <v>116423.27474533988</v>
      </c>
      <c r="N13">
        <f t="shared" si="1"/>
        <v>6.1</v>
      </c>
    </row>
    <row r="14" spans="1:14" ht="15.95" customHeight="1" thickBot="1" x14ac:dyDescent="0.25">
      <c r="A14" t="s">
        <v>41</v>
      </c>
      <c r="B14" t="s">
        <v>42</v>
      </c>
      <c r="C14" s="38">
        <f>100000*1000</f>
        <v>100000000</v>
      </c>
      <c r="D14" t="s">
        <v>43</v>
      </c>
      <c r="L14">
        <v>6.2</v>
      </c>
      <c r="M14" s="55">
        <f t="shared" si="0"/>
        <v>120263.6686080285</v>
      </c>
      <c r="N14">
        <f t="shared" si="1"/>
        <v>6.2</v>
      </c>
    </row>
    <row r="15" spans="1:14" ht="12.95" customHeight="1" thickTop="1" x14ac:dyDescent="0.2">
      <c r="L15">
        <v>6.3</v>
      </c>
      <c r="M15" s="55">
        <f t="shared" si="0"/>
        <v>124166.11520881076</v>
      </c>
      <c r="N15">
        <f t="shared" si="1"/>
        <v>6.3</v>
      </c>
    </row>
    <row r="16" spans="1:14" ht="12.95" customHeight="1" x14ac:dyDescent="0.2">
      <c r="A16" s="23" t="s">
        <v>44</v>
      </c>
      <c r="B16" s="23"/>
      <c r="L16">
        <v>6.4</v>
      </c>
      <c r="M16" s="55">
        <f t="shared" si="0"/>
        <v>128130.60198131618</v>
      </c>
      <c r="N16">
        <f t="shared" si="1"/>
        <v>6.4</v>
      </c>
    </row>
    <row r="17" spans="1:14" x14ac:dyDescent="0.2">
      <c r="A17" t="s">
        <v>45</v>
      </c>
      <c r="B17" t="s">
        <v>38</v>
      </c>
      <c r="C17" s="8">
        <f>IF(C12=0,(C14-4/3*PI()*C13^3)/(PI()*C13^2)+2*C13,C12)</f>
        <v>1000</v>
      </c>
      <c r="D17" s="17">
        <f>C17/2.54</f>
        <v>393.70078740157481</v>
      </c>
      <c r="L17">
        <v>6.4999999999999902</v>
      </c>
      <c r="M17" s="55">
        <f t="shared" si="0"/>
        <v>132157.11635917364</v>
      </c>
      <c r="N17">
        <f t="shared" si="1"/>
        <v>6.4999999999999902</v>
      </c>
    </row>
    <row r="18" spans="1:14" x14ac:dyDescent="0.2">
      <c r="A18" t="s">
        <v>47</v>
      </c>
      <c r="B18" t="s">
        <v>38</v>
      </c>
      <c r="C18" s="8">
        <f>IF(C13=0,VLOOKUP(C14,M:N,2),C13)</f>
        <v>49.999999999999801</v>
      </c>
      <c r="L18">
        <v>6.5999999999999899</v>
      </c>
      <c r="M18" s="55">
        <f t="shared" si="0"/>
        <v>136245.64577601335</v>
      </c>
      <c r="N18">
        <f t="shared" si="1"/>
        <v>6.5999999999999899</v>
      </c>
    </row>
    <row r="19" spans="1:14" x14ac:dyDescent="0.2">
      <c r="A19" t="s">
        <v>48</v>
      </c>
      <c r="B19" t="s">
        <v>42</v>
      </c>
      <c r="C19" s="19">
        <f>(4/3*PI()*C18^3+PI()*C18^2*(C17-2*C18))</f>
        <v>7592182.2461752743</v>
      </c>
      <c r="D19" t="s">
        <v>49</v>
      </c>
      <c r="L19">
        <v>6.6999999999999904</v>
      </c>
      <c r="M19" s="55">
        <f t="shared" si="0"/>
        <v>140396.17766546432</v>
      </c>
      <c r="N19">
        <f t="shared" si="1"/>
        <v>6.6999999999999904</v>
      </c>
    </row>
    <row r="20" spans="1:14" x14ac:dyDescent="0.2">
      <c r="A20" t="s">
        <v>50</v>
      </c>
      <c r="B20" t="s">
        <v>51</v>
      </c>
      <c r="C20" s="10">
        <f>C19/C14</f>
        <v>7.5921822461752747E-2</v>
      </c>
      <c r="D20" t="s">
        <v>52</v>
      </c>
      <c r="L20">
        <v>6.7999999999999901</v>
      </c>
      <c r="M20" s="55">
        <f t="shared" si="0"/>
        <v>144608.69946115589</v>
      </c>
      <c r="N20">
        <f t="shared" si="1"/>
        <v>6.7999999999999901</v>
      </c>
    </row>
    <row r="21" spans="1:14" x14ac:dyDescent="0.2">
      <c r="L21">
        <v>6.8999999999999897</v>
      </c>
      <c r="M21" s="55">
        <f t="shared" si="0"/>
        <v>148883.19859671753</v>
      </c>
      <c r="N21">
        <f t="shared" si="1"/>
        <v>6.8999999999999897</v>
      </c>
    </row>
    <row r="22" spans="1:14" ht="12.95" customHeight="1" x14ac:dyDescent="0.2">
      <c r="A22" s="23" t="s">
        <v>68</v>
      </c>
      <c r="B22" s="23"/>
      <c r="L22">
        <v>6.9999999999999902</v>
      </c>
      <c r="M22" s="55">
        <f t="shared" si="0"/>
        <v>153219.66250577857</v>
      </c>
      <c r="N22">
        <f t="shared" si="1"/>
        <v>6.9999999999999902</v>
      </c>
    </row>
    <row r="23" spans="1:14" x14ac:dyDescent="0.2">
      <c r="A23" s="20" t="s">
        <v>249</v>
      </c>
      <c r="B23" s="20" t="s">
        <v>31</v>
      </c>
      <c r="C23">
        <f>15306</f>
        <v>15306</v>
      </c>
      <c r="D23" t="s">
        <v>250</v>
      </c>
      <c r="L23">
        <v>7.0999999999999899</v>
      </c>
      <c r="M23" s="55">
        <f t="shared" si="0"/>
        <v>157618.07862196839</v>
      </c>
      <c r="N23">
        <f t="shared" si="1"/>
        <v>7.0999999999999899</v>
      </c>
    </row>
    <row r="24" spans="1:14" x14ac:dyDescent="0.2">
      <c r="A24" t="s">
        <v>251</v>
      </c>
      <c r="B24" s="21" t="s">
        <v>34</v>
      </c>
      <c r="C24">
        <f>2.25</f>
        <v>2.25</v>
      </c>
      <c r="D24" t="s">
        <v>252</v>
      </c>
      <c r="L24">
        <v>7.1999999999999904</v>
      </c>
      <c r="M24" s="55">
        <f t="shared" si="0"/>
        <v>162078.4343789164</v>
      </c>
      <c r="N24">
        <f t="shared" si="1"/>
        <v>7.1999999999999904</v>
      </c>
    </row>
    <row r="25" spans="1:14" x14ac:dyDescent="0.2">
      <c r="A25" s="20" t="s">
        <v>184</v>
      </c>
      <c r="B25" s="20" t="s">
        <v>38</v>
      </c>
      <c r="C25" s="8">
        <f>C8+C18</f>
        <v>50.3999999999998</v>
      </c>
      <c r="L25">
        <v>7.2999999999999901</v>
      </c>
      <c r="M25" s="55">
        <f t="shared" si="0"/>
        <v>166600.71721025193</v>
      </c>
      <c r="N25">
        <f t="shared" si="1"/>
        <v>7.2999999999999901</v>
      </c>
    </row>
    <row r="26" spans="1:14" x14ac:dyDescent="0.2">
      <c r="A26" t="s">
        <v>185</v>
      </c>
      <c r="B26" t="s">
        <v>38</v>
      </c>
      <c r="C26">
        <f>(C5*C25/C23*C24)/C9</f>
        <v>3.2413759310074353</v>
      </c>
      <c r="D26" t="s">
        <v>253</v>
      </c>
      <c r="L26">
        <v>7.3999999999999897</v>
      </c>
      <c r="M26" s="55">
        <f t="shared" si="0"/>
        <v>171184.91454960441</v>
      </c>
      <c r="N26">
        <f t="shared" si="1"/>
        <v>7.3999999999999897</v>
      </c>
    </row>
    <row r="27" spans="1:14" x14ac:dyDescent="0.2">
      <c r="A27" t="s">
        <v>187</v>
      </c>
      <c r="B27" t="s">
        <v>38</v>
      </c>
      <c r="C27">
        <v>9.1439999999999994E-2</v>
      </c>
      <c r="D27" t="s">
        <v>188</v>
      </c>
      <c r="L27">
        <v>7.4999999999999902</v>
      </c>
      <c r="M27" s="55">
        <f t="shared" si="0"/>
        <v>175831.01383060327</v>
      </c>
      <c r="N27">
        <f t="shared" si="1"/>
        <v>7.4999999999999902</v>
      </c>
    </row>
    <row r="28" spans="1:14" x14ac:dyDescent="0.2">
      <c r="A28" t="s">
        <v>189</v>
      </c>
      <c r="C28">
        <f>ROUNDUP(C26/C27,0)</f>
        <v>36</v>
      </c>
      <c r="L28">
        <v>7.5999999999999899</v>
      </c>
      <c r="M28" s="55">
        <f t="shared" si="0"/>
        <v>180539.00248687781</v>
      </c>
      <c r="N28">
        <f t="shared" si="1"/>
        <v>7.5999999999999899</v>
      </c>
    </row>
    <row r="29" spans="1:14" x14ac:dyDescent="0.2">
      <c r="A29" t="s">
        <v>190</v>
      </c>
      <c r="B29" t="s">
        <v>38</v>
      </c>
      <c r="C29">
        <f>C28*C27</f>
        <v>3.2918399999999997</v>
      </c>
      <c r="L29">
        <v>7.6999999999999904</v>
      </c>
      <c r="M29" s="55">
        <f t="shared" si="0"/>
        <v>185308.86795205748</v>
      </c>
      <c r="N29">
        <f t="shared" si="1"/>
        <v>7.6999999999999904</v>
      </c>
    </row>
    <row r="30" spans="1:14" x14ac:dyDescent="0.2">
      <c r="A30" t="s">
        <v>191</v>
      </c>
      <c r="B30" t="s">
        <v>38</v>
      </c>
      <c r="C30">
        <f>3*C27</f>
        <v>0.27432000000000001</v>
      </c>
      <c r="D30" t="s">
        <v>192</v>
      </c>
      <c r="L30">
        <v>7.7999999999999901</v>
      </c>
      <c r="M30" s="55">
        <f t="shared" si="0"/>
        <v>190140.59765977162</v>
      </c>
      <c r="N30">
        <f t="shared" si="1"/>
        <v>7.7999999999999901</v>
      </c>
    </row>
    <row r="31" spans="1:14" x14ac:dyDescent="0.2">
      <c r="A31" t="s">
        <v>193</v>
      </c>
      <c r="B31" t="s">
        <v>38</v>
      </c>
      <c r="C31" s="46">
        <f>MAX(C29:C30)</f>
        <v>3.2918399999999997</v>
      </c>
      <c r="L31">
        <v>7.8999999999999897</v>
      </c>
      <c r="M31" s="55">
        <f t="shared" si="0"/>
        <v>195034.17904364967</v>
      </c>
      <c r="N31">
        <f t="shared" si="1"/>
        <v>7.8999999999999897</v>
      </c>
    </row>
    <row r="32" spans="1:14" x14ac:dyDescent="0.2">
      <c r="A32" t="s">
        <v>254</v>
      </c>
      <c r="C32" s="26">
        <f>+C24*C31/C26</f>
        <v>2.2850296163265393</v>
      </c>
      <c r="D32" t="s">
        <v>255</v>
      </c>
      <c r="L32">
        <v>7.9999999999999902</v>
      </c>
      <c r="M32" s="55">
        <f t="shared" si="0"/>
        <v>199989.59953732096</v>
      </c>
      <c r="N32">
        <f t="shared" si="1"/>
        <v>7.9999999999999902</v>
      </c>
    </row>
    <row r="33" spans="1:14" x14ac:dyDescent="0.2">
      <c r="A33" t="s">
        <v>256</v>
      </c>
      <c r="B33" t="s">
        <v>31</v>
      </c>
      <c r="C33" s="8">
        <f>C32*C5</f>
        <v>799.76036571428881</v>
      </c>
      <c r="D33" t="s">
        <v>257</v>
      </c>
      <c r="L33">
        <v>8.0999999999999908</v>
      </c>
      <c r="M33" s="55">
        <f t="shared" si="0"/>
        <v>205006.84657441499</v>
      </c>
      <c r="N33">
        <f t="shared" si="1"/>
        <v>8.0999999999999908</v>
      </c>
    </row>
    <row r="34" spans="1:14" x14ac:dyDescent="0.2">
      <c r="L34">
        <v>8.1999999999999904</v>
      </c>
      <c r="M34" s="55">
        <f t="shared" si="0"/>
        <v>210085.90758856086</v>
      </c>
      <c r="N34">
        <f t="shared" si="1"/>
        <v>8.1999999999999904</v>
      </c>
    </row>
    <row r="35" spans="1:14" ht="12.95" customHeight="1" x14ac:dyDescent="0.2">
      <c r="A35" s="23" t="s">
        <v>78</v>
      </c>
      <c r="B35" s="23"/>
      <c r="L35">
        <v>8.2999999999999901</v>
      </c>
      <c r="M35" s="55">
        <f t="shared" si="0"/>
        <v>215226.77001338822</v>
      </c>
      <c r="N35">
        <f t="shared" si="1"/>
        <v>8.2999999999999901</v>
      </c>
    </row>
    <row r="36" spans="1:14" x14ac:dyDescent="0.2">
      <c r="A36" t="s">
        <v>79</v>
      </c>
      <c r="B36" t="s">
        <v>38</v>
      </c>
      <c r="C36" s="8">
        <f>C17+2*C31+2*C8</f>
        <v>1007.3836799999999</v>
      </c>
      <c r="D36" s="17"/>
      <c r="L36">
        <v>8.3999999999999897</v>
      </c>
      <c r="M36" s="55">
        <f t="shared" si="0"/>
        <v>220429.42128252645</v>
      </c>
      <c r="N36">
        <f t="shared" si="1"/>
        <v>8.3999999999999897</v>
      </c>
    </row>
    <row r="37" spans="1:14" x14ac:dyDescent="0.2">
      <c r="A37" t="s">
        <v>81</v>
      </c>
      <c r="B37" t="s">
        <v>38</v>
      </c>
      <c r="C37" s="8">
        <f>C18+C31+C8</f>
        <v>53.6918399999998</v>
      </c>
      <c r="L37">
        <v>8.4999999999999893</v>
      </c>
      <c r="M37" s="55">
        <f t="shared" si="0"/>
        <v>225693.84882960477</v>
      </c>
      <c r="N37">
        <f t="shared" si="1"/>
        <v>8.4999999999999893</v>
      </c>
    </row>
    <row r="38" spans="1:14" x14ac:dyDescent="0.2">
      <c r="A38" t="s">
        <v>82</v>
      </c>
      <c r="B38" t="s">
        <v>42</v>
      </c>
      <c r="C38" s="19">
        <f>(4/3*PI()*C37^3+PI()*C37^2*(C36-2*C37))</f>
        <v>8799319.5642376281</v>
      </c>
      <c r="L38">
        <v>8.5999999999999908</v>
      </c>
      <c r="M38" s="55">
        <f t="shared" si="0"/>
        <v>231020.0400882528</v>
      </c>
      <c r="N38">
        <f t="shared" si="1"/>
        <v>8.5999999999999908</v>
      </c>
    </row>
    <row r="39" spans="1:14" x14ac:dyDescent="0.2">
      <c r="A39" t="s">
        <v>83</v>
      </c>
      <c r="B39" s="21" t="s">
        <v>34</v>
      </c>
      <c r="C39" s="8">
        <f>C36/(2*C37)</f>
        <v>9.3811618301775805</v>
      </c>
      <c r="L39">
        <v>8.6999999999999904</v>
      </c>
      <c r="M39" s="55">
        <f t="shared" si="0"/>
        <v>236407.98249209969</v>
      </c>
      <c r="N39">
        <f t="shared" si="1"/>
        <v>8.6999999999999904</v>
      </c>
    </row>
    <row r="40" spans="1:14" x14ac:dyDescent="0.2">
      <c r="B40" s="21"/>
      <c r="C40" s="8"/>
      <c r="L40">
        <v>8.7999999999999901</v>
      </c>
      <c r="M40" s="55">
        <f t="shared" si="0"/>
        <v>241857.66347477495</v>
      </c>
      <c r="N40">
        <f t="shared" si="1"/>
        <v>8.7999999999999901</v>
      </c>
    </row>
    <row r="41" spans="1:14" ht="12.95" customHeight="1" x14ac:dyDescent="0.2">
      <c r="A41" s="23" t="s">
        <v>258</v>
      </c>
      <c r="B41" s="21"/>
      <c r="C41" s="8"/>
      <c r="L41">
        <v>8.8999999999999897</v>
      </c>
      <c r="M41" s="55">
        <f t="shared" si="0"/>
        <v>247369.07046990792</v>
      </c>
      <c r="N41">
        <f t="shared" si="1"/>
        <v>8.8999999999999897</v>
      </c>
    </row>
    <row r="42" spans="1:14" x14ac:dyDescent="0.2">
      <c r="A42" s="20" t="s">
        <v>259</v>
      </c>
      <c r="B42" s="20" t="s">
        <v>42</v>
      </c>
      <c r="C42" s="18">
        <f>(4/3*PI()*C25^3+PI()*C25^2*(C17-2*C25))-C19</f>
        <v>119832.77613724116</v>
      </c>
      <c r="D42" s="20"/>
      <c r="L42">
        <v>8.9999999999999893</v>
      </c>
      <c r="M42" s="55">
        <f t="shared" si="0"/>
        <v>252942.19091112798</v>
      </c>
      <c r="N42">
        <f t="shared" si="1"/>
        <v>8.9999999999999893</v>
      </c>
    </row>
    <row r="43" spans="1:14" x14ac:dyDescent="0.2">
      <c r="A43" s="20" t="s">
        <v>260</v>
      </c>
      <c r="B43" s="20" t="s">
        <v>56</v>
      </c>
      <c r="C43" s="60">
        <v>9.4587000000000002E-4</v>
      </c>
      <c r="D43" s="20" t="s">
        <v>261</v>
      </c>
      <c r="L43">
        <v>9.0999999999999908</v>
      </c>
      <c r="M43" s="55">
        <f t="shared" si="0"/>
        <v>258577.01223206474</v>
      </c>
      <c r="N43">
        <f t="shared" si="1"/>
        <v>9.0999999999999908</v>
      </c>
    </row>
    <row r="44" spans="1:14" x14ac:dyDescent="0.2">
      <c r="A44" s="20" t="s">
        <v>262</v>
      </c>
      <c r="B44" s="20" t="s">
        <v>89</v>
      </c>
      <c r="C44" s="18">
        <f>C43*C42</f>
        <v>113.3462279649323</v>
      </c>
      <c r="D44" s="20"/>
      <c r="L44">
        <v>9.1999999999999904</v>
      </c>
      <c r="M44" s="55">
        <f t="shared" si="0"/>
        <v>264273.52186634723</v>
      </c>
      <c r="N44">
        <f t="shared" si="1"/>
        <v>9.1999999999999904</v>
      </c>
    </row>
    <row r="45" spans="1:14" x14ac:dyDescent="0.2">
      <c r="A45" s="20"/>
      <c r="B45" s="20"/>
      <c r="C45" s="20"/>
      <c r="D45" s="20"/>
      <c r="L45">
        <v>9.2999999999999794</v>
      </c>
      <c r="M45" s="55">
        <f t="shared" si="0"/>
        <v>270031.70724760432</v>
      </c>
      <c r="N45">
        <f t="shared" si="1"/>
        <v>9.2999999999999794</v>
      </c>
    </row>
    <row r="46" spans="1:14" ht="12.95" customHeight="1" x14ac:dyDescent="0.2">
      <c r="A46" s="23" t="s">
        <v>263</v>
      </c>
      <c r="L46">
        <v>9.3999999999999808</v>
      </c>
      <c r="M46" s="55">
        <f t="shared" si="0"/>
        <v>275851.55580946687</v>
      </c>
      <c r="N46">
        <f t="shared" si="1"/>
        <v>9.3999999999999808</v>
      </c>
    </row>
    <row r="47" spans="1:14" x14ac:dyDescent="0.2">
      <c r="A47" t="s">
        <v>85</v>
      </c>
      <c r="B47" t="s">
        <v>42</v>
      </c>
      <c r="C47" s="55">
        <f>C38-C19-C42</f>
        <v>1087304.5419251127</v>
      </c>
      <c r="L47">
        <v>9.4999999999999805</v>
      </c>
      <c r="M47" s="55">
        <f t="shared" si="0"/>
        <v>281733.05498556333</v>
      </c>
      <c r="N47">
        <f t="shared" si="1"/>
        <v>9.4999999999999805</v>
      </c>
    </row>
    <row r="48" spans="1:14" x14ac:dyDescent="0.2">
      <c r="A48" t="s">
        <v>86</v>
      </c>
      <c r="B48" t="s">
        <v>56</v>
      </c>
      <c r="C48" s="16">
        <v>1.611E-3</v>
      </c>
      <c r="D48" t="s">
        <v>264</v>
      </c>
      <c r="L48">
        <v>9.5999999999999801</v>
      </c>
      <c r="M48" s="55">
        <f t="shared" si="0"/>
        <v>287676.19220952317</v>
      </c>
      <c r="N48">
        <f t="shared" si="1"/>
        <v>9.5999999999999801</v>
      </c>
    </row>
    <row r="49" spans="1:14" x14ac:dyDescent="0.2">
      <c r="A49" t="s">
        <v>88</v>
      </c>
      <c r="B49" t="s">
        <v>89</v>
      </c>
      <c r="C49" s="8">
        <f>C47*C48</f>
        <v>1751.6476170413566</v>
      </c>
      <c r="L49">
        <v>9.6999999999999797</v>
      </c>
      <c r="M49" s="55">
        <f t="shared" si="0"/>
        <v>293680.95491497585</v>
      </c>
      <c r="N49">
        <f t="shared" si="1"/>
        <v>9.6999999999999797</v>
      </c>
    </row>
    <row r="50" spans="1:14" x14ac:dyDescent="0.2">
      <c r="C50" s="56"/>
      <c r="L50">
        <v>9.7999999999999794</v>
      </c>
      <c r="M50" s="55">
        <f t="shared" si="0"/>
        <v>299747.33053555078</v>
      </c>
      <c r="N50">
        <f t="shared" si="1"/>
        <v>9.7999999999999794</v>
      </c>
    </row>
    <row r="51" spans="1:14" x14ac:dyDescent="0.2">
      <c r="A51" s="20"/>
      <c r="B51" s="20"/>
      <c r="L51">
        <v>9.8999999999999808</v>
      </c>
      <c r="M51" s="55">
        <f t="shared" si="0"/>
        <v>305875.30650487746</v>
      </c>
      <c r="N51">
        <f t="shared" si="1"/>
        <v>9.8999999999999808</v>
      </c>
    </row>
    <row r="52" spans="1:14" ht="12.95" customHeight="1" x14ac:dyDescent="0.2">
      <c r="A52" s="23" t="s">
        <v>265</v>
      </c>
      <c r="B52" s="20"/>
      <c r="C52" s="8"/>
      <c r="L52">
        <v>9.9999999999999805</v>
      </c>
      <c r="M52" s="55">
        <f t="shared" si="0"/>
        <v>312064.87025658484</v>
      </c>
      <c r="N52">
        <f t="shared" si="1"/>
        <v>9.9999999999999805</v>
      </c>
    </row>
    <row r="53" spans="1:14" x14ac:dyDescent="0.2">
      <c r="A53" s="20" t="s">
        <v>266</v>
      </c>
      <c r="B53" s="20" t="s">
        <v>89</v>
      </c>
      <c r="C53" s="8">
        <f>C44</f>
        <v>113.3462279649323</v>
      </c>
      <c r="L53">
        <v>10.1</v>
      </c>
      <c r="M53" s="55">
        <f t="shared" si="0"/>
        <v>318316.00922430394</v>
      </c>
      <c r="N53">
        <f t="shared" si="1"/>
        <v>10.1</v>
      </c>
    </row>
    <row r="54" spans="1:14" x14ac:dyDescent="0.2">
      <c r="A54" s="20" t="s">
        <v>267</v>
      </c>
      <c r="B54" s="20" t="s">
        <v>89</v>
      </c>
      <c r="C54" s="8">
        <f>C49</f>
        <v>1751.6476170413566</v>
      </c>
      <c r="L54">
        <v>10.199999999999999</v>
      </c>
      <c r="M54" s="55">
        <f t="shared" si="0"/>
        <v>324628.71084166161</v>
      </c>
      <c r="N54">
        <f t="shared" si="1"/>
        <v>10.199999999999999</v>
      </c>
    </row>
    <row r="55" spans="1:14" x14ac:dyDescent="0.2">
      <c r="A55" s="20" t="s">
        <v>268</v>
      </c>
      <c r="B55" s="20" t="s">
        <v>89</v>
      </c>
      <c r="C55" s="39">
        <f>C53+C54</f>
        <v>1864.9938450062889</v>
      </c>
      <c r="D55" s="40" t="s">
        <v>269</v>
      </c>
      <c r="L55">
        <v>10.3</v>
      </c>
      <c r="M55" s="55">
        <f t="shared" si="0"/>
        <v>331002.96254228841</v>
      </c>
      <c r="N55">
        <f t="shared" si="1"/>
        <v>10.3</v>
      </c>
    </row>
    <row r="56" spans="1:14" x14ac:dyDescent="0.2">
      <c r="L56">
        <v>10.4</v>
      </c>
      <c r="M56" s="55">
        <f t="shared" si="0"/>
        <v>337438.75175981363</v>
      </c>
      <c r="N56">
        <f t="shared" si="1"/>
        <v>10.4</v>
      </c>
    </row>
    <row r="57" spans="1:14" ht="12.95" customHeight="1" x14ac:dyDescent="0.2">
      <c r="A57" s="23" t="s">
        <v>96</v>
      </c>
      <c r="L57">
        <v>10.5</v>
      </c>
      <c r="M57" s="55">
        <f t="shared" si="0"/>
        <v>343936.06592786679</v>
      </c>
      <c r="N57">
        <f t="shared" si="1"/>
        <v>10.5</v>
      </c>
    </row>
    <row r="58" spans="1:14" x14ac:dyDescent="0.2">
      <c r="A58" t="s">
        <v>97</v>
      </c>
      <c r="B58" s="26" t="s">
        <v>98</v>
      </c>
      <c r="C58" s="26">
        <f>(C55/C19*1000)^-1</f>
        <v>4.0708886340317507</v>
      </c>
      <c r="D58" t="s">
        <v>99</v>
      </c>
      <c r="L58">
        <v>10.6</v>
      </c>
      <c r="M58" s="55">
        <f t="shared" si="0"/>
        <v>350494.89248007722</v>
      </c>
      <c r="N58">
        <f t="shared" si="1"/>
        <v>10.6</v>
      </c>
    </row>
    <row r="59" spans="1:14" x14ac:dyDescent="0.2">
      <c r="L59">
        <v>10.7</v>
      </c>
      <c r="M59" s="55">
        <f t="shared" si="0"/>
        <v>357115.21885007428</v>
      </c>
      <c r="N59">
        <f t="shared" si="1"/>
        <v>10.7</v>
      </c>
    </row>
    <row r="60" spans="1:14" ht="12.95" customHeight="1" x14ac:dyDescent="0.2">
      <c r="A60" s="23" t="s">
        <v>270</v>
      </c>
      <c r="L60">
        <v>10.8</v>
      </c>
      <c r="M60" s="55">
        <f t="shared" si="0"/>
        <v>363797.03247148759</v>
      </c>
      <c r="N60">
        <f t="shared" si="1"/>
        <v>10.8</v>
      </c>
    </row>
    <row r="61" spans="1:14" x14ac:dyDescent="0.2">
      <c r="A61" t="s">
        <v>271</v>
      </c>
      <c r="B61" t="s">
        <v>58</v>
      </c>
      <c r="C61" s="53">
        <v>2.06</v>
      </c>
      <c r="D61" t="s">
        <v>235</v>
      </c>
      <c r="L61">
        <v>10.9</v>
      </c>
      <c r="M61" s="55">
        <f t="shared" si="0"/>
        <v>370540.32077794621</v>
      </c>
      <c r="N61">
        <f t="shared" si="1"/>
        <v>10.9</v>
      </c>
    </row>
    <row r="62" spans="1:14" x14ac:dyDescent="0.2">
      <c r="A62" t="s">
        <v>272</v>
      </c>
      <c r="B62" t="s">
        <v>58</v>
      </c>
      <c r="C62" s="53">
        <v>30.65</v>
      </c>
      <c r="D62" t="s">
        <v>235</v>
      </c>
      <c r="L62">
        <v>11</v>
      </c>
      <c r="M62" s="55">
        <f t="shared" si="0"/>
        <v>377345.07120307966</v>
      </c>
      <c r="N62">
        <f t="shared" si="1"/>
        <v>11</v>
      </c>
    </row>
    <row r="63" spans="1:14" x14ac:dyDescent="0.2">
      <c r="A63" t="s">
        <v>273</v>
      </c>
      <c r="B63" t="s">
        <v>95</v>
      </c>
      <c r="C63" s="26">
        <f>C61*C53</f>
        <v>233.49322960776053</v>
      </c>
      <c r="L63">
        <v>11.1</v>
      </c>
      <c r="M63" s="55">
        <f t="shared" si="0"/>
        <v>384211.27118051721</v>
      </c>
      <c r="N63">
        <f t="shared" si="1"/>
        <v>11.1</v>
      </c>
    </row>
    <row r="64" spans="1:14" x14ac:dyDescent="0.2">
      <c r="A64" t="s">
        <v>274</v>
      </c>
      <c r="B64" t="s">
        <v>95</v>
      </c>
      <c r="C64" s="26">
        <f>C62*C54</f>
        <v>53687.999462317581</v>
      </c>
      <c r="L64">
        <v>11.2</v>
      </c>
      <c r="M64" s="55">
        <f t="shared" si="0"/>
        <v>391138.90814388852</v>
      </c>
      <c r="N64">
        <f t="shared" si="1"/>
        <v>11.2</v>
      </c>
    </row>
    <row r="65" spans="1:14" x14ac:dyDescent="0.2">
      <c r="A65" t="s">
        <v>275</v>
      </c>
      <c r="B65" t="s">
        <v>95</v>
      </c>
      <c r="C65" s="28">
        <f>C63+C64</f>
        <v>53921.492691925341</v>
      </c>
      <c r="D65" s="29" t="s">
        <v>276</v>
      </c>
      <c r="L65">
        <v>11.3</v>
      </c>
      <c r="M65" s="55">
        <f t="shared" si="0"/>
        <v>398127.96952682285</v>
      </c>
      <c r="N65">
        <f t="shared" si="1"/>
        <v>11.3</v>
      </c>
    </row>
    <row r="66" spans="1:14" x14ac:dyDescent="0.2">
      <c r="L66">
        <v>11.4</v>
      </c>
      <c r="M66" s="55">
        <f t="shared" ref="M66:M129" si="2">4/3*PI()*L66^3+PI()*L66^2*($K$2-2*L66)</f>
        <v>405178.44276294956</v>
      </c>
      <c r="N66">
        <f t="shared" ref="N66:N129" si="3">L66</f>
        <v>11.4</v>
      </c>
    </row>
    <row r="67" spans="1:14" x14ac:dyDescent="0.2">
      <c r="A67" t="s">
        <v>277</v>
      </c>
      <c r="L67">
        <v>11.5</v>
      </c>
      <c r="M67" s="55">
        <f t="shared" si="2"/>
        <v>412290.31528589787</v>
      </c>
      <c r="N67">
        <f t="shared" si="3"/>
        <v>11.5</v>
      </c>
    </row>
    <row r="68" spans="1:14" x14ac:dyDescent="0.2">
      <c r="A68" t="s">
        <v>278</v>
      </c>
      <c r="C68">
        <f>C18/C31</f>
        <v>15.18907358802366</v>
      </c>
      <c r="D68" t="s">
        <v>279</v>
      </c>
      <c r="L68">
        <v>11.6</v>
      </c>
      <c r="M68" s="55">
        <f t="shared" si="2"/>
        <v>419463.57452929742</v>
      </c>
      <c r="N68">
        <f t="shared" si="3"/>
        <v>11.6</v>
      </c>
    </row>
    <row r="69" spans="1:14" x14ac:dyDescent="0.2">
      <c r="L69">
        <v>11.7</v>
      </c>
      <c r="M69" s="55">
        <f t="shared" si="2"/>
        <v>426698.20792677742</v>
      </c>
      <c r="N69">
        <f t="shared" si="3"/>
        <v>11.7</v>
      </c>
    </row>
    <row r="70" spans="1:14" x14ac:dyDescent="0.2">
      <c r="L70">
        <v>11.8</v>
      </c>
      <c r="M70" s="55">
        <f t="shared" si="2"/>
        <v>433994.20291196753</v>
      </c>
      <c r="N70">
        <f t="shared" si="3"/>
        <v>11.8</v>
      </c>
    </row>
    <row r="71" spans="1:14" x14ac:dyDescent="0.2">
      <c r="L71">
        <v>11.9</v>
      </c>
      <c r="M71" s="55">
        <f t="shared" si="2"/>
        <v>441351.54691849684</v>
      </c>
      <c r="N71">
        <f t="shared" si="3"/>
        <v>11.9</v>
      </c>
    </row>
    <row r="72" spans="1:14" x14ac:dyDescent="0.2">
      <c r="L72">
        <v>12</v>
      </c>
      <c r="M72" s="55">
        <f t="shared" si="2"/>
        <v>448770.22737999476</v>
      </c>
      <c r="N72">
        <f t="shared" si="3"/>
        <v>12</v>
      </c>
    </row>
    <row r="73" spans="1:14" x14ac:dyDescent="0.2">
      <c r="L73">
        <v>12.1</v>
      </c>
      <c r="M73" s="55">
        <f t="shared" si="2"/>
        <v>456250.23173009075</v>
      </c>
      <c r="N73">
        <f t="shared" si="3"/>
        <v>12.1</v>
      </c>
    </row>
    <row r="74" spans="1:14" x14ac:dyDescent="0.2">
      <c r="L74">
        <v>12.2</v>
      </c>
      <c r="M74" s="55">
        <f t="shared" si="2"/>
        <v>463791.54740241426</v>
      </c>
      <c r="N74">
        <f t="shared" si="3"/>
        <v>12.2</v>
      </c>
    </row>
    <row r="75" spans="1:14" x14ac:dyDescent="0.2">
      <c r="L75">
        <v>12.3</v>
      </c>
      <c r="M75" s="55">
        <f t="shared" si="2"/>
        <v>471394.1618305947</v>
      </c>
      <c r="N75">
        <f t="shared" si="3"/>
        <v>12.3</v>
      </c>
    </row>
    <row r="76" spans="1:14" x14ac:dyDescent="0.2">
      <c r="L76">
        <v>12.4</v>
      </c>
      <c r="M76" s="55">
        <f t="shared" si="2"/>
        <v>479058.06244826136</v>
      </c>
      <c r="N76">
        <f t="shared" si="3"/>
        <v>12.4</v>
      </c>
    </row>
    <row r="77" spans="1:14" x14ac:dyDescent="0.2">
      <c r="L77">
        <v>12.5</v>
      </c>
      <c r="M77" s="55">
        <f t="shared" si="2"/>
        <v>486783.23668904346</v>
      </c>
      <c r="N77">
        <f t="shared" si="3"/>
        <v>12.5</v>
      </c>
    </row>
    <row r="78" spans="1:14" x14ac:dyDescent="0.2">
      <c r="L78">
        <v>12.6</v>
      </c>
      <c r="M78" s="55">
        <f t="shared" si="2"/>
        <v>494569.67198657058</v>
      </c>
      <c r="N78">
        <f t="shared" si="3"/>
        <v>12.6</v>
      </c>
    </row>
    <row r="79" spans="1:14" x14ac:dyDescent="0.2">
      <c r="L79">
        <v>12.7</v>
      </c>
      <c r="M79" s="55">
        <f t="shared" si="2"/>
        <v>502417.35577447223</v>
      </c>
      <c r="N79">
        <f t="shared" si="3"/>
        <v>12.7</v>
      </c>
    </row>
    <row r="80" spans="1:14" x14ac:dyDescent="0.2">
      <c r="L80">
        <v>12.8</v>
      </c>
      <c r="M80" s="55">
        <f t="shared" si="2"/>
        <v>510326.27548637759</v>
      </c>
      <c r="N80">
        <f t="shared" si="3"/>
        <v>12.8</v>
      </c>
    </row>
    <row r="81" spans="12:14" x14ac:dyDescent="0.2">
      <c r="L81">
        <v>12.9</v>
      </c>
      <c r="M81" s="55">
        <f t="shared" si="2"/>
        <v>518296.41855591617</v>
      </c>
      <c r="N81">
        <f t="shared" si="3"/>
        <v>12.9</v>
      </c>
    </row>
    <row r="82" spans="12:14" x14ac:dyDescent="0.2">
      <c r="L82">
        <v>13</v>
      </c>
      <c r="M82" s="55">
        <f t="shared" si="2"/>
        <v>526327.77241671726</v>
      </c>
      <c r="N82">
        <f t="shared" si="3"/>
        <v>13</v>
      </c>
    </row>
    <row r="83" spans="12:14" x14ac:dyDescent="0.2">
      <c r="L83">
        <v>13.1</v>
      </c>
      <c r="M83" s="55">
        <f t="shared" si="2"/>
        <v>534420.32450241013</v>
      </c>
      <c r="N83">
        <f t="shared" si="3"/>
        <v>13.1</v>
      </c>
    </row>
    <row r="84" spans="12:14" x14ac:dyDescent="0.2">
      <c r="L84">
        <v>13.2</v>
      </c>
      <c r="M84" s="55">
        <f t="shared" si="2"/>
        <v>542574.06224662438</v>
      </c>
      <c r="N84">
        <f t="shared" si="3"/>
        <v>13.2</v>
      </c>
    </row>
    <row r="85" spans="12:14" x14ac:dyDescent="0.2">
      <c r="L85">
        <v>13.3</v>
      </c>
      <c r="M85" s="55">
        <f t="shared" si="2"/>
        <v>550788.97308298945</v>
      </c>
      <c r="N85">
        <f t="shared" si="3"/>
        <v>13.3</v>
      </c>
    </row>
    <row r="86" spans="12:14" x14ac:dyDescent="0.2">
      <c r="L86">
        <v>13.4</v>
      </c>
      <c r="M86" s="55">
        <f t="shared" si="2"/>
        <v>559065.04444513458</v>
      </c>
      <c r="N86">
        <f t="shared" si="3"/>
        <v>13.4</v>
      </c>
    </row>
    <row r="87" spans="12:14" x14ac:dyDescent="0.2">
      <c r="L87">
        <v>13.5</v>
      </c>
      <c r="M87" s="55">
        <f t="shared" si="2"/>
        <v>567402.26376668911</v>
      </c>
      <c r="N87">
        <f t="shared" si="3"/>
        <v>13.5</v>
      </c>
    </row>
    <row r="88" spans="12:14" x14ac:dyDescent="0.2">
      <c r="L88">
        <v>13.6</v>
      </c>
      <c r="M88" s="55">
        <f t="shared" si="2"/>
        <v>575800.61848128238</v>
      </c>
      <c r="N88">
        <f t="shared" si="3"/>
        <v>13.6</v>
      </c>
    </row>
    <row r="89" spans="12:14" x14ac:dyDescent="0.2">
      <c r="L89">
        <v>13.7</v>
      </c>
      <c r="M89" s="55">
        <f t="shared" si="2"/>
        <v>584260.0960225442</v>
      </c>
      <c r="N89">
        <f t="shared" si="3"/>
        <v>13.7</v>
      </c>
    </row>
    <row r="90" spans="12:14" x14ac:dyDescent="0.2">
      <c r="L90">
        <v>13.8</v>
      </c>
      <c r="M90" s="55">
        <f t="shared" si="2"/>
        <v>592780.68382410356</v>
      </c>
      <c r="N90">
        <f t="shared" si="3"/>
        <v>13.8</v>
      </c>
    </row>
    <row r="91" spans="12:14" x14ac:dyDescent="0.2">
      <c r="L91">
        <v>13.9</v>
      </c>
      <c r="M91" s="55">
        <f t="shared" si="2"/>
        <v>601362.36931958992</v>
      </c>
      <c r="N91">
        <f t="shared" si="3"/>
        <v>13.9</v>
      </c>
    </row>
    <row r="92" spans="12:14" x14ac:dyDescent="0.2">
      <c r="L92">
        <v>14</v>
      </c>
      <c r="M92" s="55">
        <f t="shared" si="2"/>
        <v>610005.13994263241</v>
      </c>
      <c r="N92">
        <f t="shared" si="3"/>
        <v>14</v>
      </c>
    </row>
    <row r="93" spans="12:14" x14ac:dyDescent="0.2">
      <c r="L93">
        <v>14.1</v>
      </c>
      <c r="M93" s="55">
        <f t="shared" si="2"/>
        <v>618708.98312686093</v>
      </c>
      <c r="N93">
        <f t="shared" si="3"/>
        <v>14.1</v>
      </c>
    </row>
    <row r="94" spans="12:14" x14ac:dyDescent="0.2">
      <c r="L94">
        <v>14.2</v>
      </c>
      <c r="M94" s="55">
        <f t="shared" si="2"/>
        <v>627473.88630590471</v>
      </c>
      <c r="N94">
        <f t="shared" si="3"/>
        <v>14.2</v>
      </c>
    </row>
    <row r="95" spans="12:14" x14ac:dyDescent="0.2">
      <c r="L95">
        <v>14.3</v>
      </c>
      <c r="M95" s="55">
        <f t="shared" si="2"/>
        <v>636299.83691339288</v>
      </c>
      <c r="N95">
        <f t="shared" si="3"/>
        <v>14.3</v>
      </c>
    </row>
    <row r="96" spans="12:14" x14ac:dyDescent="0.2">
      <c r="L96">
        <v>14.4</v>
      </c>
      <c r="M96" s="55">
        <f t="shared" si="2"/>
        <v>645186.82238295511</v>
      </c>
      <c r="N96">
        <f t="shared" si="3"/>
        <v>14.4</v>
      </c>
    </row>
    <row r="97" spans="12:14" x14ac:dyDescent="0.2">
      <c r="L97">
        <v>14.5</v>
      </c>
      <c r="M97" s="55">
        <f t="shared" si="2"/>
        <v>654134.83014822053</v>
      </c>
      <c r="N97">
        <f t="shared" si="3"/>
        <v>14.5</v>
      </c>
    </row>
    <row r="98" spans="12:14" x14ac:dyDescent="0.2">
      <c r="L98">
        <v>14.6</v>
      </c>
      <c r="M98" s="55">
        <f t="shared" si="2"/>
        <v>663143.84764281882</v>
      </c>
      <c r="N98">
        <f t="shared" si="3"/>
        <v>14.6</v>
      </c>
    </row>
    <row r="99" spans="12:14" x14ac:dyDescent="0.2">
      <c r="L99">
        <v>14.7</v>
      </c>
      <c r="M99" s="55">
        <f t="shared" si="2"/>
        <v>672213.86230037897</v>
      </c>
      <c r="N99">
        <f t="shared" si="3"/>
        <v>14.7</v>
      </c>
    </row>
    <row r="100" spans="12:14" x14ac:dyDescent="0.2">
      <c r="L100">
        <v>14.8</v>
      </c>
      <c r="M100" s="55">
        <f t="shared" si="2"/>
        <v>681344.86155453091</v>
      </c>
      <c r="N100">
        <f t="shared" si="3"/>
        <v>14.8</v>
      </c>
    </row>
    <row r="101" spans="12:14" x14ac:dyDescent="0.2">
      <c r="L101">
        <v>14.9</v>
      </c>
      <c r="M101" s="55">
        <f t="shared" si="2"/>
        <v>690536.83283890365</v>
      </c>
      <c r="N101">
        <f t="shared" si="3"/>
        <v>14.9</v>
      </c>
    </row>
    <row r="102" spans="12:14" x14ac:dyDescent="0.2">
      <c r="L102">
        <v>15</v>
      </c>
      <c r="M102" s="55">
        <f t="shared" si="2"/>
        <v>699789.76358712639</v>
      </c>
      <c r="N102">
        <f t="shared" si="3"/>
        <v>15</v>
      </c>
    </row>
    <row r="103" spans="12:14" x14ac:dyDescent="0.2">
      <c r="L103">
        <v>15.1</v>
      </c>
      <c r="M103" s="55">
        <f t="shared" si="2"/>
        <v>709103.64123282884</v>
      </c>
      <c r="N103">
        <f t="shared" si="3"/>
        <v>15.1</v>
      </c>
    </row>
    <row r="104" spans="12:14" x14ac:dyDescent="0.2">
      <c r="L104">
        <v>15.2</v>
      </c>
      <c r="M104" s="55">
        <f t="shared" si="2"/>
        <v>718478.45320964057</v>
      </c>
      <c r="N104">
        <f t="shared" si="3"/>
        <v>15.2</v>
      </c>
    </row>
    <row r="105" spans="12:14" x14ac:dyDescent="0.2">
      <c r="L105">
        <v>15.3</v>
      </c>
      <c r="M105" s="55">
        <f t="shared" si="2"/>
        <v>727914.1869511907</v>
      </c>
      <c r="N105">
        <f t="shared" si="3"/>
        <v>15.3</v>
      </c>
    </row>
    <row r="106" spans="12:14" x14ac:dyDescent="0.2">
      <c r="L106">
        <v>15.4</v>
      </c>
      <c r="M106" s="55">
        <f t="shared" si="2"/>
        <v>737410.82989110844</v>
      </c>
      <c r="N106">
        <f t="shared" si="3"/>
        <v>15.4</v>
      </c>
    </row>
    <row r="107" spans="12:14" x14ac:dyDescent="0.2">
      <c r="L107">
        <v>15.5</v>
      </c>
      <c r="M107" s="55">
        <f t="shared" si="2"/>
        <v>746968.36946302326</v>
      </c>
      <c r="N107">
        <f t="shared" si="3"/>
        <v>15.5</v>
      </c>
    </row>
    <row r="108" spans="12:14" x14ac:dyDescent="0.2">
      <c r="L108">
        <v>15.6</v>
      </c>
      <c r="M108" s="55">
        <f t="shared" si="2"/>
        <v>756586.79310056474</v>
      </c>
      <c r="N108">
        <f t="shared" si="3"/>
        <v>15.6</v>
      </c>
    </row>
    <row r="109" spans="12:14" x14ac:dyDescent="0.2">
      <c r="L109">
        <v>15.7</v>
      </c>
      <c r="M109" s="55">
        <f t="shared" si="2"/>
        <v>766266.08823736233</v>
      </c>
      <c r="N109">
        <f t="shared" si="3"/>
        <v>15.7</v>
      </c>
    </row>
    <row r="110" spans="12:14" x14ac:dyDescent="0.2">
      <c r="L110">
        <v>15.8</v>
      </c>
      <c r="M110" s="55">
        <f t="shared" si="2"/>
        <v>776006.24230704526</v>
      </c>
      <c r="N110">
        <f t="shared" si="3"/>
        <v>15.8</v>
      </c>
    </row>
    <row r="111" spans="12:14" x14ac:dyDescent="0.2">
      <c r="L111">
        <v>15.9</v>
      </c>
      <c r="M111" s="55">
        <f t="shared" si="2"/>
        <v>785807.24274324288</v>
      </c>
      <c r="N111">
        <f t="shared" si="3"/>
        <v>15.9</v>
      </c>
    </row>
    <row r="112" spans="12:14" x14ac:dyDescent="0.2">
      <c r="L112">
        <v>16</v>
      </c>
      <c r="M112" s="55">
        <f t="shared" si="2"/>
        <v>795669.07697958453</v>
      </c>
      <c r="N112">
        <f t="shared" si="3"/>
        <v>16</v>
      </c>
    </row>
    <row r="113" spans="12:14" x14ac:dyDescent="0.2">
      <c r="L113">
        <v>16.100000000000001</v>
      </c>
      <c r="M113" s="55">
        <f t="shared" si="2"/>
        <v>805591.73244969978</v>
      </c>
      <c r="N113">
        <f t="shared" si="3"/>
        <v>16.100000000000001</v>
      </c>
    </row>
    <row r="114" spans="12:14" x14ac:dyDescent="0.2">
      <c r="L114">
        <v>16.2</v>
      </c>
      <c r="M114" s="55">
        <f t="shared" si="2"/>
        <v>815575.19658721774</v>
      </c>
      <c r="N114">
        <f t="shared" si="3"/>
        <v>16.2</v>
      </c>
    </row>
    <row r="115" spans="12:14" x14ac:dyDescent="0.2">
      <c r="L115">
        <v>16.3</v>
      </c>
      <c r="M115" s="55">
        <f t="shared" si="2"/>
        <v>825619.45682576811</v>
      </c>
      <c r="N115">
        <f t="shared" si="3"/>
        <v>16.3</v>
      </c>
    </row>
    <row r="116" spans="12:14" x14ac:dyDescent="0.2">
      <c r="L116">
        <v>16.399999999999999</v>
      </c>
      <c r="M116" s="55">
        <f t="shared" si="2"/>
        <v>835724.50059898</v>
      </c>
      <c r="N116">
        <f t="shared" si="3"/>
        <v>16.399999999999999</v>
      </c>
    </row>
    <row r="117" spans="12:14" x14ac:dyDescent="0.2">
      <c r="L117">
        <v>16.5</v>
      </c>
      <c r="M117" s="55">
        <f t="shared" si="2"/>
        <v>845890.3153404831</v>
      </c>
      <c r="N117">
        <f t="shared" si="3"/>
        <v>16.5</v>
      </c>
    </row>
    <row r="118" spans="12:14" x14ac:dyDescent="0.2">
      <c r="L118">
        <v>16.600000000000001</v>
      </c>
      <c r="M118" s="55">
        <f t="shared" si="2"/>
        <v>856116.88848390675</v>
      </c>
      <c r="N118">
        <f t="shared" si="3"/>
        <v>16.600000000000001</v>
      </c>
    </row>
    <row r="119" spans="12:14" x14ac:dyDescent="0.2">
      <c r="L119">
        <v>16.7</v>
      </c>
      <c r="M119" s="55">
        <f t="shared" si="2"/>
        <v>866404.20746287983</v>
      </c>
      <c r="N119">
        <f t="shared" si="3"/>
        <v>16.7</v>
      </c>
    </row>
    <row r="120" spans="12:14" x14ac:dyDescent="0.2">
      <c r="L120">
        <v>16.8</v>
      </c>
      <c r="M120" s="55">
        <f t="shared" si="2"/>
        <v>876752.25971103227</v>
      </c>
      <c r="N120">
        <f t="shared" si="3"/>
        <v>16.8</v>
      </c>
    </row>
    <row r="121" spans="12:14" x14ac:dyDescent="0.2">
      <c r="L121">
        <v>16.899999999999999</v>
      </c>
      <c r="M121" s="55">
        <f t="shared" si="2"/>
        <v>887161.03266199341</v>
      </c>
      <c r="N121">
        <f t="shared" si="3"/>
        <v>16.899999999999999</v>
      </c>
    </row>
    <row r="122" spans="12:14" x14ac:dyDescent="0.2">
      <c r="L122">
        <v>17</v>
      </c>
      <c r="M122" s="55">
        <f t="shared" si="2"/>
        <v>897630.51374939247</v>
      </c>
      <c r="N122">
        <f t="shared" si="3"/>
        <v>17</v>
      </c>
    </row>
    <row r="123" spans="12:14" x14ac:dyDescent="0.2">
      <c r="L123">
        <v>17.100000000000001</v>
      </c>
      <c r="M123" s="55">
        <f t="shared" si="2"/>
        <v>908160.6904068588</v>
      </c>
      <c r="N123">
        <f t="shared" si="3"/>
        <v>17.100000000000001</v>
      </c>
    </row>
    <row r="124" spans="12:14" x14ac:dyDescent="0.2">
      <c r="L124">
        <v>17.2</v>
      </c>
      <c r="M124" s="55">
        <f t="shared" si="2"/>
        <v>918751.55006802187</v>
      </c>
      <c r="N124">
        <f t="shared" si="3"/>
        <v>17.2</v>
      </c>
    </row>
    <row r="125" spans="12:14" x14ac:dyDescent="0.2">
      <c r="L125">
        <v>17.3</v>
      </c>
      <c r="M125" s="55">
        <f t="shared" si="2"/>
        <v>929403.08016651112</v>
      </c>
      <c r="N125">
        <f t="shared" si="3"/>
        <v>17.3</v>
      </c>
    </row>
    <row r="126" spans="12:14" x14ac:dyDescent="0.2">
      <c r="L126">
        <v>17.399999999999999</v>
      </c>
      <c r="M126" s="55">
        <f t="shared" si="2"/>
        <v>940115.26813595579</v>
      </c>
      <c r="N126">
        <f t="shared" si="3"/>
        <v>17.399999999999999</v>
      </c>
    </row>
    <row r="127" spans="12:14" x14ac:dyDescent="0.2">
      <c r="L127">
        <v>17.5</v>
      </c>
      <c r="M127" s="55">
        <f t="shared" si="2"/>
        <v>950888.10140998568</v>
      </c>
      <c r="N127">
        <f t="shared" si="3"/>
        <v>17.5</v>
      </c>
    </row>
    <row r="128" spans="12:14" x14ac:dyDescent="0.2">
      <c r="L128">
        <v>17.600000000000001</v>
      </c>
      <c r="M128" s="55">
        <f t="shared" si="2"/>
        <v>961721.56742222968</v>
      </c>
      <c r="N128">
        <f t="shared" si="3"/>
        <v>17.600000000000001</v>
      </c>
    </row>
    <row r="129" spans="12:14" x14ac:dyDescent="0.2">
      <c r="L129">
        <v>17.7</v>
      </c>
      <c r="M129" s="55">
        <f t="shared" si="2"/>
        <v>972615.65360631712</v>
      </c>
      <c r="N129">
        <f t="shared" si="3"/>
        <v>17.7</v>
      </c>
    </row>
    <row r="130" spans="12:14" x14ac:dyDescent="0.2">
      <c r="L130">
        <v>17.8</v>
      </c>
      <c r="M130" s="55">
        <f t="shared" ref="M130:M193" si="4">4/3*PI()*L130^3+PI()*L130^2*($K$2-2*L130)</f>
        <v>983570.34739587794</v>
      </c>
      <c r="N130">
        <f t="shared" ref="N130:N193" si="5">L130</f>
        <v>17.8</v>
      </c>
    </row>
    <row r="131" spans="12:14" x14ac:dyDescent="0.2">
      <c r="L131">
        <v>17.899999999999999</v>
      </c>
      <c r="M131" s="55">
        <f t="shared" si="4"/>
        <v>994585.63622454088</v>
      </c>
      <c r="N131">
        <f t="shared" si="5"/>
        <v>17.899999999999999</v>
      </c>
    </row>
    <row r="132" spans="12:14" x14ac:dyDescent="0.2">
      <c r="L132">
        <v>18</v>
      </c>
      <c r="M132" s="55">
        <f t="shared" si="4"/>
        <v>1005661.5075259358</v>
      </c>
      <c r="N132">
        <f t="shared" si="5"/>
        <v>18</v>
      </c>
    </row>
    <row r="133" spans="12:14" x14ac:dyDescent="0.2">
      <c r="L133">
        <v>18.100000000000001</v>
      </c>
      <c r="M133" s="55">
        <f t="shared" si="4"/>
        <v>1016797.9487336921</v>
      </c>
      <c r="N133">
        <f t="shared" si="5"/>
        <v>18.100000000000001</v>
      </c>
    </row>
    <row r="134" spans="12:14" x14ac:dyDescent="0.2">
      <c r="L134">
        <v>18.2</v>
      </c>
      <c r="M134" s="55">
        <f t="shared" si="4"/>
        <v>1027994.9472814387</v>
      </c>
      <c r="N134">
        <f t="shared" si="5"/>
        <v>18.2</v>
      </c>
    </row>
    <row r="135" spans="12:14" x14ac:dyDescent="0.2">
      <c r="L135">
        <v>18.3</v>
      </c>
      <c r="M135" s="55">
        <f t="shared" si="4"/>
        <v>1039252.4906028054</v>
      </c>
      <c r="N135">
        <f t="shared" si="5"/>
        <v>18.3</v>
      </c>
    </row>
    <row r="136" spans="12:14" x14ac:dyDescent="0.2">
      <c r="L136">
        <v>18.399999999999999</v>
      </c>
      <c r="M136" s="55">
        <f t="shared" si="4"/>
        <v>1050570.5661314214</v>
      </c>
      <c r="N136">
        <f t="shared" si="5"/>
        <v>18.399999999999999</v>
      </c>
    </row>
    <row r="137" spans="12:14" x14ac:dyDescent="0.2">
      <c r="L137">
        <v>18.5</v>
      </c>
      <c r="M137" s="55">
        <f t="shared" si="4"/>
        <v>1061949.1613009165</v>
      </c>
      <c r="N137">
        <f t="shared" si="5"/>
        <v>18.5</v>
      </c>
    </row>
    <row r="138" spans="12:14" x14ac:dyDescent="0.2">
      <c r="L138">
        <v>18.600000000000001</v>
      </c>
      <c r="M138" s="55">
        <f t="shared" si="4"/>
        <v>1073388.2635449194</v>
      </c>
      <c r="N138">
        <f t="shared" si="5"/>
        <v>18.600000000000001</v>
      </c>
    </row>
    <row r="139" spans="12:14" x14ac:dyDescent="0.2">
      <c r="L139">
        <v>18.7</v>
      </c>
      <c r="M139" s="55">
        <f t="shared" si="4"/>
        <v>1084887.8602970599</v>
      </c>
      <c r="N139">
        <f t="shared" si="5"/>
        <v>18.7</v>
      </c>
    </row>
    <row r="140" spans="12:14" x14ac:dyDescent="0.2">
      <c r="L140">
        <v>18.8</v>
      </c>
      <c r="M140" s="55">
        <f t="shared" si="4"/>
        <v>1096447.9389909673</v>
      </c>
      <c r="N140">
        <f t="shared" si="5"/>
        <v>18.8</v>
      </c>
    </row>
    <row r="141" spans="12:14" x14ac:dyDescent="0.2">
      <c r="L141">
        <v>18.899999999999999</v>
      </c>
      <c r="M141" s="55">
        <f t="shared" si="4"/>
        <v>1108068.4870602707</v>
      </c>
      <c r="N141">
        <f t="shared" si="5"/>
        <v>18.899999999999999</v>
      </c>
    </row>
    <row r="142" spans="12:14" x14ac:dyDescent="0.2">
      <c r="L142">
        <v>19</v>
      </c>
      <c r="M142" s="55">
        <f t="shared" si="4"/>
        <v>1119749.4919386003</v>
      </c>
      <c r="N142">
        <f t="shared" si="5"/>
        <v>19</v>
      </c>
    </row>
    <row r="143" spans="12:14" x14ac:dyDescent="0.2">
      <c r="L143">
        <v>19.099999999999898</v>
      </c>
      <c r="M143" s="55">
        <f t="shared" si="4"/>
        <v>1131490.9410595729</v>
      </c>
      <c r="N143">
        <f t="shared" si="5"/>
        <v>19.099999999999898</v>
      </c>
    </row>
    <row r="144" spans="12:14" x14ac:dyDescent="0.2">
      <c r="L144">
        <v>19.1999999999999</v>
      </c>
      <c r="M144" s="55">
        <f t="shared" si="4"/>
        <v>1143292.8218568421</v>
      </c>
      <c r="N144">
        <f t="shared" si="5"/>
        <v>19.1999999999999</v>
      </c>
    </row>
    <row r="145" spans="12:14" x14ac:dyDescent="0.2">
      <c r="L145">
        <v>19.299999999999901</v>
      </c>
      <c r="M145" s="55">
        <f t="shared" si="4"/>
        <v>1155155.121764025</v>
      </c>
      <c r="N145">
        <f t="shared" si="5"/>
        <v>19.299999999999901</v>
      </c>
    </row>
    <row r="146" spans="12:14" x14ac:dyDescent="0.2">
      <c r="L146">
        <v>19.399999999999899</v>
      </c>
      <c r="M146" s="55">
        <f t="shared" si="4"/>
        <v>1167077.8282147506</v>
      </c>
      <c r="N146">
        <f t="shared" si="5"/>
        <v>19.399999999999899</v>
      </c>
    </row>
    <row r="147" spans="12:14" x14ac:dyDescent="0.2">
      <c r="L147">
        <v>19.499999999999901</v>
      </c>
      <c r="M147" s="55">
        <f t="shared" si="4"/>
        <v>1179060.9286426492</v>
      </c>
      <c r="N147">
        <f t="shared" si="5"/>
        <v>19.499999999999901</v>
      </c>
    </row>
    <row r="148" spans="12:14" x14ac:dyDescent="0.2">
      <c r="L148">
        <v>19.599999999999898</v>
      </c>
      <c r="M148" s="55">
        <f t="shared" si="4"/>
        <v>1191104.4104813491</v>
      </c>
      <c r="N148">
        <f t="shared" si="5"/>
        <v>19.599999999999898</v>
      </c>
    </row>
    <row r="149" spans="12:14" x14ac:dyDescent="0.2">
      <c r="L149">
        <v>19.6999999999999</v>
      </c>
      <c r="M149" s="55">
        <f t="shared" si="4"/>
        <v>1203208.2611644815</v>
      </c>
      <c r="N149">
        <f t="shared" si="5"/>
        <v>19.6999999999999</v>
      </c>
    </row>
    <row r="150" spans="12:14" x14ac:dyDescent="0.2">
      <c r="L150">
        <v>19.799999999999901</v>
      </c>
      <c r="M150" s="55">
        <f t="shared" si="4"/>
        <v>1215372.4681256744</v>
      </c>
      <c r="N150">
        <f t="shared" si="5"/>
        <v>19.799999999999901</v>
      </c>
    </row>
    <row r="151" spans="12:14" x14ac:dyDescent="0.2">
      <c r="L151">
        <v>19.899999999999899</v>
      </c>
      <c r="M151" s="55">
        <f t="shared" si="4"/>
        <v>1227597.0187985571</v>
      </c>
      <c r="N151">
        <f t="shared" si="5"/>
        <v>19.899999999999899</v>
      </c>
    </row>
    <row r="152" spans="12:14" x14ac:dyDescent="0.2">
      <c r="L152">
        <v>19.999999999999901</v>
      </c>
      <c r="M152" s="55">
        <f t="shared" si="4"/>
        <v>1239881.9006167594</v>
      </c>
      <c r="N152">
        <f t="shared" si="5"/>
        <v>19.999999999999901</v>
      </c>
    </row>
    <row r="153" spans="12:14" x14ac:dyDescent="0.2">
      <c r="L153">
        <v>20.099999999999898</v>
      </c>
      <c r="M153" s="55">
        <f t="shared" si="4"/>
        <v>1252227.1010139105</v>
      </c>
      <c r="N153">
        <f t="shared" si="5"/>
        <v>20.099999999999898</v>
      </c>
    </row>
    <row r="154" spans="12:14" x14ac:dyDescent="0.2">
      <c r="L154">
        <v>20.1999999999999</v>
      </c>
      <c r="M154" s="55">
        <f t="shared" si="4"/>
        <v>1264632.6074236401</v>
      </c>
      <c r="N154">
        <f t="shared" si="5"/>
        <v>20.1999999999999</v>
      </c>
    </row>
    <row r="155" spans="12:14" x14ac:dyDescent="0.2">
      <c r="L155">
        <v>20.299999999999901</v>
      </c>
      <c r="M155" s="55">
        <f t="shared" si="4"/>
        <v>1277098.4072795778</v>
      </c>
      <c r="N155">
        <f t="shared" si="5"/>
        <v>20.299999999999901</v>
      </c>
    </row>
    <row r="156" spans="12:14" x14ac:dyDescent="0.2">
      <c r="L156">
        <v>20.399999999999899</v>
      </c>
      <c r="M156" s="55">
        <f t="shared" si="4"/>
        <v>1289624.4880153516</v>
      </c>
      <c r="N156">
        <f t="shared" si="5"/>
        <v>20.399999999999899</v>
      </c>
    </row>
    <row r="157" spans="12:14" x14ac:dyDescent="0.2">
      <c r="L157">
        <v>20.499999999999901</v>
      </c>
      <c r="M157" s="55">
        <f t="shared" si="4"/>
        <v>1302210.8370645929</v>
      </c>
      <c r="N157">
        <f t="shared" si="5"/>
        <v>20.499999999999901</v>
      </c>
    </row>
    <row r="158" spans="12:14" x14ac:dyDescent="0.2">
      <c r="L158">
        <v>20.599999999999898</v>
      </c>
      <c r="M158" s="55">
        <f t="shared" si="4"/>
        <v>1314857.4418609291</v>
      </c>
      <c r="N158">
        <f t="shared" si="5"/>
        <v>20.599999999999898</v>
      </c>
    </row>
    <row r="159" spans="12:14" x14ac:dyDescent="0.2">
      <c r="L159">
        <v>20.6999999999999</v>
      </c>
      <c r="M159" s="55">
        <f t="shared" si="4"/>
        <v>1327564.2898379914</v>
      </c>
      <c r="N159">
        <f t="shared" si="5"/>
        <v>20.6999999999999</v>
      </c>
    </row>
    <row r="160" spans="12:14" x14ac:dyDescent="0.2">
      <c r="L160">
        <v>20.799999999999901</v>
      </c>
      <c r="M160" s="55">
        <f t="shared" si="4"/>
        <v>1340331.3684294082</v>
      </c>
      <c r="N160">
        <f t="shared" si="5"/>
        <v>20.799999999999901</v>
      </c>
    </row>
    <row r="161" spans="12:14" x14ac:dyDescent="0.2">
      <c r="L161">
        <v>20.899999999999899</v>
      </c>
      <c r="M161" s="55">
        <f t="shared" si="4"/>
        <v>1353158.6650688085</v>
      </c>
      <c r="N161">
        <f t="shared" si="5"/>
        <v>20.899999999999899</v>
      </c>
    </row>
    <row r="162" spans="12:14" x14ac:dyDescent="0.2">
      <c r="L162">
        <v>20.999999999999901</v>
      </c>
      <c r="M162" s="55">
        <f t="shared" si="4"/>
        <v>1366046.1671898223</v>
      </c>
      <c r="N162">
        <f t="shared" si="5"/>
        <v>20.999999999999901</v>
      </c>
    </row>
    <row r="163" spans="12:14" x14ac:dyDescent="0.2">
      <c r="L163">
        <v>21.099999999999898</v>
      </c>
      <c r="M163" s="55">
        <f t="shared" si="4"/>
        <v>1378993.862226079</v>
      </c>
      <c r="N163">
        <f t="shared" si="5"/>
        <v>21.099999999999898</v>
      </c>
    </row>
    <row r="164" spans="12:14" x14ac:dyDescent="0.2">
      <c r="L164">
        <v>21.1999999999999</v>
      </c>
      <c r="M164" s="55">
        <f t="shared" si="4"/>
        <v>1392001.7376112081</v>
      </c>
      <c r="N164">
        <f t="shared" si="5"/>
        <v>21.1999999999999</v>
      </c>
    </row>
    <row r="165" spans="12:14" x14ac:dyDescent="0.2">
      <c r="L165">
        <v>21.299999999999901</v>
      </c>
      <c r="M165" s="55">
        <f t="shared" si="4"/>
        <v>1405069.7807788388</v>
      </c>
      <c r="N165">
        <f t="shared" si="5"/>
        <v>21.299999999999901</v>
      </c>
    </row>
    <row r="166" spans="12:14" x14ac:dyDescent="0.2">
      <c r="L166">
        <v>21.399999999999899</v>
      </c>
      <c r="M166" s="55">
        <f t="shared" si="4"/>
        <v>1418197.9791625997</v>
      </c>
      <c r="N166">
        <f t="shared" si="5"/>
        <v>21.399999999999899</v>
      </c>
    </row>
    <row r="167" spans="12:14" x14ac:dyDescent="0.2">
      <c r="L167">
        <v>21.499999999999901</v>
      </c>
      <c r="M167" s="55">
        <f t="shared" si="4"/>
        <v>1431386.3201961217</v>
      </c>
      <c r="N167">
        <f t="shared" si="5"/>
        <v>21.499999999999901</v>
      </c>
    </row>
    <row r="168" spans="12:14" x14ac:dyDescent="0.2">
      <c r="L168">
        <v>21.599999999999898</v>
      </c>
      <c r="M168" s="55">
        <f t="shared" si="4"/>
        <v>1444634.7913130331</v>
      </c>
      <c r="N168">
        <f t="shared" si="5"/>
        <v>21.599999999999898</v>
      </c>
    </row>
    <row r="169" spans="12:14" x14ac:dyDescent="0.2">
      <c r="L169">
        <v>21.6999999999999</v>
      </c>
      <c r="M169" s="55">
        <f t="shared" si="4"/>
        <v>1457943.3799469636</v>
      </c>
      <c r="N169">
        <f t="shared" si="5"/>
        <v>21.6999999999999</v>
      </c>
    </row>
    <row r="170" spans="12:14" x14ac:dyDescent="0.2">
      <c r="L170">
        <v>21.799999999999901</v>
      </c>
      <c r="M170" s="55">
        <f t="shared" si="4"/>
        <v>1471312.0735315429</v>
      </c>
      <c r="N170">
        <f t="shared" si="5"/>
        <v>21.799999999999901</v>
      </c>
    </row>
    <row r="171" spans="12:14" x14ac:dyDescent="0.2">
      <c r="L171">
        <v>21.899999999999899</v>
      </c>
      <c r="M171" s="55">
        <f t="shared" si="4"/>
        <v>1484740.8595003993</v>
      </c>
      <c r="N171">
        <f t="shared" si="5"/>
        <v>21.899999999999899</v>
      </c>
    </row>
    <row r="172" spans="12:14" x14ac:dyDescent="0.2">
      <c r="L172">
        <v>21.999999999999901</v>
      </c>
      <c r="M172" s="55">
        <f t="shared" si="4"/>
        <v>1498229.7252871636</v>
      </c>
      <c r="N172">
        <f t="shared" si="5"/>
        <v>21.999999999999901</v>
      </c>
    </row>
    <row r="173" spans="12:14" x14ac:dyDescent="0.2">
      <c r="L173">
        <v>22.099999999999898</v>
      </c>
      <c r="M173" s="55">
        <f t="shared" si="4"/>
        <v>1511778.6583254642</v>
      </c>
      <c r="N173">
        <f t="shared" si="5"/>
        <v>22.099999999999898</v>
      </c>
    </row>
    <row r="174" spans="12:14" x14ac:dyDescent="0.2">
      <c r="L174">
        <v>22.1999999999999</v>
      </c>
      <c r="M174" s="55">
        <f t="shared" si="4"/>
        <v>1525387.6460489312</v>
      </c>
      <c r="N174">
        <f t="shared" si="5"/>
        <v>22.1999999999999</v>
      </c>
    </row>
    <row r="175" spans="12:14" x14ac:dyDescent="0.2">
      <c r="L175">
        <v>22.299999999999901</v>
      </c>
      <c r="M175" s="55">
        <f t="shared" si="4"/>
        <v>1539056.6758911936</v>
      </c>
      <c r="N175">
        <f t="shared" si="5"/>
        <v>22.299999999999901</v>
      </c>
    </row>
    <row r="176" spans="12:14" x14ac:dyDescent="0.2">
      <c r="L176">
        <v>22.399999999999899</v>
      </c>
      <c r="M176" s="55">
        <f t="shared" si="4"/>
        <v>1552785.7352858803</v>
      </c>
      <c r="N176">
        <f t="shared" si="5"/>
        <v>22.399999999999899</v>
      </c>
    </row>
    <row r="177" spans="12:14" x14ac:dyDescent="0.2">
      <c r="L177">
        <v>22.499999999999901</v>
      </c>
      <c r="M177" s="55">
        <f t="shared" si="4"/>
        <v>1566574.8116666214</v>
      </c>
      <c r="N177">
        <f t="shared" si="5"/>
        <v>22.499999999999901</v>
      </c>
    </row>
    <row r="178" spans="12:14" x14ac:dyDescent="0.2">
      <c r="L178">
        <v>22.599999999999898</v>
      </c>
      <c r="M178" s="55">
        <f t="shared" si="4"/>
        <v>1580423.8924670457</v>
      </c>
      <c r="N178">
        <f t="shared" si="5"/>
        <v>22.599999999999898</v>
      </c>
    </row>
    <row r="179" spans="12:14" x14ac:dyDescent="0.2">
      <c r="L179">
        <v>22.6999999999999</v>
      </c>
      <c r="M179" s="55">
        <f t="shared" si="4"/>
        <v>1594332.9651207838</v>
      </c>
      <c r="N179">
        <f t="shared" si="5"/>
        <v>22.6999999999999</v>
      </c>
    </row>
    <row r="180" spans="12:14" x14ac:dyDescent="0.2">
      <c r="L180">
        <v>22.799999999999901</v>
      </c>
      <c r="M180" s="55">
        <f t="shared" si="4"/>
        <v>1608302.017061464</v>
      </c>
      <c r="N180">
        <f t="shared" si="5"/>
        <v>22.799999999999901</v>
      </c>
    </row>
    <row r="181" spans="12:14" x14ac:dyDescent="0.2">
      <c r="L181">
        <v>22.899999999999899</v>
      </c>
      <c r="M181" s="55">
        <f t="shared" si="4"/>
        <v>1622331.0357227155</v>
      </c>
      <c r="N181">
        <f t="shared" si="5"/>
        <v>22.899999999999899</v>
      </c>
    </row>
    <row r="182" spans="12:14" x14ac:dyDescent="0.2">
      <c r="L182">
        <v>22.999999999999901</v>
      </c>
      <c r="M182" s="55">
        <f t="shared" si="4"/>
        <v>1636420.0085381686</v>
      </c>
      <c r="N182">
        <f t="shared" si="5"/>
        <v>22.999999999999901</v>
      </c>
    </row>
    <row r="183" spans="12:14" x14ac:dyDescent="0.2">
      <c r="L183">
        <v>23.099999999999898</v>
      </c>
      <c r="M183" s="55">
        <f t="shared" si="4"/>
        <v>1650568.9229414517</v>
      </c>
      <c r="N183">
        <f t="shared" si="5"/>
        <v>23.099999999999898</v>
      </c>
    </row>
    <row r="184" spans="12:14" x14ac:dyDescent="0.2">
      <c r="L184">
        <v>23.1999999999999</v>
      </c>
      <c r="M184" s="55">
        <f t="shared" si="4"/>
        <v>1664777.7663661949</v>
      </c>
      <c r="N184">
        <f t="shared" si="5"/>
        <v>23.1999999999999</v>
      </c>
    </row>
    <row r="185" spans="12:14" x14ac:dyDescent="0.2">
      <c r="L185">
        <v>23.299999999999901</v>
      </c>
      <c r="M185" s="55">
        <f t="shared" si="4"/>
        <v>1679046.5262460278</v>
      </c>
      <c r="N185">
        <f t="shared" si="5"/>
        <v>23.299999999999901</v>
      </c>
    </row>
    <row r="186" spans="12:14" x14ac:dyDescent="0.2">
      <c r="L186">
        <v>23.399999999999899</v>
      </c>
      <c r="M186" s="55">
        <f t="shared" si="4"/>
        <v>1693375.1900145784</v>
      </c>
      <c r="N186">
        <f t="shared" si="5"/>
        <v>23.399999999999899</v>
      </c>
    </row>
    <row r="187" spans="12:14" x14ac:dyDescent="0.2">
      <c r="L187">
        <v>23.499999999999901</v>
      </c>
      <c r="M187" s="55">
        <f t="shared" si="4"/>
        <v>1707763.745105478</v>
      </c>
      <c r="N187">
        <f t="shared" si="5"/>
        <v>23.499999999999901</v>
      </c>
    </row>
    <row r="188" spans="12:14" x14ac:dyDescent="0.2">
      <c r="L188">
        <v>23.599999999999898</v>
      </c>
      <c r="M188" s="55">
        <f t="shared" si="4"/>
        <v>1722212.178952354</v>
      </c>
      <c r="N188">
        <f t="shared" si="5"/>
        <v>23.599999999999898</v>
      </c>
    </row>
    <row r="189" spans="12:14" x14ac:dyDescent="0.2">
      <c r="L189">
        <v>23.6999999999999</v>
      </c>
      <c r="M189" s="55">
        <f t="shared" si="4"/>
        <v>1736720.4789888379</v>
      </c>
      <c r="N189">
        <f t="shared" si="5"/>
        <v>23.6999999999999</v>
      </c>
    </row>
    <row r="190" spans="12:14" x14ac:dyDescent="0.2">
      <c r="L190">
        <v>23.799999999999901</v>
      </c>
      <c r="M190" s="55">
        <f t="shared" si="4"/>
        <v>1751288.6326485574</v>
      </c>
      <c r="N190">
        <f t="shared" si="5"/>
        <v>23.799999999999901</v>
      </c>
    </row>
    <row r="191" spans="12:14" x14ac:dyDescent="0.2">
      <c r="L191">
        <v>23.899999999999899</v>
      </c>
      <c r="M191" s="55">
        <f t="shared" si="4"/>
        <v>1765916.6273651421</v>
      </c>
      <c r="N191">
        <f t="shared" si="5"/>
        <v>23.899999999999899</v>
      </c>
    </row>
    <row r="192" spans="12:14" x14ac:dyDescent="0.2">
      <c r="L192">
        <v>23.999999999999901</v>
      </c>
      <c r="M192" s="55">
        <f t="shared" si="4"/>
        <v>1780604.4505722227</v>
      </c>
      <c r="N192">
        <f t="shared" si="5"/>
        <v>23.999999999999901</v>
      </c>
    </row>
    <row r="193" spans="12:14" x14ac:dyDescent="0.2">
      <c r="L193">
        <v>24.099999999999898</v>
      </c>
      <c r="M193" s="55">
        <f t="shared" si="4"/>
        <v>1795352.0897034267</v>
      </c>
      <c r="N193">
        <f t="shared" si="5"/>
        <v>24.099999999999898</v>
      </c>
    </row>
    <row r="194" spans="12:14" x14ac:dyDescent="0.2">
      <c r="L194">
        <v>24.1999999999999</v>
      </c>
      <c r="M194" s="55">
        <f t="shared" ref="M194:M257" si="6">4/3*PI()*L194^3+PI()*L194^2*($K$2-2*L194)</f>
        <v>1810159.5321923851</v>
      </c>
      <c r="N194">
        <f t="shared" ref="N194:N257" si="7">L194</f>
        <v>24.1999999999999</v>
      </c>
    </row>
    <row r="195" spans="12:14" x14ac:dyDescent="0.2">
      <c r="L195">
        <v>24.299999999999901</v>
      </c>
      <c r="M195" s="55">
        <f t="shared" si="6"/>
        <v>1825026.7654727269</v>
      </c>
      <c r="N195">
        <f t="shared" si="7"/>
        <v>24.299999999999901</v>
      </c>
    </row>
    <row r="196" spans="12:14" x14ac:dyDescent="0.2">
      <c r="L196">
        <v>24.399999999999899</v>
      </c>
      <c r="M196" s="55">
        <f t="shared" si="6"/>
        <v>1839953.7769780804</v>
      </c>
      <c r="N196">
        <f t="shared" si="7"/>
        <v>24.399999999999899</v>
      </c>
    </row>
    <row r="197" spans="12:14" x14ac:dyDescent="0.2">
      <c r="L197">
        <v>24.499999999999901</v>
      </c>
      <c r="M197" s="55">
        <f t="shared" si="6"/>
        <v>1854940.5541420763</v>
      </c>
      <c r="N197">
        <f t="shared" si="7"/>
        <v>24.499999999999901</v>
      </c>
    </row>
    <row r="198" spans="12:14" x14ac:dyDescent="0.2">
      <c r="L198">
        <v>24.599999999999898</v>
      </c>
      <c r="M198" s="55">
        <f t="shared" si="6"/>
        <v>1869987.0843983428</v>
      </c>
      <c r="N198">
        <f t="shared" si="7"/>
        <v>24.599999999999898</v>
      </c>
    </row>
    <row r="199" spans="12:14" x14ac:dyDescent="0.2">
      <c r="L199">
        <v>24.6999999999999</v>
      </c>
      <c r="M199" s="55">
        <f t="shared" si="6"/>
        <v>1885093.355180511</v>
      </c>
      <c r="N199">
        <f t="shared" si="7"/>
        <v>24.6999999999999</v>
      </c>
    </row>
    <row r="200" spans="12:14" x14ac:dyDescent="0.2">
      <c r="L200">
        <v>24.799999999999901</v>
      </c>
      <c r="M200" s="55">
        <f t="shared" si="6"/>
        <v>1900259.3539222088</v>
      </c>
      <c r="N200">
        <f t="shared" si="7"/>
        <v>24.799999999999901</v>
      </c>
    </row>
    <row r="201" spans="12:14" x14ac:dyDescent="0.2">
      <c r="L201">
        <v>24.899999999999899</v>
      </c>
      <c r="M201" s="55">
        <f t="shared" si="6"/>
        <v>1915485.0680570656</v>
      </c>
      <c r="N201">
        <f t="shared" si="7"/>
        <v>24.899999999999899</v>
      </c>
    </row>
    <row r="202" spans="12:14" x14ac:dyDescent="0.2">
      <c r="L202">
        <v>24.999999999999901</v>
      </c>
      <c r="M202" s="55">
        <f t="shared" si="6"/>
        <v>1930770.485018712</v>
      </c>
      <c r="N202">
        <f t="shared" si="7"/>
        <v>24.999999999999901</v>
      </c>
    </row>
    <row r="203" spans="12:14" x14ac:dyDescent="0.2">
      <c r="L203">
        <v>25.099999999999898</v>
      </c>
      <c r="M203" s="55">
        <f t="shared" si="6"/>
        <v>1946115.5922407757</v>
      </c>
      <c r="N203">
        <f t="shared" si="7"/>
        <v>25.099999999999898</v>
      </c>
    </row>
    <row r="204" spans="12:14" x14ac:dyDescent="0.2">
      <c r="L204">
        <v>25.1999999999999</v>
      </c>
      <c r="M204" s="55">
        <f t="shared" si="6"/>
        <v>1961520.3771568877</v>
      </c>
      <c r="N204">
        <f t="shared" si="7"/>
        <v>25.1999999999999</v>
      </c>
    </row>
    <row r="205" spans="12:14" x14ac:dyDescent="0.2">
      <c r="L205">
        <v>25.299999999999901</v>
      </c>
      <c r="M205" s="55">
        <f t="shared" si="6"/>
        <v>1976984.8272006765</v>
      </c>
      <c r="N205">
        <f t="shared" si="7"/>
        <v>25.299999999999901</v>
      </c>
    </row>
    <row r="206" spans="12:14" x14ac:dyDescent="0.2">
      <c r="L206">
        <v>25.399999999999899</v>
      </c>
      <c r="M206" s="55">
        <f t="shared" si="6"/>
        <v>1992508.9298057712</v>
      </c>
      <c r="N206">
        <f t="shared" si="7"/>
        <v>25.399999999999899</v>
      </c>
    </row>
    <row r="207" spans="12:14" x14ac:dyDescent="0.2">
      <c r="L207">
        <v>25.499999999999901</v>
      </c>
      <c r="M207" s="55">
        <f t="shared" si="6"/>
        <v>2008092.6724058022</v>
      </c>
      <c r="N207">
        <f t="shared" si="7"/>
        <v>25.499999999999901</v>
      </c>
    </row>
    <row r="208" spans="12:14" x14ac:dyDescent="0.2">
      <c r="L208">
        <v>25.599999999999898</v>
      </c>
      <c r="M208" s="55">
        <f t="shared" si="6"/>
        <v>2023736.0424343981</v>
      </c>
      <c r="N208">
        <f t="shared" si="7"/>
        <v>25.599999999999898</v>
      </c>
    </row>
    <row r="209" spans="12:14" x14ac:dyDescent="0.2">
      <c r="L209">
        <v>25.6999999999999</v>
      </c>
      <c r="M209" s="55">
        <f t="shared" si="6"/>
        <v>2039439.0273251892</v>
      </c>
      <c r="N209">
        <f t="shared" si="7"/>
        <v>25.6999999999999</v>
      </c>
    </row>
    <row r="210" spans="12:14" x14ac:dyDescent="0.2">
      <c r="L210">
        <v>25.799999999999901</v>
      </c>
      <c r="M210" s="55">
        <f t="shared" si="6"/>
        <v>2055201.6145118035</v>
      </c>
      <c r="N210">
        <f t="shared" si="7"/>
        <v>25.799999999999901</v>
      </c>
    </row>
    <row r="211" spans="12:14" x14ac:dyDescent="0.2">
      <c r="L211">
        <v>25.899999999999899</v>
      </c>
      <c r="M211" s="55">
        <f t="shared" si="6"/>
        <v>2071023.791427871</v>
      </c>
      <c r="N211">
        <f t="shared" si="7"/>
        <v>25.899999999999899</v>
      </c>
    </row>
    <row r="212" spans="12:14" x14ac:dyDescent="0.2">
      <c r="L212">
        <v>25.999999999999901</v>
      </c>
      <c r="M212" s="55">
        <f t="shared" si="6"/>
        <v>2086905.5455070215</v>
      </c>
      <c r="N212">
        <f t="shared" si="7"/>
        <v>25.999999999999901</v>
      </c>
    </row>
    <row r="213" spans="12:14" x14ac:dyDescent="0.2">
      <c r="L213">
        <v>26.099999999999898</v>
      </c>
      <c r="M213" s="55">
        <f t="shared" si="6"/>
        <v>2102846.8641828839</v>
      </c>
      <c r="N213">
        <f t="shared" si="7"/>
        <v>26.099999999999898</v>
      </c>
    </row>
    <row r="214" spans="12:14" x14ac:dyDescent="0.2">
      <c r="L214">
        <v>26.1999999999999</v>
      </c>
      <c r="M214" s="55">
        <f t="shared" si="6"/>
        <v>2118847.7348890877</v>
      </c>
      <c r="N214">
        <f t="shared" si="7"/>
        <v>26.1999999999999</v>
      </c>
    </row>
    <row r="215" spans="12:14" x14ac:dyDescent="0.2">
      <c r="L215">
        <v>26.299999999999901</v>
      </c>
      <c r="M215" s="55">
        <f t="shared" si="6"/>
        <v>2134908.1450592629</v>
      </c>
      <c r="N215">
        <f t="shared" si="7"/>
        <v>26.299999999999901</v>
      </c>
    </row>
    <row r="216" spans="12:14" x14ac:dyDescent="0.2">
      <c r="L216">
        <v>26.399999999999899</v>
      </c>
      <c r="M216" s="55">
        <f t="shared" si="6"/>
        <v>2151028.082127037</v>
      </c>
      <c r="N216">
        <f t="shared" si="7"/>
        <v>26.399999999999899</v>
      </c>
    </row>
    <row r="217" spans="12:14" x14ac:dyDescent="0.2">
      <c r="L217">
        <v>26.499999999999901</v>
      </c>
      <c r="M217" s="55">
        <f t="shared" si="6"/>
        <v>2167207.5335260425</v>
      </c>
      <c r="N217">
        <f t="shared" si="7"/>
        <v>26.499999999999901</v>
      </c>
    </row>
    <row r="218" spans="12:14" x14ac:dyDescent="0.2">
      <c r="L218">
        <v>26.599999999999898</v>
      </c>
      <c r="M218" s="55">
        <f t="shared" si="6"/>
        <v>2183446.4866899056</v>
      </c>
      <c r="N218">
        <f t="shared" si="7"/>
        <v>26.599999999999898</v>
      </c>
    </row>
    <row r="219" spans="12:14" x14ac:dyDescent="0.2">
      <c r="L219">
        <v>26.6999999999999</v>
      </c>
      <c r="M219" s="55">
        <f t="shared" si="6"/>
        <v>2199744.9290522574</v>
      </c>
      <c r="N219">
        <f t="shared" si="7"/>
        <v>26.6999999999999</v>
      </c>
    </row>
    <row r="220" spans="12:14" x14ac:dyDescent="0.2">
      <c r="L220">
        <v>26.799999999999901</v>
      </c>
      <c r="M220" s="55">
        <f t="shared" si="6"/>
        <v>2216102.848046727</v>
      </c>
      <c r="N220">
        <f t="shared" si="7"/>
        <v>26.799999999999901</v>
      </c>
    </row>
    <row r="221" spans="12:14" x14ac:dyDescent="0.2">
      <c r="L221">
        <v>26.899999999999899</v>
      </c>
      <c r="M221" s="55">
        <f t="shared" si="6"/>
        <v>2232520.2311069439</v>
      </c>
      <c r="N221">
        <f t="shared" si="7"/>
        <v>26.899999999999899</v>
      </c>
    </row>
    <row r="222" spans="12:14" x14ac:dyDescent="0.2">
      <c r="L222">
        <v>26.999999999999901</v>
      </c>
      <c r="M222" s="55">
        <f t="shared" si="6"/>
        <v>2248997.0656665373</v>
      </c>
      <c r="N222">
        <f t="shared" si="7"/>
        <v>26.999999999999901</v>
      </c>
    </row>
    <row r="223" spans="12:14" x14ac:dyDescent="0.2">
      <c r="L223">
        <v>27.099999999999898</v>
      </c>
      <c r="M223" s="55">
        <f t="shared" si="6"/>
        <v>2265533.3391591362</v>
      </c>
      <c r="N223">
        <f t="shared" si="7"/>
        <v>27.099999999999898</v>
      </c>
    </row>
    <row r="224" spans="12:14" x14ac:dyDescent="0.2">
      <c r="L224">
        <v>27.1999999999999</v>
      </c>
      <c r="M224" s="55">
        <f t="shared" si="6"/>
        <v>2282129.0390183711</v>
      </c>
      <c r="N224">
        <f t="shared" si="7"/>
        <v>27.1999999999999</v>
      </c>
    </row>
    <row r="225" spans="12:14" x14ac:dyDescent="0.2">
      <c r="L225">
        <v>27.299999999999901</v>
      </c>
      <c r="M225" s="55">
        <f t="shared" si="6"/>
        <v>2298784.1526778713</v>
      </c>
      <c r="N225">
        <f t="shared" si="7"/>
        <v>27.299999999999901</v>
      </c>
    </row>
    <row r="226" spans="12:14" x14ac:dyDescent="0.2">
      <c r="L226">
        <v>27.399999999999899</v>
      </c>
      <c r="M226" s="55">
        <f t="shared" si="6"/>
        <v>2315498.6675712634</v>
      </c>
      <c r="N226">
        <f t="shared" si="7"/>
        <v>27.399999999999899</v>
      </c>
    </row>
    <row r="227" spans="12:14" x14ac:dyDescent="0.2">
      <c r="L227">
        <v>27.499999999999901</v>
      </c>
      <c r="M227" s="55">
        <f t="shared" si="6"/>
        <v>2332272.5711321807</v>
      </c>
      <c r="N227">
        <f t="shared" si="7"/>
        <v>27.499999999999901</v>
      </c>
    </row>
    <row r="228" spans="12:14" x14ac:dyDescent="0.2">
      <c r="L228">
        <v>27.599999999999898</v>
      </c>
      <c r="M228" s="55">
        <f t="shared" si="6"/>
        <v>2349105.8507942501</v>
      </c>
      <c r="N228">
        <f t="shared" si="7"/>
        <v>27.599999999999898</v>
      </c>
    </row>
    <row r="229" spans="12:14" x14ac:dyDescent="0.2">
      <c r="L229">
        <v>27.6999999999999</v>
      </c>
      <c r="M229" s="55">
        <f t="shared" si="6"/>
        <v>2365998.4939911021</v>
      </c>
      <c r="N229">
        <f t="shared" si="7"/>
        <v>27.6999999999999</v>
      </c>
    </row>
    <row r="230" spans="12:14" x14ac:dyDescent="0.2">
      <c r="L230">
        <v>27.799999999999901</v>
      </c>
      <c r="M230" s="55">
        <f t="shared" si="6"/>
        <v>2382950.4881563662</v>
      </c>
      <c r="N230">
        <f t="shared" si="7"/>
        <v>27.799999999999901</v>
      </c>
    </row>
    <row r="231" spans="12:14" x14ac:dyDescent="0.2">
      <c r="L231">
        <v>27.899999999999899</v>
      </c>
      <c r="M231" s="55">
        <f t="shared" si="6"/>
        <v>2399961.8207236701</v>
      </c>
      <c r="N231">
        <f t="shared" si="7"/>
        <v>27.899999999999899</v>
      </c>
    </row>
    <row r="232" spans="12:14" x14ac:dyDescent="0.2">
      <c r="L232">
        <v>27.999999999999901</v>
      </c>
      <c r="M232" s="55">
        <f t="shared" si="6"/>
        <v>2417032.4791266457</v>
      </c>
      <c r="N232">
        <f t="shared" si="7"/>
        <v>27.999999999999901</v>
      </c>
    </row>
    <row r="233" spans="12:14" x14ac:dyDescent="0.2">
      <c r="L233">
        <v>28.099999999999898</v>
      </c>
      <c r="M233" s="55">
        <f t="shared" si="6"/>
        <v>2434162.4507989199</v>
      </c>
      <c r="N233">
        <f t="shared" si="7"/>
        <v>28.099999999999898</v>
      </c>
    </row>
    <row r="234" spans="12:14" x14ac:dyDescent="0.2">
      <c r="L234">
        <v>28.1999999999999</v>
      </c>
      <c r="M234" s="55">
        <f t="shared" si="6"/>
        <v>2451351.723174124</v>
      </c>
      <c r="N234">
        <f t="shared" si="7"/>
        <v>28.1999999999999</v>
      </c>
    </row>
    <row r="235" spans="12:14" x14ac:dyDescent="0.2">
      <c r="L235">
        <v>28.299999999999901</v>
      </c>
      <c r="M235" s="55">
        <f t="shared" si="6"/>
        <v>2468600.2836858863</v>
      </c>
      <c r="N235">
        <f t="shared" si="7"/>
        <v>28.299999999999901</v>
      </c>
    </row>
    <row r="236" spans="12:14" x14ac:dyDescent="0.2">
      <c r="L236">
        <v>28.399999999999899</v>
      </c>
      <c r="M236" s="55">
        <f t="shared" si="6"/>
        <v>2485908.1197678358</v>
      </c>
      <c r="N236">
        <f t="shared" si="7"/>
        <v>28.399999999999899</v>
      </c>
    </row>
    <row r="237" spans="12:14" x14ac:dyDescent="0.2">
      <c r="L237">
        <v>28.499999999999901</v>
      </c>
      <c r="M237" s="55">
        <f t="shared" si="6"/>
        <v>2503275.2188536045</v>
      </c>
      <c r="N237">
        <f t="shared" si="7"/>
        <v>28.499999999999901</v>
      </c>
    </row>
    <row r="238" spans="12:14" x14ac:dyDescent="0.2">
      <c r="L238">
        <v>28.599999999999898</v>
      </c>
      <c r="M238" s="55">
        <f t="shared" si="6"/>
        <v>2520701.5683768182</v>
      </c>
      <c r="N238">
        <f t="shared" si="7"/>
        <v>28.599999999999898</v>
      </c>
    </row>
    <row r="239" spans="12:14" x14ac:dyDescent="0.2">
      <c r="L239">
        <v>28.6999999999999</v>
      </c>
      <c r="M239" s="55">
        <f t="shared" si="6"/>
        <v>2538187.1557711088</v>
      </c>
      <c r="N239">
        <f t="shared" si="7"/>
        <v>28.6999999999999</v>
      </c>
    </row>
    <row r="240" spans="12:14" x14ac:dyDescent="0.2">
      <c r="L240">
        <v>28.799999999999901</v>
      </c>
      <c r="M240" s="55">
        <f t="shared" si="6"/>
        <v>2555731.9684701054</v>
      </c>
      <c r="N240">
        <f t="shared" si="7"/>
        <v>28.799999999999901</v>
      </c>
    </row>
    <row r="241" spans="12:14" x14ac:dyDescent="0.2">
      <c r="L241">
        <v>28.899999999999899</v>
      </c>
      <c r="M241" s="55">
        <f t="shared" si="6"/>
        <v>2573335.9939074353</v>
      </c>
      <c r="N241">
        <f t="shared" si="7"/>
        <v>28.899999999999899</v>
      </c>
    </row>
    <row r="242" spans="12:14" x14ac:dyDescent="0.2">
      <c r="L242">
        <v>28.999999999999901</v>
      </c>
      <c r="M242" s="55">
        <f t="shared" si="6"/>
        <v>2590999.2195167309</v>
      </c>
      <c r="N242">
        <f t="shared" si="7"/>
        <v>28.999999999999901</v>
      </c>
    </row>
    <row r="243" spans="12:14" x14ac:dyDescent="0.2">
      <c r="L243">
        <v>29.099999999999898</v>
      </c>
      <c r="M243" s="55">
        <f t="shared" si="6"/>
        <v>2608721.6327316188</v>
      </c>
      <c r="N243">
        <f t="shared" si="7"/>
        <v>29.099999999999898</v>
      </c>
    </row>
    <row r="244" spans="12:14" x14ac:dyDescent="0.2">
      <c r="L244">
        <v>29.1999999999999</v>
      </c>
      <c r="M244" s="55">
        <f t="shared" si="6"/>
        <v>2626503.2209857311</v>
      </c>
      <c r="N244">
        <f t="shared" si="7"/>
        <v>29.1999999999999</v>
      </c>
    </row>
    <row r="245" spans="12:14" x14ac:dyDescent="0.2">
      <c r="L245">
        <v>29.299999999999901</v>
      </c>
      <c r="M245" s="55">
        <f t="shared" si="6"/>
        <v>2644343.971712695</v>
      </c>
      <c r="N245">
        <f t="shared" si="7"/>
        <v>29.299999999999901</v>
      </c>
    </row>
    <row r="246" spans="12:14" x14ac:dyDescent="0.2">
      <c r="L246">
        <v>29.399999999999899</v>
      </c>
      <c r="M246" s="55">
        <f t="shared" si="6"/>
        <v>2662243.8723461404</v>
      </c>
      <c r="N246">
        <f t="shared" si="7"/>
        <v>29.399999999999899</v>
      </c>
    </row>
    <row r="247" spans="12:14" x14ac:dyDescent="0.2">
      <c r="L247">
        <v>29.499999999999901</v>
      </c>
      <c r="M247" s="55">
        <f t="shared" si="6"/>
        <v>2680202.910319698</v>
      </c>
      <c r="N247">
        <f t="shared" si="7"/>
        <v>29.499999999999901</v>
      </c>
    </row>
    <row r="248" spans="12:14" x14ac:dyDescent="0.2">
      <c r="L248">
        <v>29.599999999999898</v>
      </c>
      <c r="M248" s="55">
        <f t="shared" si="6"/>
        <v>2698221.073066995</v>
      </c>
      <c r="N248">
        <f t="shared" si="7"/>
        <v>29.599999999999898</v>
      </c>
    </row>
    <row r="249" spans="12:14" x14ac:dyDescent="0.2">
      <c r="L249">
        <v>29.6999999999999</v>
      </c>
      <c r="M249" s="55">
        <f t="shared" si="6"/>
        <v>2716298.3480216633</v>
      </c>
      <c r="N249">
        <f t="shared" si="7"/>
        <v>29.6999999999999</v>
      </c>
    </row>
    <row r="250" spans="12:14" x14ac:dyDescent="0.2">
      <c r="L250">
        <v>29.799999999999901</v>
      </c>
      <c r="M250" s="55">
        <f t="shared" si="6"/>
        <v>2734434.72261733</v>
      </c>
      <c r="N250">
        <f t="shared" si="7"/>
        <v>29.799999999999901</v>
      </c>
    </row>
    <row r="251" spans="12:14" x14ac:dyDescent="0.2">
      <c r="L251">
        <v>29.899999999999899</v>
      </c>
      <c r="M251" s="55">
        <f t="shared" si="6"/>
        <v>2752630.1842876254</v>
      </c>
      <c r="N251">
        <f t="shared" si="7"/>
        <v>29.899999999999899</v>
      </c>
    </row>
    <row r="252" spans="12:14" x14ac:dyDescent="0.2">
      <c r="L252">
        <v>29.999999999999901</v>
      </c>
      <c r="M252" s="55">
        <f t="shared" si="6"/>
        <v>2770884.7204661793</v>
      </c>
      <c r="N252">
        <f t="shared" si="7"/>
        <v>29.999999999999901</v>
      </c>
    </row>
    <row r="253" spans="12:14" x14ac:dyDescent="0.2">
      <c r="L253">
        <v>30.099999999999898</v>
      </c>
      <c r="M253" s="55">
        <f t="shared" si="6"/>
        <v>2789198.3185866196</v>
      </c>
      <c r="N253">
        <f t="shared" si="7"/>
        <v>30.099999999999898</v>
      </c>
    </row>
    <row r="254" spans="12:14" x14ac:dyDescent="0.2">
      <c r="L254">
        <v>30.1999999999999</v>
      </c>
      <c r="M254" s="55">
        <f t="shared" si="6"/>
        <v>2807570.9660825785</v>
      </c>
      <c r="N254">
        <f t="shared" si="7"/>
        <v>30.1999999999999</v>
      </c>
    </row>
    <row r="255" spans="12:14" x14ac:dyDescent="0.2">
      <c r="L255">
        <v>30.299999999999901</v>
      </c>
      <c r="M255" s="55">
        <f t="shared" si="6"/>
        <v>2826002.650387683</v>
      </c>
      <c r="N255">
        <f t="shared" si="7"/>
        <v>30.299999999999901</v>
      </c>
    </row>
    <row r="256" spans="12:14" x14ac:dyDescent="0.2">
      <c r="L256">
        <v>30.399999999999899</v>
      </c>
      <c r="M256" s="55">
        <f t="shared" si="6"/>
        <v>2844493.358935562</v>
      </c>
      <c r="N256">
        <f t="shared" si="7"/>
        <v>30.399999999999899</v>
      </c>
    </row>
    <row r="257" spans="12:14" x14ac:dyDescent="0.2">
      <c r="L257">
        <v>30.499999999999901</v>
      </c>
      <c r="M257" s="55">
        <f t="shared" si="6"/>
        <v>2863043.0791598479</v>
      </c>
      <c r="N257">
        <f t="shared" si="7"/>
        <v>30.499999999999901</v>
      </c>
    </row>
    <row r="258" spans="12:14" x14ac:dyDescent="0.2">
      <c r="L258">
        <v>30.599999999999898</v>
      </c>
      <c r="M258" s="55">
        <f t="shared" ref="M258:M321" si="8">4/3*PI()*L258^3+PI()*L258^2*($K$2-2*L258)</f>
        <v>2881651.7984941667</v>
      </c>
      <c r="N258">
        <f t="shared" ref="N258:N321" si="9">L258</f>
        <v>30.599999999999898</v>
      </c>
    </row>
    <row r="259" spans="12:14" x14ac:dyDescent="0.2">
      <c r="L259">
        <v>30.6999999999999</v>
      </c>
      <c r="M259" s="55">
        <f t="shared" si="8"/>
        <v>2900319.5043721506</v>
      </c>
      <c r="N259">
        <f t="shared" si="9"/>
        <v>30.6999999999999</v>
      </c>
    </row>
    <row r="260" spans="12:14" x14ac:dyDescent="0.2">
      <c r="L260">
        <v>30.799999999999901</v>
      </c>
      <c r="M260" s="55">
        <f t="shared" si="8"/>
        <v>2919046.184227427</v>
      </c>
      <c r="N260">
        <f t="shared" si="9"/>
        <v>30.799999999999901</v>
      </c>
    </row>
    <row r="261" spans="12:14" x14ac:dyDescent="0.2">
      <c r="L261">
        <v>30.899999999999899</v>
      </c>
      <c r="M261" s="55">
        <f t="shared" si="8"/>
        <v>2937831.8254936254</v>
      </c>
      <c r="N261">
        <f t="shared" si="9"/>
        <v>30.899999999999899</v>
      </c>
    </row>
    <row r="262" spans="12:14" x14ac:dyDescent="0.2">
      <c r="L262">
        <v>30.999999999999901</v>
      </c>
      <c r="M262" s="55">
        <f t="shared" si="8"/>
        <v>2956676.4156043767</v>
      </c>
      <c r="N262">
        <f t="shared" si="9"/>
        <v>30.999999999999901</v>
      </c>
    </row>
    <row r="263" spans="12:14" x14ac:dyDescent="0.2">
      <c r="L263">
        <v>31.099999999999898</v>
      </c>
      <c r="M263" s="55">
        <f t="shared" si="8"/>
        <v>2975579.9419933087</v>
      </c>
      <c r="N263">
        <f t="shared" si="9"/>
        <v>31.099999999999898</v>
      </c>
    </row>
    <row r="264" spans="12:14" x14ac:dyDescent="0.2">
      <c r="L264">
        <v>31.1999999999999</v>
      </c>
      <c r="M264" s="55">
        <f t="shared" si="8"/>
        <v>2994542.3920940524</v>
      </c>
      <c r="N264">
        <f t="shared" si="9"/>
        <v>31.1999999999999</v>
      </c>
    </row>
    <row r="265" spans="12:14" x14ac:dyDescent="0.2">
      <c r="L265">
        <v>31.299999999999901</v>
      </c>
      <c r="M265" s="55">
        <f t="shared" si="8"/>
        <v>3013563.753340235</v>
      </c>
      <c r="N265">
        <f t="shared" si="9"/>
        <v>31.299999999999901</v>
      </c>
    </row>
    <row r="266" spans="12:14" x14ac:dyDescent="0.2">
      <c r="L266">
        <v>31.399999999999899</v>
      </c>
      <c r="M266" s="55">
        <f t="shared" si="8"/>
        <v>3032644.0131654874</v>
      </c>
      <c r="N266">
        <f t="shared" si="9"/>
        <v>31.399999999999899</v>
      </c>
    </row>
    <row r="267" spans="12:14" x14ac:dyDescent="0.2">
      <c r="L267">
        <v>31.499999999999901</v>
      </c>
      <c r="M267" s="55">
        <f t="shared" si="8"/>
        <v>3051783.1590034394</v>
      </c>
      <c r="N267">
        <f t="shared" si="9"/>
        <v>31.499999999999901</v>
      </c>
    </row>
    <row r="268" spans="12:14" x14ac:dyDescent="0.2">
      <c r="L268">
        <v>31.599999999999898</v>
      </c>
      <c r="M268" s="55">
        <f t="shared" si="8"/>
        <v>3070981.1782877184</v>
      </c>
      <c r="N268">
        <f t="shared" si="9"/>
        <v>31.599999999999898</v>
      </c>
    </row>
    <row r="269" spans="12:14" x14ac:dyDescent="0.2">
      <c r="L269">
        <v>31.6999999999999</v>
      </c>
      <c r="M269" s="55">
        <f t="shared" si="8"/>
        <v>3090238.0584519566</v>
      </c>
      <c r="N269">
        <f t="shared" si="9"/>
        <v>31.6999999999999</v>
      </c>
    </row>
    <row r="270" spans="12:14" x14ac:dyDescent="0.2">
      <c r="L270">
        <v>31.799999999999901</v>
      </c>
      <c r="M270" s="55">
        <f t="shared" si="8"/>
        <v>3109553.7869297811</v>
      </c>
      <c r="N270">
        <f t="shared" si="9"/>
        <v>31.799999999999901</v>
      </c>
    </row>
    <row r="271" spans="12:14" x14ac:dyDescent="0.2">
      <c r="L271">
        <v>31.899999999999899</v>
      </c>
      <c r="M271" s="55">
        <f t="shared" si="8"/>
        <v>3128928.3511548215</v>
      </c>
      <c r="N271">
        <f t="shared" si="9"/>
        <v>31.899999999999899</v>
      </c>
    </row>
    <row r="272" spans="12:14" x14ac:dyDescent="0.2">
      <c r="L272">
        <v>31.999999999999901</v>
      </c>
      <c r="M272" s="55">
        <f t="shared" si="8"/>
        <v>3148361.7385607087</v>
      </c>
      <c r="N272">
        <f t="shared" si="9"/>
        <v>31.999999999999901</v>
      </c>
    </row>
    <row r="273" spans="12:14" x14ac:dyDescent="0.2">
      <c r="L273">
        <v>32.099999999999902</v>
      </c>
      <c r="M273" s="55">
        <f t="shared" si="8"/>
        <v>3167853.9365810705</v>
      </c>
      <c r="N273">
        <f t="shared" si="9"/>
        <v>32.099999999999902</v>
      </c>
    </row>
    <row r="274" spans="12:14" x14ac:dyDescent="0.2">
      <c r="L274">
        <v>32.199999999999903</v>
      </c>
      <c r="M274" s="55">
        <f t="shared" si="8"/>
        <v>3187404.9326495375</v>
      </c>
      <c r="N274">
        <f t="shared" si="9"/>
        <v>32.199999999999903</v>
      </c>
    </row>
    <row r="275" spans="12:14" x14ac:dyDescent="0.2">
      <c r="L275">
        <v>32.299999999999898</v>
      </c>
      <c r="M275" s="55">
        <f t="shared" si="8"/>
        <v>3207014.7141997367</v>
      </c>
      <c r="N275">
        <f t="shared" si="9"/>
        <v>32.299999999999898</v>
      </c>
    </row>
    <row r="276" spans="12:14" x14ac:dyDescent="0.2">
      <c r="L276">
        <v>32.399999999999899</v>
      </c>
      <c r="M276" s="55">
        <f t="shared" si="8"/>
        <v>3226683.2686653007</v>
      </c>
      <c r="N276">
        <f t="shared" si="9"/>
        <v>32.399999999999899</v>
      </c>
    </row>
    <row r="277" spans="12:14" x14ac:dyDescent="0.2">
      <c r="L277">
        <v>32.499999999999901</v>
      </c>
      <c r="M277" s="55">
        <f t="shared" si="8"/>
        <v>3246410.5834798585</v>
      </c>
      <c r="N277">
        <f t="shared" si="9"/>
        <v>32.499999999999901</v>
      </c>
    </row>
    <row r="278" spans="12:14" x14ac:dyDescent="0.2">
      <c r="L278">
        <v>32.599999999999902</v>
      </c>
      <c r="M278" s="55">
        <f t="shared" si="8"/>
        <v>3266196.6460770369</v>
      </c>
      <c r="N278">
        <f t="shared" si="9"/>
        <v>32.599999999999902</v>
      </c>
    </row>
    <row r="279" spans="12:14" x14ac:dyDescent="0.2">
      <c r="L279">
        <v>32.699999999999903</v>
      </c>
      <c r="M279" s="55">
        <f t="shared" si="8"/>
        <v>3286041.4438904673</v>
      </c>
      <c r="N279">
        <f t="shared" si="9"/>
        <v>32.699999999999903</v>
      </c>
    </row>
    <row r="280" spans="12:14" x14ac:dyDescent="0.2">
      <c r="L280">
        <v>32.799999999999898</v>
      </c>
      <c r="M280" s="55">
        <f t="shared" si="8"/>
        <v>3305944.9643537779</v>
      </c>
      <c r="N280">
        <f t="shared" si="9"/>
        <v>32.799999999999898</v>
      </c>
    </row>
    <row r="281" spans="12:14" x14ac:dyDescent="0.2">
      <c r="L281">
        <v>32.899999999999899</v>
      </c>
      <c r="M281" s="55">
        <f t="shared" si="8"/>
        <v>3325907.1949005988</v>
      </c>
      <c r="N281">
        <f t="shared" si="9"/>
        <v>32.899999999999899</v>
      </c>
    </row>
    <row r="282" spans="12:14" x14ac:dyDescent="0.2">
      <c r="L282">
        <v>32.999999999999901</v>
      </c>
      <c r="M282" s="55">
        <f t="shared" si="8"/>
        <v>3345928.1229645605</v>
      </c>
      <c r="N282">
        <f t="shared" si="9"/>
        <v>32.999999999999901</v>
      </c>
    </row>
    <row r="283" spans="12:14" x14ac:dyDescent="0.2">
      <c r="L283">
        <v>33.099999999999902</v>
      </c>
      <c r="M283" s="55">
        <f t="shared" si="8"/>
        <v>3366007.7359792911</v>
      </c>
      <c r="N283">
        <f t="shared" si="9"/>
        <v>33.099999999999902</v>
      </c>
    </row>
    <row r="284" spans="12:14" x14ac:dyDescent="0.2">
      <c r="L284">
        <v>33.199999999999903</v>
      </c>
      <c r="M284" s="55">
        <f t="shared" si="8"/>
        <v>3386146.0213784198</v>
      </c>
      <c r="N284">
        <f t="shared" si="9"/>
        <v>33.199999999999903</v>
      </c>
    </row>
    <row r="285" spans="12:14" x14ac:dyDescent="0.2">
      <c r="L285">
        <v>33.299999999999898</v>
      </c>
      <c r="M285" s="55">
        <f t="shared" si="8"/>
        <v>3406342.9665955752</v>
      </c>
      <c r="N285">
        <f t="shared" si="9"/>
        <v>33.299999999999898</v>
      </c>
    </row>
    <row r="286" spans="12:14" x14ac:dyDescent="0.2">
      <c r="L286">
        <v>33.399999999999899</v>
      </c>
      <c r="M286" s="55">
        <f t="shared" si="8"/>
        <v>3426598.5590643892</v>
      </c>
      <c r="N286">
        <f t="shared" si="9"/>
        <v>33.399999999999899</v>
      </c>
    </row>
    <row r="287" spans="12:14" x14ac:dyDescent="0.2">
      <c r="L287">
        <v>33.499999999999901</v>
      </c>
      <c r="M287" s="55">
        <f t="shared" si="8"/>
        <v>3446912.7862184895</v>
      </c>
      <c r="N287">
        <f t="shared" si="9"/>
        <v>33.499999999999901</v>
      </c>
    </row>
    <row r="288" spans="12:14" x14ac:dyDescent="0.2">
      <c r="L288">
        <v>33.599999999999902</v>
      </c>
      <c r="M288" s="55">
        <f t="shared" si="8"/>
        <v>3467285.6354915062</v>
      </c>
      <c r="N288">
        <f t="shared" si="9"/>
        <v>33.599999999999902</v>
      </c>
    </row>
    <row r="289" spans="12:14" x14ac:dyDescent="0.2">
      <c r="L289">
        <v>33.699999999999903</v>
      </c>
      <c r="M289" s="55">
        <f t="shared" si="8"/>
        <v>3487717.0943170679</v>
      </c>
      <c r="N289">
        <f t="shared" si="9"/>
        <v>33.699999999999903</v>
      </c>
    </row>
    <row r="290" spans="12:14" x14ac:dyDescent="0.2">
      <c r="L290">
        <v>33.799999999999898</v>
      </c>
      <c r="M290" s="55">
        <f t="shared" si="8"/>
        <v>3508207.1501288028</v>
      </c>
      <c r="N290">
        <f t="shared" si="9"/>
        <v>33.799999999999898</v>
      </c>
    </row>
    <row r="291" spans="12:14" x14ac:dyDescent="0.2">
      <c r="L291">
        <v>33.899999999999899</v>
      </c>
      <c r="M291" s="55">
        <f t="shared" si="8"/>
        <v>3528755.7903603441</v>
      </c>
      <c r="N291">
        <f t="shared" si="9"/>
        <v>33.899999999999899</v>
      </c>
    </row>
    <row r="292" spans="12:14" x14ac:dyDescent="0.2">
      <c r="L292">
        <v>33.999999999999901</v>
      </c>
      <c r="M292" s="55">
        <f t="shared" si="8"/>
        <v>3549363.0024453178</v>
      </c>
      <c r="N292">
        <f t="shared" si="9"/>
        <v>33.999999999999901</v>
      </c>
    </row>
    <row r="293" spans="12:14" x14ac:dyDescent="0.2">
      <c r="L293">
        <v>34.099999999999902</v>
      </c>
      <c r="M293" s="55">
        <f t="shared" si="8"/>
        <v>3570028.7738173557</v>
      </c>
      <c r="N293">
        <f t="shared" si="9"/>
        <v>34.099999999999902</v>
      </c>
    </row>
    <row r="294" spans="12:14" x14ac:dyDescent="0.2">
      <c r="L294">
        <v>34.199999999999903</v>
      </c>
      <c r="M294" s="55">
        <f t="shared" si="8"/>
        <v>3590753.0919100847</v>
      </c>
      <c r="N294">
        <f t="shared" si="9"/>
        <v>34.199999999999903</v>
      </c>
    </row>
    <row r="295" spans="12:14" x14ac:dyDescent="0.2">
      <c r="L295">
        <v>34.299999999999898</v>
      </c>
      <c r="M295" s="55">
        <f t="shared" si="8"/>
        <v>3611535.9441571343</v>
      </c>
      <c r="N295">
        <f t="shared" si="9"/>
        <v>34.299999999999898</v>
      </c>
    </row>
    <row r="296" spans="12:14" x14ac:dyDescent="0.2">
      <c r="L296">
        <v>34.399999999999899</v>
      </c>
      <c r="M296" s="55">
        <f t="shared" si="8"/>
        <v>3632377.3179921368</v>
      </c>
      <c r="N296">
        <f t="shared" si="9"/>
        <v>34.399999999999899</v>
      </c>
    </row>
    <row r="297" spans="12:14" x14ac:dyDescent="0.2">
      <c r="L297">
        <v>34.499999999999901</v>
      </c>
      <c r="M297" s="55">
        <f t="shared" si="8"/>
        <v>3653277.2008487196</v>
      </c>
      <c r="N297">
        <f t="shared" si="9"/>
        <v>34.499999999999901</v>
      </c>
    </row>
    <row r="298" spans="12:14" x14ac:dyDescent="0.2">
      <c r="L298">
        <v>34.599999999999902</v>
      </c>
      <c r="M298" s="55">
        <f t="shared" si="8"/>
        <v>3674235.5801605126</v>
      </c>
      <c r="N298">
        <f t="shared" si="9"/>
        <v>34.599999999999902</v>
      </c>
    </row>
    <row r="299" spans="12:14" x14ac:dyDescent="0.2">
      <c r="L299">
        <v>34.699999999999903</v>
      </c>
      <c r="M299" s="55">
        <f t="shared" si="8"/>
        <v>3695252.443361144</v>
      </c>
      <c r="N299">
        <f t="shared" si="9"/>
        <v>34.699999999999903</v>
      </c>
    </row>
    <row r="300" spans="12:14" x14ac:dyDescent="0.2">
      <c r="L300">
        <v>34.799999999999898</v>
      </c>
      <c r="M300" s="55">
        <f t="shared" si="8"/>
        <v>3716327.7778842431</v>
      </c>
      <c r="N300">
        <f t="shared" si="9"/>
        <v>34.799999999999898</v>
      </c>
    </row>
    <row r="301" spans="12:14" x14ac:dyDescent="0.2">
      <c r="L301">
        <v>34.899999999999899</v>
      </c>
      <c r="M301" s="55">
        <f t="shared" si="8"/>
        <v>3737461.5711634411</v>
      </c>
      <c r="N301">
        <f t="shared" si="9"/>
        <v>34.899999999999899</v>
      </c>
    </row>
    <row r="302" spans="12:14" x14ac:dyDescent="0.2">
      <c r="L302">
        <v>34.999999999999901</v>
      </c>
      <c r="M302" s="55">
        <f t="shared" si="8"/>
        <v>3758653.8106323667</v>
      </c>
      <c r="N302">
        <f t="shared" si="9"/>
        <v>34.999999999999901</v>
      </c>
    </row>
    <row r="303" spans="12:14" x14ac:dyDescent="0.2">
      <c r="L303">
        <v>35.099999999999902</v>
      </c>
      <c r="M303" s="55">
        <f t="shared" si="8"/>
        <v>3779904.48372465</v>
      </c>
      <c r="N303">
        <f t="shared" si="9"/>
        <v>35.099999999999902</v>
      </c>
    </row>
    <row r="304" spans="12:14" x14ac:dyDescent="0.2">
      <c r="L304">
        <v>35.199999999999903</v>
      </c>
      <c r="M304" s="55">
        <f t="shared" si="8"/>
        <v>3801213.5778739182</v>
      </c>
      <c r="N304">
        <f t="shared" si="9"/>
        <v>35.199999999999903</v>
      </c>
    </row>
    <row r="305" spans="12:14" x14ac:dyDescent="0.2">
      <c r="L305">
        <v>35.299999999999898</v>
      </c>
      <c r="M305" s="55">
        <f t="shared" si="8"/>
        <v>3822581.0805138014</v>
      </c>
      <c r="N305">
        <f t="shared" si="9"/>
        <v>35.299999999999898</v>
      </c>
    </row>
    <row r="306" spans="12:14" x14ac:dyDescent="0.2">
      <c r="L306">
        <v>35.399999999999899</v>
      </c>
      <c r="M306" s="55">
        <f t="shared" si="8"/>
        <v>3844006.9790779296</v>
      </c>
      <c r="N306">
        <f t="shared" si="9"/>
        <v>35.399999999999899</v>
      </c>
    </row>
    <row r="307" spans="12:14" x14ac:dyDescent="0.2">
      <c r="L307">
        <v>35.499999999999901</v>
      </c>
      <c r="M307" s="55">
        <f t="shared" si="8"/>
        <v>3865491.2609999343</v>
      </c>
      <c r="N307">
        <f t="shared" si="9"/>
        <v>35.499999999999901</v>
      </c>
    </row>
    <row r="308" spans="12:14" x14ac:dyDescent="0.2">
      <c r="L308">
        <v>35.599999999999902</v>
      </c>
      <c r="M308" s="55">
        <f t="shared" si="8"/>
        <v>3887033.9137134412</v>
      </c>
      <c r="N308">
        <f t="shared" si="9"/>
        <v>35.599999999999902</v>
      </c>
    </row>
    <row r="309" spans="12:14" x14ac:dyDescent="0.2">
      <c r="L309">
        <v>35.699999999999903</v>
      </c>
      <c r="M309" s="55">
        <f t="shared" si="8"/>
        <v>3908634.9246520819</v>
      </c>
      <c r="N309">
        <f t="shared" si="9"/>
        <v>35.699999999999903</v>
      </c>
    </row>
    <row r="310" spans="12:14" x14ac:dyDescent="0.2">
      <c r="L310">
        <v>35.799999999999898</v>
      </c>
      <c r="M310" s="55">
        <f t="shared" si="8"/>
        <v>3930294.2812494822</v>
      </c>
      <c r="N310">
        <f t="shared" si="9"/>
        <v>35.799999999999898</v>
      </c>
    </row>
    <row r="311" spans="12:14" x14ac:dyDescent="0.2">
      <c r="L311">
        <v>35.899999999999899</v>
      </c>
      <c r="M311" s="55">
        <f t="shared" si="8"/>
        <v>3952011.9709392772</v>
      </c>
      <c r="N311">
        <f t="shared" si="9"/>
        <v>35.899999999999899</v>
      </c>
    </row>
    <row r="312" spans="12:14" x14ac:dyDescent="0.2">
      <c r="L312">
        <v>35.999999999999901</v>
      </c>
      <c r="M312" s="55">
        <f t="shared" si="8"/>
        <v>3973787.9811550928</v>
      </c>
      <c r="N312">
        <f t="shared" si="9"/>
        <v>35.999999999999901</v>
      </c>
    </row>
    <row r="313" spans="12:14" x14ac:dyDescent="0.2">
      <c r="L313">
        <v>36.099999999999902</v>
      </c>
      <c r="M313" s="55">
        <f t="shared" si="8"/>
        <v>3995622.2993305596</v>
      </c>
      <c r="N313">
        <f t="shared" si="9"/>
        <v>36.099999999999902</v>
      </c>
    </row>
    <row r="314" spans="12:14" x14ac:dyDescent="0.2">
      <c r="L314">
        <v>36.199999999999903</v>
      </c>
      <c r="M314" s="55">
        <f t="shared" si="8"/>
        <v>4017514.9128993056</v>
      </c>
      <c r="N314">
        <f t="shared" si="9"/>
        <v>36.199999999999903</v>
      </c>
    </row>
    <row r="315" spans="12:14" x14ac:dyDescent="0.2">
      <c r="L315">
        <v>36.299999999999898</v>
      </c>
      <c r="M315" s="55">
        <f t="shared" si="8"/>
        <v>4039465.8092949605</v>
      </c>
      <c r="N315">
        <f t="shared" si="9"/>
        <v>36.299999999999898</v>
      </c>
    </row>
    <row r="316" spans="12:14" x14ac:dyDescent="0.2">
      <c r="L316">
        <v>36.399999999999899</v>
      </c>
      <c r="M316" s="55">
        <f t="shared" si="8"/>
        <v>4061474.9759511552</v>
      </c>
      <c r="N316">
        <f t="shared" si="9"/>
        <v>36.399999999999899</v>
      </c>
    </row>
    <row r="317" spans="12:14" x14ac:dyDescent="0.2">
      <c r="L317">
        <v>36.499999999999901</v>
      </c>
      <c r="M317" s="55">
        <f t="shared" si="8"/>
        <v>4083542.4003015179</v>
      </c>
      <c r="N317">
        <f t="shared" si="9"/>
        <v>36.499999999999901</v>
      </c>
    </row>
    <row r="318" spans="12:14" x14ac:dyDescent="0.2">
      <c r="L318">
        <v>36.599999999999902</v>
      </c>
      <c r="M318" s="55">
        <f t="shared" si="8"/>
        <v>4105668.0697796787</v>
      </c>
      <c r="N318">
        <f t="shared" si="9"/>
        <v>36.599999999999902</v>
      </c>
    </row>
    <row r="319" spans="12:14" x14ac:dyDescent="0.2">
      <c r="L319">
        <v>36.699999999999903</v>
      </c>
      <c r="M319" s="55">
        <f t="shared" si="8"/>
        <v>4127851.9718192662</v>
      </c>
      <c r="N319">
        <f t="shared" si="9"/>
        <v>36.699999999999903</v>
      </c>
    </row>
    <row r="320" spans="12:14" x14ac:dyDescent="0.2">
      <c r="L320">
        <v>36.799999999999898</v>
      </c>
      <c r="M320" s="55">
        <f t="shared" si="8"/>
        <v>4150094.0938539081</v>
      </c>
      <c r="N320">
        <f t="shared" si="9"/>
        <v>36.799999999999898</v>
      </c>
    </row>
    <row r="321" spans="12:14" x14ac:dyDescent="0.2">
      <c r="L321">
        <v>36.899999999999899</v>
      </c>
      <c r="M321" s="55">
        <f t="shared" si="8"/>
        <v>4172394.4233172373</v>
      </c>
      <c r="N321">
        <f t="shared" si="9"/>
        <v>36.899999999999899</v>
      </c>
    </row>
    <row r="322" spans="12:14" x14ac:dyDescent="0.2">
      <c r="L322">
        <v>36.999999999999901</v>
      </c>
      <c r="M322" s="55">
        <f t="shared" ref="M322:M385" si="10">4/3*PI()*L322^3+PI()*L322^2*($K$2-2*L322)</f>
        <v>4194752.9476428824</v>
      </c>
      <c r="N322">
        <f t="shared" ref="N322:N385" si="11">L322</f>
        <v>36.999999999999901</v>
      </c>
    </row>
    <row r="323" spans="12:14" x14ac:dyDescent="0.2">
      <c r="L323">
        <v>37.099999999999902</v>
      </c>
      <c r="M323" s="55">
        <f t="shared" si="10"/>
        <v>4217169.6542644715</v>
      </c>
      <c r="N323">
        <f t="shared" si="11"/>
        <v>37.099999999999902</v>
      </c>
    </row>
    <row r="324" spans="12:14" x14ac:dyDescent="0.2">
      <c r="L324">
        <v>37.199999999999903</v>
      </c>
      <c r="M324" s="55">
        <f t="shared" si="10"/>
        <v>4239644.5306156334</v>
      </c>
      <c r="N324">
        <f t="shared" si="11"/>
        <v>37.199999999999903</v>
      </c>
    </row>
    <row r="325" spans="12:14" x14ac:dyDescent="0.2">
      <c r="L325">
        <v>37.299999999999898</v>
      </c>
      <c r="M325" s="55">
        <f t="shared" si="10"/>
        <v>4262177.564129998</v>
      </c>
      <c r="N325">
        <f t="shared" si="11"/>
        <v>37.299999999999898</v>
      </c>
    </row>
    <row r="326" spans="12:14" x14ac:dyDescent="0.2">
      <c r="L326">
        <v>37.399999999999899</v>
      </c>
      <c r="M326" s="55">
        <f t="shared" si="10"/>
        <v>4284768.7422411973</v>
      </c>
      <c r="N326">
        <f t="shared" si="11"/>
        <v>37.399999999999899</v>
      </c>
    </row>
    <row r="327" spans="12:14" x14ac:dyDescent="0.2">
      <c r="L327">
        <v>37.499999999999901</v>
      </c>
      <c r="M327" s="55">
        <f t="shared" si="10"/>
        <v>4307418.0523828585</v>
      </c>
      <c r="N327">
        <f t="shared" si="11"/>
        <v>37.499999999999901</v>
      </c>
    </row>
    <row r="328" spans="12:14" x14ac:dyDescent="0.2">
      <c r="L328">
        <v>37.599999999999902</v>
      </c>
      <c r="M328" s="55">
        <f t="shared" si="10"/>
        <v>4330125.4819886098</v>
      </c>
      <c r="N328">
        <f t="shared" si="11"/>
        <v>37.599999999999902</v>
      </c>
    </row>
    <row r="329" spans="12:14" x14ac:dyDescent="0.2">
      <c r="L329">
        <v>37.699999999999903</v>
      </c>
      <c r="M329" s="55">
        <f t="shared" si="10"/>
        <v>4352891.0184920821</v>
      </c>
      <c r="N329">
        <f t="shared" si="11"/>
        <v>37.699999999999903</v>
      </c>
    </row>
    <row r="330" spans="12:14" x14ac:dyDescent="0.2">
      <c r="L330">
        <v>37.799999999999898</v>
      </c>
      <c r="M330" s="55">
        <f t="shared" si="10"/>
        <v>4375714.6493269047</v>
      </c>
      <c r="N330">
        <f t="shared" si="11"/>
        <v>37.799999999999898</v>
      </c>
    </row>
    <row r="331" spans="12:14" x14ac:dyDescent="0.2">
      <c r="L331">
        <v>37.899999999999899</v>
      </c>
      <c r="M331" s="55">
        <f t="shared" si="10"/>
        <v>4398596.3619267074</v>
      </c>
      <c r="N331">
        <f t="shared" si="11"/>
        <v>37.899999999999899</v>
      </c>
    </row>
    <row r="332" spans="12:14" x14ac:dyDescent="0.2">
      <c r="L332">
        <v>37.999999999999901</v>
      </c>
      <c r="M332" s="55">
        <f t="shared" si="10"/>
        <v>4421536.1437251195</v>
      </c>
      <c r="N332">
        <f t="shared" si="11"/>
        <v>37.999999999999901</v>
      </c>
    </row>
    <row r="333" spans="12:14" x14ac:dyDescent="0.2">
      <c r="L333">
        <v>38.099999999999902</v>
      </c>
      <c r="M333" s="55">
        <f t="shared" si="10"/>
        <v>4444533.9821557691</v>
      </c>
      <c r="N333">
        <f t="shared" si="11"/>
        <v>38.099999999999902</v>
      </c>
    </row>
    <row r="334" spans="12:14" x14ac:dyDescent="0.2">
      <c r="L334">
        <v>38.199999999999903</v>
      </c>
      <c r="M334" s="55">
        <f t="shared" si="10"/>
        <v>4467589.8646522863</v>
      </c>
      <c r="N334">
        <f t="shared" si="11"/>
        <v>38.199999999999903</v>
      </c>
    </row>
    <row r="335" spans="12:14" x14ac:dyDescent="0.2">
      <c r="L335">
        <v>38.299999999999898</v>
      </c>
      <c r="M335" s="55">
        <f t="shared" si="10"/>
        <v>4490703.7786483001</v>
      </c>
      <c r="N335">
        <f t="shared" si="11"/>
        <v>38.299999999999898</v>
      </c>
    </row>
    <row r="336" spans="12:14" x14ac:dyDescent="0.2">
      <c r="L336">
        <v>38.399999999999899</v>
      </c>
      <c r="M336" s="55">
        <f t="shared" si="10"/>
        <v>4513875.7115774415</v>
      </c>
      <c r="N336">
        <f t="shared" si="11"/>
        <v>38.399999999999899</v>
      </c>
    </row>
    <row r="337" spans="12:14" x14ac:dyDescent="0.2">
      <c r="L337">
        <v>38.499999999999901</v>
      </c>
      <c r="M337" s="55">
        <f t="shared" si="10"/>
        <v>4537105.6508733388</v>
      </c>
      <c r="N337">
        <f t="shared" si="11"/>
        <v>38.499999999999901</v>
      </c>
    </row>
    <row r="338" spans="12:14" x14ac:dyDescent="0.2">
      <c r="L338">
        <v>38.599999999999902</v>
      </c>
      <c r="M338" s="55">
        <f t="shared" si="10"/>
        <v>4560393.5839696219</v>
      </c>
      <c r="N338">
        <f t="shared" si="11"/>
        <v>38.599999999999902</v>
      </c>
    </row>
    <row r="339" spans="12:14" x14ac:dyDescent="0.2">
      <c r="L339">
        <v>38.699999999999903</v>
      </c>
      <c r="M339" s="55">
        <f t="shared" si="10"/>
        <v>4583739.4982999181</v>
      </c>
      <c r="N339">
        <f t="shared" si="11"/>
        <v>38.699999999999903</v>
      </c>
    </row>
    <row r="340" spans="12:14" x14ac:dyDescent="0.2">
      <c r="L340">
        <v>38.799999999999898</v>
      </c>
      <c r="M340" s="55">
        <f t="shared" si="10"/>
        <v>4607143.3812978575</v>
      </c>
      <c r="N340">
        <f t="shared" si="11"/>
        <v>38.799999999999898</v>
      </c>
    </row>
    <row r="341" spans="12:14" x14ac:dyDescent="0.2">
      <c r="L341">
        <v>38.899999999999899</v>
      </c>
      <c r="M341" s="55">
        <f t="shared" si="10"/>
        <v>4630605.2203970719</v>
      </c>
      <c r="N341">
        <f t="shared" si="11"/>
        <v>38.899999999999899</v>
      </c>
    </row>
    <row r="342" spans="12:14" x14ac:dyDescent="0.2">
      <c r="L342">
        <v>38.999999999999901</v>
      </c>
      <c r="M342" s="55">
        <f t="shared" si="10"/>
        <v>4654125.0030311905</v>
      </c>
      <c r="N342">
        <f t="shared" si="11"/>
        <v>38.999999999999901</v>
      </c>
    </row>
    <row r="343" spans="12:14" x14ac:dyDescent="0.2">
      <c r="L343">
        <v>39.099999999999902</v>
      </c>
      <c r="M343" s="55">
        <f t="shared" si="10"/>
        <v>4677702.7166338395</v>
      </c>
      <c r="N343">
        <f t="shared" si="11"/>
        <v>39.099999999999902</v>
      </c>
    </row>
    <row r="344" spans="12:14" x14ac:dyDescent="0.2">
      <c r="L344">
        <v>39.199999999999903</v>
      </c>
      <c r="M344" s="55">
        <f t="shared" si="10"/>
        <v>4701338.34863865</v>
      </c>
      <c r="N344">
        <f t="shared" si="11"/>
        <v>39.199999999999903</v>
      </c>
    </row>
    <row r="345" spans="12:14" x14ac:dyDescent="0.2">
      <c r="L345">
        <v>39.299999999999898</v>
      </c>
      <c r="M345" s="55">
        <f t="shared" si="10"/>
        <v>4725031.8864792511</v>
      </c>
      <c r="N345">
        <f t="shared" si="11"/>
        <v>39.299999999999898</v>
      </c>
    </row>
    <row r="346" spans="12:14" x14ac:dyDescent="0.2">
      <c r="L346">
        <v>39.399999999999899</v>
      </c>
      <c r="M346" s="55">
        <f t="shared" si="10"/>
        <v>4748783.3175892727</v>
      </c>
      <c r="N346">
        <f t="shared" si="11"/>
        <v>39.399999999999899</v>
      </c>
    </row>
    <row r="347" spans="12:14" x14ac:dyDescent="0.2">
      <c r="L347">
        <v>39.499999999999901</v>
      </c>
      <c r="M347" s="55">
        <f t="shared" si="10"/>
        <v>4772592.629402346</v>
      </c>
      <c r="N347">
        <f t="shared" si="11"/>
        <v>39.499999999999901</v>
      </c>
    </row>
    <row r="348" spans="12:14" x14ac:dyDescent="0.2">
      <c r="L348">
        <v>39.599999999999902</v>
      </c>
      <c r="M348" s="55">
        <f t="shared" si="10"/>
        <v>4796459.8093520971</v>
      </c>
      <c r="N348">
        <f t="shared" si="11"/>
        <v>39.599999999999902</v>
      </c>
    </row>
    <row r="349" spans="12:14" x14ac:dyDescent="0.2">
      <c r="L349">
        <v>39.699999999999903</v>
      </c>
      <c r="M349" s="55">
        <f t="shared" si="10"/>
        <v>4820384.8448721571</v>
      </c>
      <c r="N349">
        <f t="shared" si="11"/>
        <v>39.699999999999903</v>
      </c>
    </row>
    <row r="350" spans="12:14" x14ac:dyDescent="0.2">
      <c r="L350">
        <v>39.799999999999898</v>
      </c>
      <c r="M350" s="55">
        <f t="shared" si="10"/>
        <v>4844367.7233961532</v>
      </c>
      <c r="N350">
        <f t="shared" si="11"/>
        <v>39.799999999999898</v>
      </c>
    </row>
    <row r="351" spans="12:14" x14ac:dyDescent="0.2">
      <c r="L351">
        <v>39.899999999999899</v>
      </c>
      <c r="M351" s="55">
        <f t="shared" si="10"/>
        <v>4868408.4323577192</v>
      </c>
      <c r="N351">
        <f t="shared" si="11"/>
        <v>39.899999999999899</v>
      </c>
    </row>
    <row r="352" spans="12:14" x14ac:dyDescent="0.2">
      <c r="L352">
        <v>39.999999999999901</v>
      </c>
      <c r="M352" s="55">
        <f t="shared" si="10"/>
        <v>4892506.9591904804</v>
      </c>
      <c r="N352">
        <f t="shared" si="11"/>
        <v>39.999999999999901</v>
      </c>
    </row>
    <row r="353" spans="12:14" x14ac:dyDescent="0.2">
      <c r="L353">
        <v>40.099999999999902</v>
      </c>
      <c r="M353" s="55">
        <f t="shared" si="10"/>
        <v>4916663.2913280679</v>
      </c>
      <c r="N353">
        <f t="shared" si="11"/>
        <v>40.099999999999902</v>
      </c>
    </row>
    <row r="354" spans="12:14" x14ac:dyDescent="0.2">
      <c r="L354">
        <v>40.199999999999903</v>
      </c>
      <c r="M354" s="55">
        <f t="shared" si="10"/>
        <v>4940877.4162041107</v>
      </c>
      <c r="N354">
        <f t="shared" si="11"/>
        <v>40.199999999999903</v>
      </c>
    </row>
    <row r="355" spans="12:14" x14ac:dyDescent="0.2">
      <c r="L355">
        <v>40.299999999999898</v>
      </c>
      <c r="M355" s="55">
        <f t="shared" si="10"/>
        <v>4965149.321252238</v>
      </c>
      <c r="N355">
        <f t="shared" si="11"/>
        <v>40.299999999999898</v>
      </c>
    </row>
    <row r="356" spans="12:14" x14ac:dyDescent="0.2">
      <c r="L356">
        <v>40.399999999999899</v>
      </c>
      <c r="M356" s="55">
        <f t="shared" si="10"/>
        <v>4989478.9939060798</v>
      </c>
      <c r="N356">
        <f t="shared" si="11"/>
        <v>40.399999999999899</v>
      </c>
    </row>
    <row r="357" spans="12:14" x14ac:dyDescent="0.2">
      <c r="L357">
        <v>40.499999999999901</v>
      </c>
      <c r="M357" s="55">
        <f t="shared" si="10"/>
        <v>5013866.4215992661</v>
      </c>
      <c r="N357">
        <f t="shared" si="11"/>
        <v>40.499999999999901</v>
      </c>
    </row>
    <row r="358" spans="12:14" x14ac:dyDescent="0.2">
      <c r="L358">
        <v>40.599999999999902</v>
      </c>
      <c r="M358" s="55">
        <f t="shared" si="10"/>
        <v>5038311.5917654242</v>
      </c>
      <c r="N358">
        <f t="shared" si="11"/>
        <v>40.599999999999902</v>
      </c>
    </row>
    <row r="359" spans="12:14" x14ac:dyDescent="0.2">
      <c r="L359">
        <v>40.699999999999903</v>
      </c>
      <c r="M359" s="55">
        <f t="shared" si="10"/>
        <v>5062814.491838186</v>
      </c>
      <c r="N359">
        <f t="shared" si="11"/>
        <v>40.699999999999903</v>
      </c>
    </row>
    <row r="360" spans="12:14" x14ac:dyDescent="0.2">
      <c r="L360">
        <v>40.799999999999898</v>
      </c>
      <c r="M360" s="55">
        <f t="shared" si="10"/>
        <v>5087375.1092511779</v>
      </c>
      <c r="N360">
        <f t="shared" si="11"/>
        <v>40.799999999999898</v>
      </c>
    </row>
    <row r="361" spans="12:14" x14ac:dyDescent="0.2">
      <c r="L361">
        <v>40.899999999999899</v>
      </c>
      <c r="M361" s="55">
        <f t="shared" si="10"/>
        <v>5111993.4314380316</v>
      </c>
      <c r="N361">
        <f t="shared" si="11"/>
        <v>40.899999999999899</v>
      </c>
    </row>
    <row r="362" spans="12:14" x14ac:dyDescent="0.2">
      <c r="L362">
        <v>40.999999999999901</v>
      </c>
      <c r="M362" s="55">
        <f t="shared" si="10"/>
        <v>5136669.4458323764</v>
      </c>
      <c r="N362">
        <f t="shared" si="11"/>
        <v>40.999999999999901</v>
      </c>
    </row>
    <row r="363" spans="12:14" x14ac:dyDescent="0.2">
      <c r="L363">
        <v>41.099999999999902</v>
      </c>
      <c r="M363" s="55">
        <f t="shared" si="10"/>
        <v>5161403.1398678403</v>
      </c>
      <c r="N363">
        <f t="shared" si="11"/>
        <v>41.099999999999902</v>
      </c>
    </row>
    <row r="364" spans="12:14" x14ac:dyDescent="0.2">
      <c r="L364">
        <v>41.199999999999903</v>
      </c>
      <c r="M364" s="55">
        <f t="shared" si="10"/>
        <v>5186194.5009780545</v>
      </c>
      <c r="N364">
        <f t="shared" si="11"/>
        <v>41.199999999999903</v>
      </c>
    </row>
    <row r="365" spans="12:14" x14ac:dyDescent="0.2">
      <c r="L365">
        <v>41.299999999999898</v>
      </c>
      <c r="M365" s="55">
        <f t="shared" si="10"/>
        <v>5211043.516596646</v>
      </c>
      <c r="N365">
        <f t="shared" si="11"/>
        <v>41.299999999999898</v>
      </c>
    </row>
    <row r="366" spans="12:14" x14ac:dyDescent="0.2">
      <c r="L366">
        <v>41.399999999999899</v>
      </c>
      <c r="M366" s="55">
        <f t="shared" si="10"/>
        <v>5235950.174157246</v>
      </c>
      <c r="N366">
        <f t="shared" si="11"/>
        <v>41.399999999999899</v>
      </c>
    </row>
    <row r="367" spans="12:14" x14ac:dyDescent="0.2">
      <c r="L367">
        <v>41.499999999999901</v>
      </c>
      <c r="M367" s="55">
        <f t="shared" si="10"/>
        <v>5260914.4610934844</v>
      </c>
      <c r="N367">
        <f t="shared" si="11"/>
        <v>41.499999999999901</v>
      </c>
    </row>
    <row r="368" spans="12:14" x14ac:dyDescent="0.2">
      <c r="L368">
        <v>41.599999999999902</v>
      </c>
      <c r="M368" s="55">
        <f t="shared" si="10"/>
        <v>5285936.3648389885</v>
      </c>
      <c r="N368">
        <f t="shared" si="11"/>
        <v>41.599999999999902</v>
      </c>
    </row>
    <row r="369" spans="12:14" x14ac:dyDescent="0.2">
      <c r="L369">
        <v>41.699999999999903</v>
      </c>
      <c r="M369" s="55">
        <f t="shared" si="10"/>
        <v>5311015.8728273893</v>
      </c>
      <c r="N369">
        <f t="shared" si="11"/>
        <v>41.699999999999903</v>
      </c>
    </row>
    <row r="370" spans="12:14" x14ac:dyDescent="0.2">
      <c r="L370">
        <v>41.799999999999898</v>
      </c>
      <c r="M370" s="55">
        <f t="shared" si="10"/>
        <v>5336152.9724923149</v>
      </c>
      <c r="N370">
        <f t="shared" si="11"/>
        <v>41.799999999999898</v>
      </c>
    </row>
    <row r="371" spans="12:14" x14ac:dyDescent="0.2">
      <c r="L371">
        <v>41.899999999999899</v>
      </c>
      <c r="M371" s="55">
        <f t="shared" si="10"/>
        <v>5361347.6512673963</v>
      </c>
      <c r="N371">
        <f t="shared" si="11"/>
        <v>41.899999999999899</v>
      </c>
    </row>
    <row r="372" spans="12:14" x14ac:dyDescent="0.2">
      <c r="L372">
        <v>41.999999999999901</v>
      </c>
      <c r="M372" s="55">
        <f t="shared" si="10"/>
        <v>5386599.8965862626</v>
      </c>
      <c r="N372">
        <f t="shared" si="11"/>
        <v>41.999999999999901</v>
      </c>
    </row>
    <row r="373" spans="12:14" x14ac:dyDescent="0.2">
      <c r="L373">
        <v>42.099999999999902</v>
      </c>
      <c r="M373" s="55">
        <f t="shared" si="10"/>
        <v>5411909.6958825421</v>
      </c>
      <c r="N373">
        <f t="shared" si="11"/>
        <v>42.099999999999902</v>
      </c>
    </row>
    <row r="374" spans="12:14" x14ac:dyDescent="0.2">
      <c r="L374">
        <v>42.199999999999903</v>
      </c>
      <c r="M374" s="55">
        <f t="shared" si="10"/>
        <v>5437277.0365898646</v>
      </c>
      <c r="N374">
        <f t="shared" si="11"/>
        <v>42.199999999999903</v>
      </c>
    </row>
    <row r="375" spans="12:14" x14ac:dyDescent="0.2">
      <c r="L375">
        <v>42.299999999999898</v>
      </c>
      <c r="M375" s="55">
        <f t="shared" si="10"/>
        <v>5462701.9061418595</v>
      </c>
      <c r="N375">
        <f t="shared" si="11"/>
        <v>42.299999999999898</v>
      </c>
    </row>
    <row r="376" spans="12:14" x14ac:dyDescent="0.2">
      <c r="L376">
        <v>42.399999999999899</v>
      </c>
      <c r="M376" s="55">
        <f t="shared" si="10"/>
        <v>5488184.2919721557</v>
      </c>
      <c r="N376">
        <f t="shared" si="11"/>
        <v>42.399999999999899</v>
      </c>
    </row>
    <row r="377" spans="12:14" x14ac:dyDescent="0.2">
      <c r="L377">
        <v>42.499999999999901</v>
      </c>
      <c r="M377" s="55">
        <f t="shared" si="10"/>
        <v>5513724.1815143861</v>
      </c>
      <c r="N377">
        <f t="shared" si="11"/>
        <v>42.499999999999901</v>
      </c>
    </row>
    <row r="378" spans="12:14" x14ac:dyDescent="0.2">
      <c r="L378">
        <v>42.599999999999902</v>
      </c>
      <c r="M378" s="55">
        <f t="shared" si="10"/>
        <v>5539321.5622021742</v>
      </c>
      <c r="N378">
        <f t="shared" si="11"/>
        <v>42.599999999999902</v>
      </c>
    </row>
    <row r="379" spans="12:14" x14ac:dyDescent="0.2">
      <c r="L379">
        <v>42.699999999999903</v>
      </c>
      <c r="M379" s="55">
        <f t="shared" si="10"/>
        <v>5564976.4214691548</v>
      </c>
      <c r="N379">
        <f t="shared" si="11"/>
        <v>42.699999999999903</v>
      </c>
    </row>
    <row r="380" spans="12:14" x14ac:dyDescent="0.2">
      <c r="L380">
        <v>42.799999999999898</v>
      </c>
      <c r="M380" s="55">
        <f t="shared" si="10"/>
        <v>5590688.7467489522</v>
      </c>
      <c r="N380">
        <f t="shared" si="11"/>
        <v>42.799999999999898</v>
      </c>
    </row>
    <row r="381" spans="12:14" x14ac:dyDescent="0.2">
      <c r="L381">
        <v>42.899999999999899</v>
      </c>
      <c r="M381" s="55">
        <f t="shared" si="10"/>
        <v>5616458.5254752003</v>
      </c>
      <c r="N381">
        <f t="shared" si="11"/>
        <v>42.899999999999899</v>
      </c>
    </row>
    <row r="382" spans="12:14" x14ac:dyDescent="0.2">
      <c r="L382">
        <v>42.999999999999901</v>
      </c>
      <c r="M382" s="55">
        <f t="shared" si="10"/>
        <v>5642285.7450815253</v>
      </c>
      <c r="N382">
        <f t="shared" si="11"/>
        <v>42.999999999999901</v>
      </c>
    </row>
    <row r="383" spans="12:14" x14ac:dyDescent="0.2">
      <c r="L383">
        <v>43.099999999999902</v>
      </c>
      <c r="M383" s="55">
        <f t="shared" si="10"/>
        <v>5668170.3930015592</v>
      </c>
      <c r="N383">
        <f t="shared" si="11"/>
        <v>43.099999999999902</v>
      </c>
    </row>
    <row r="384" spans="12:14" x14ac:dyDescent="0.2">
      <c r="L384">
        <v>43.199999999999903</v>
      </c>
      <c r="M384" s="55">
        <f t="shared" si="10"/>
        <v>5694112.4566689301</v>
      </c>
      <c r="N384">
        <f t="shared" si="11"/>
        <v>43.199999999999903</v>
      </c>
    </row>
    <row r="385" spans="12:14" x14ac:dyDescent="0.2">
      <c r="L385">
        <v>43.299999999999898</v>
      </c>
      <c r="M385" s="55">
        <f t="shared" si="10"/>
        <v>5720111.9235172654</v>
      </c>
      <c r="N385">
        <f t="shared" si="11"/>
        <v>43.299999999999898</v>
      </c>
    </row>
    <row r="386" spans="12:14" x14ac:dyDescent="0.2">
      <c r="L386">
        <v>43.399999999999899</v>
      </c>
      <c r="M386" s="55">
        <f t="shared" ref="M386:M449" si="12">4/3*PI()*L386^3+PI()*L386^2*($K$2-2*L386)</f>
        <v>5746168.7809801977</v>
      </c>
      <c r="N386">
        <f t="shared" ref="N386:N452" si="13">L386</f>
        <v>43.399999999999899</v>
      </c>
    </row>
    <row r="387" spans="12:14" x14ac:dyDescent="0.2">
      <c r="L387">
        <v>43.499999999999901</v>
      </c>
      <c r="M387" s="55">
        <f t="shared" si="12"/>
        <v>5772283.0164913563</v>
      </c>
      <c r="N387">
        <f t="shared" si="13"/>
        <v>43.499999999999901</v>
      </c>
    </row>
    <row r="388" spans="12:14" x14ac:dyDescent="0.2">
      <c r="L388">
        <v>43.599999999999902</v>
      </c>
      <c r="M388" s="55">
        <f t="shared" si="12"/>
        <v>5798454.6174843684</v>
      </c>
      <c r="N388">
        <f t="shared" si="13"/>
        <v>43.599999999999902</v>
      </c>
    </row>
    <row r="389" spans="12:14" x14ac:dyDescent="0.2">
      <c r="L389">
        <v>43.699999999999903</v>
      </c>
      <c r="M389" s="55">
        <f t="shared" si="12"/>
        <v>5824683.5713928659</v>
      </c>
      <c r="N389">
        <f t="shared" si="13"/>
        <v>43.699999999999903</v>
      </c>
    </row>
    <row r="390" spans="12:14" x14ac:dyDescent="0.2">
      <c r="L390">
        <v>43.799999999999898</v>
      </c>
      <c r="M390" s="55">
        <f t="shared" si="12"/>
        <v>5850969.8656504732</v>
      </c>
      <c r="N390">
        <f t="shared" si="13"/>
        <v>43.799999999999898</v>
      </c>
    </row>
    <row r="391" spans="12:14" x14ac:dyDescent="0.2">
      <c r="L391">
        <v>43.899999999999899</v>
      </c>
      <c r="M391" s="55">
        <f t="shared" si="12"/>
        <v>5877313.4876908269</v>
      </c>
      <c r="N391">
        <f t="shared" si="13"/>
        <v>43.899999999999899</v>
      </c>
    </row>
    <row r="392" spans="12:14" x14ac:dyDescent="0.2">
      <c r="L392">
        <v>43.999999999999901</v>
      </c>
      <c r="M392" s="55">
        <f t="shared" si="12"/>
        <v>5903714.4249475515</v>
      </c>
      <c r="N392">
        <f t="shared" si="13"/>
        <v>43.999999999999901</v>
      </c>
    </row>
    <row r="393" spans="12:14" x14ac:dyDescent="0.2">
      <c r="L393">
        <v>44.099999999999902</v>
      </c>
      <c r="M393" s="55">
        <f t="shared" si="12"/>
        <v>5930172.6648542769</v>
      </c>
      <c r="N393">
        <f t="shared" si="13"/>
        <v>44.099999999999902</v>
      </c>
    </row>
    <row r="394" spans="12:14" x14ac:dyDescent="0.2">
      <c r="L394">
        <v>44.199999999999903</v>
      </c>
      <c r="M394" s="55">
        <f t="shared" si="12"/>
        <v>5956688.1948446343</v>
      </c>
      <c r="N394">
        <f t="shared" si="13"/>
        <v>44.199999999999903</v>
      </c>
    </row>
    <row r="395" spans="12:14" x14ac:dyDescent="0.2">
      <c r="L395">
        <v>44.299999999999898</v>
      </c>
      <c r="M395" s="55">
        <f t="shared" si="12"/>
        <v>5983261.0023522498</v>
      </c>
      <c r="N395">
        <f t="shared" si="13"/>
        <v>44.299999999999898</v>
      </c>
    </row>
    <row r="396" spans="12:14" x14ac:dyDescent="0.2">
      <c r="L396">
        <v>44.399999999999899</v>
      </c>
      <c r="M396" s="55">
        <f t="shared" si="12"/>
        <v>6009891.0748107564</v>
      </c>
      <c r="N396">
        <f t="shared" si="13"/>
        <v>44.399999999999899</v>
      </c>
    </row>
    <row r="397" spans="12:14" x14ac:dyDescent="0.2">
      <c r="L397">
        <v>44.499999999999901</v>
      </c>
      <c r="M397" s="55">
        <f t="shared" si="12"/>
        <v>6036578.3996537831</v>
      </c>
      <c r="N397">
        <f t="shared" si="13"/>
        <v>44.499999999999901</v>
      </c>
    </row>
    <row r="398" spans="12:14" x14ac:dyDescent="0.2">
      <c r="L398">
        <v>44.599999999999902</v>
      </c>
      <c r="M398" s="55">
        <f t="shared" si="12"/>
        <v>6063322.9643149562</v>
      </c>
      <c r="N398">
        <f t="shared" si="13"/>
        <v>44.599999999999902</v>
      </c>
    </row>
    <row r="399" spans="12:14" x14ac:dyDescent="0.2">
      <c r="L399">
        <v>44.699999999999903</v>
      </c>
      <c r="M399" s="55">
        <f t="shared" si="12"/>
        <v>6090124.7562279087</v>
      </c>
      <c r="N399">
        <f t="shared" si="13"/>
        <v>44.699999999999903</v>
      </c>
    </row>
    <row r="400" spans="12:14" x14ac:dyDescent="0.2">
      <c r="L400">
        <v>44.799999999999898</v>
      </c>
      <c r="M400" s="55">
        <f t="shared" si="12"/>
        <v>6116983.7628262667</v>
      </c>
      <c r="N400">
        <f t="shared" si="13"/>
        <v>44.799999999999898</v>
      </c>
    </row>
    <row r="401" spans="12:14" x14ac:dyDescent="0.2">
      <c r="L401">
        <v>44.899999999999899</v>
      </c>
      <c r="M401" s="55">
        <f t="shared" si="12"/>
        <v>6143899.9715436623</v>
      </c>
      <c r="N401">
        <f t="shared" si="13"/>
        <v>44.899999999999899</v>
      </c>
    </row>
    <row r="402" spans="12:14" x14ac:dyDescent="0.2">
      <c r="L402">
        <v>44.999999999999901</v>
      </c>
      <c r="M402" s="55">
        <f t="shared" si="12"/>
        <v>6170873.3698137254</v>
      </c>
      <c r="N402">
        <f t="shared" si="13"/>
        <v>44.999999999999901</v>
      </c>
    </row>
    <row r="403" spans="12:14" x14ac:dyDescent="0.2">
      <c r="L403">
        <v>45.099999999999902</v>
      </c>
      <c r="M403" s="55">
        <f t="shared" si="12"/>
        <v>6197903.9450700814</v>
      </c>
      <c r="N403">
        <f t="shared" si="13"/>
        <v>45.099999999999902</v>
      </c>
    </row>
    <row r="404" spans="12:14" x14ac:dyDescent="0.2">
      <c r="L404">
        <v>45.199999999999903</v>
      </c>
      <c r="M404" s="55">
        <f t="shared" si="12"/>
        <v>6224991.6847463632</v>
      </c>
      <c r="N404">
        <f t="shared" si="13"/>
        <v>45.199999999999903</v>
      </c>
    </row>
    <row r="405" spans="12:14" x14ac:dyDescent="0.2">
      <c r="L405">
        <v>45.299999999999898</v>
      </c>
      <c r="M405" s="55">
        <f t="shared" si="12"/>
        <v>6252136.5762761962</v>
      </c>
      <c r="N405">
        <f t="shared" si="13"/>
        <v>45.299999999999898</v>
      </c>
    </row>
    <row r="406" spans="12:14" x14ac:dyDescent="0.2">
      <c r="L406">
        <v>45.399999999999899</v>
      </c>
      <c r="M406" s="55">
        <f t="shared" si="12"/>
        <v>6279338.6070932169</v>
      </c>
      <c r="N406">
        <f t="shared" si="13"/>
        <v>45.399999999999899</v>
      </c>
    </row>
    <row r="407" spans="12:14" x14ac:dyDescent="0.2">
      <c r="L407">
        <v>45.499999999999901</v>
      </c>
      <c r="M407" s="55">
        <f t="shared" si="12"/>
        <v>6306597.7646310488</v>
      </c>
      <c r="N407">
        <f t="shared" si="13"/>
        <v>45.499999999999901</v>
      </c>
    </row>
    <row r="408" spans="12:14" x14ac:dyDescent="0.2">
      <c r="L408">
        <v>45.599999999999902</v>
      </c>
      <c r="M408" s="55">
        <f t="shared" si="12"/>
        <v>6333914.0363233238</v>
      </c>
      <c r="N408">
        <f t="shared" si="13"/>
        <v>45.599999999999902</v>
      </c>
    </row>
    <row r="409" spans="12:14" x14ac:dyDescent="0.2">
      <c r="L409">
        <v>45.699999999999903</v>
      </c>
      <c r="M409" s="55">
        <f t="shared" si="12"/>
        <v>6361287.4096036693</v>
      </c>
      <c r="N409">
        <f t="shared" si="13"/>
        <v>45.699999999999903</v>
      </c>
    </row>
    <row r="410" spans="12:14" x14ac:dyDescent="0.2">
      <c r="L410">
        <v>45.799999999999898</v>
      </c>
      <c r="M410" s="55">
        <f t="shared" si="12"/>
        <v>6388717.8719057161</v>
      </c>
      <c r="N410">
        <f t="shared" si="13"/>
        <v>45.799999999999898</v>
      </c>
    </row>
    <row r="411" spans="12:14" x14ac:dyDescent="0.2">
      <c r="L411">
        <v>45.899999999999899</v>
      </c>
      <c r="M411" s="55">
        <f t="shared" si="12"/>
        <v>6416205.4106630934</v>
      </c>
      <c r="N411">
        <f t="shared" si="13"/>
        <v>45.899999999999899</v>
      </c>
    </row>
    <row r="412" spans="12:14" x14ac:dyDescent="0.2">
      <c r="L412">
        <v>45.999999999999901</v>
      </c>
      <c r="M412" s="55">
        <f t="shared" si="12"/>
        <v>6443750.0133094313</v>
      </c>
      <c r="N412">
        <f t="shared" si="13"/>
        <v>45.999999999999901</v>
      </c>
    </row>
    <row r="413" spans="12:14" x14ac:dyDescent="0.2">
      <c r="L413">
        <v>46.099999999999902</v>
      </c>
      <c r="M413" s="55">
        <f t="shared" si="12"/>
        <v>6471351.6672783578</v>
      </c>
      <c r="N413">
        <f t="shared" si="13"/>
        <v>46.099999999999902</v>
      </c>
    </row>
    <row r="414" spans="12:14" x14ac:dyDescent="0.2">
      <c r="L414">
        <v>46.199999999999903</v>
      </c>
      <c r="M414" s="55">
        <f t="shared" si="12"/>
        <v>6499010.3600035021</v>
      </c>
      <c r="N414">
        <f t="shared" si="13"/>
        <v>46.199999999999903</v>
      </c>
    </row>
    <row r="415" spans="12:14" x14ac:dyDescent="0.2">
      <c r="L415">
        <v>46.299999999999898</v>
      </c>
      <c r="M415" s="55">
        <f t="shared" si="12"/>
        <v>6526726.0789184934</v>
      </c>
      <c r="N415">
        <f t="shared" si="13"/>
        <v>46.299999999999898</v>
      </c>
    </row>
    <row r="416" spans="12:14" x14ac:dyDescent="0.2">
      <c r="L416">
        <v>46.3999999999998</v>
      </c>
      <c r="M416" s="55">
        <f t="shared" si="12"/>
        <v>6554498.8114569373</v>
      </c>
      <c r="N416">
        <f t="shared" si="13"/>
        <v>46.3999999999998</v>
      </c>
    </row>
    <row r="417" spans="12:14" x14ac:dyDescent="0.2">
      <c r="L417">
        <v>46.499999999999901</v>
      </c>
      <c r="M417" s="55">
        <f t="shared" si="12"/>
        <v>6582328.5450525433</v>
      </c>
      <c r="N417">
        <f t="shared" si="13"/>
        <v>46.499999999999901</v>
      </c>
    </row>
    <row r="418" spans="12:14" x14ac:dyDescent="0.2">
      <c r="L418">
        <v>46.599999999999902</v>
      </c>
      <c r="M418" s="55">
        <f t="shared" si="12"/>
        <v>6610215.2671388555</v>
      </c>
      <c r="N418">
        <f t="shared" si="13"/>
        <v>46.599999999999902</v>
      </c>
    </row>
    <row r="419" spans="12:14" x14ac:dyDescent="0.2">
      <c r="L419">
        <v>46.699999999999903</v>
      </c>
      <c r="M419" s="55">
        <f t="shared" si="12"/>
        <v>6638158.965149533</v>
      </c>
      <c r="N419">
        <f t="shared" si="13"/>
        <v>46.699999999999903</v>
      </c>
    </row>
    <row r="420" spans="12:14" x14ac:dyDescent="0.2">
      <c r="L420">
        <v>46.799999999999898</v>
      </c>
      <c r="M420" s="55">
        <f t="shared" si="12"/>
        <v>6666159.6265182067</v>
      </c>
      <c r="N420">
        <f t="shared" si="13"/>
        <v>46.799999999999898</v>
      </c>
    </row>
    <row r="421" spans="12:14" x14ac:dyDescent="0.2">
      <c r="L421">
        <v>46.8999999999998</v>
      </c>
      <c r="M421" s="55">
        <f t="shared" si="12"/>
        <v>6694217.2386784758</v>
      </c>
      <c r="N421">
        <f t="shared" si="13"/>
        <v>46.8999999999998</v>
      </c>
    </row>
    <row r="422" spans="12:14" x14ac:dyDescent="0.2">
      <c r="L422">
        <v>46.999999999999901</v>
      </c>
      <c r="M422" s="55">
        <f t="shared" si="12"/>
        <v>6722331.7890640562</v>
      </c>
      <c r="N422">
        <f t="shared" si="13"/>
        <v>46.999999999999901</v>
      </c>
    </row>
    <row r="423" spans="12:14" x14ac:dyDescent="0.2">
      <c r="L423">
        <v>47.099999999999902</v>
      </c>
      <c r="M423" s="55">
        <f t="shared" si="12"/>
        <v>6750503.2651084904</v>
      </c>
      <c r="N423">
        <f t="shared" si="13"/>
        <v>47.099999999999902</v>
      </c>
    </row>
    <row r="424" spans="12:14" x14ac:dyDescent="0.2">
      <c r="L424">
        <v>47.199999999999797</v>
      </c>
      <c r="M424" s="55">
        <f t="shared" si="12"/>
        <v>6778731.6542454064</v>
      </c>
      <c r="N424">
        <f t="shared" si="13"/>
        <v>47.199999999999797</v>
      </c>
    </row>
    <row r="425" spans="12:14" x14ac:dyDescent="0.2">
      <c r="L425">
        <v>47.299999999999798</v>
      </c>
      <c r="M425" s="55">
        <f t="shared" si="12"/>
        <v>6807016.9439084968</v>
      </c>
      <c r="N425">
        <f t="shared" si="13"/>
        <v>47.299999999999798</v>
      </c>
    </row>
    <row r="426" spans="12:14" x14ac:dyDescent="0.2">
      <c r="L426">
        <v>47.3999999999998</v>
      </c>
      <c r="M426" s="55">
        <f t="shared" si="12"/>
        <v>6835359.121531358</v>
      </c>
      <c r="N426">
        <f t="shared" si="13"/>
        <v>47.3999999999998</v>
      </c>
    </row>
    <row r="427" spans="12:14" x14ac:dyDescent="0.2">
      <c r="L427">
        <v>47.499999999999901</v>
      </c>
      <c r="M427" s="55">
        <f t="shared" si="12"/>
        <v>6863758.1745476462</v>
      </c>
      <c r="N427">
        <f t="shared" si="13"/>
        <v>47.499999999999901</v>
      </c>
    </row>
    <row r="428" spans="12:14" x14ac:dyDescent="0.2">
      <c r="L428">
        <v>47.599999999999902</v>
      </c>
      <c r="M428" s="55">
        <f t="shared" si="12"/>
        <v>6892214.0903909374</v>
      </c>
      <c r="N428">
        <f t="shared" si="13"/>
        <v>47.599999999999902</v>
      </c>
    </row>
    <row r="429" spans="12:14" x14ac:dyDescent="0.2">
      <c r="L429">
        <v>47.699999999999797</v>
      </c>
      <c r="M429" s="55">
        <f t="shared" si="12"/>
        <v>6920726.856494857</v>
      </c>
      <c r="N429">
        <f t="shared" si="13"/>
        <v>47.699999999999797</v>
      </c>
    </row>
    <row r="430" spans="12:14" x14ac:dyDescent="0.2">
      <c r="L430">
        <v>47.799999999999798</v>
      </c>
      <c r="M430" s="55">
        <f t="shared" si="12"/>
        <v>6949296.4602930956</v>
      </c>
      <c r="N430">
        <f t="shared" si="13"/>
        <v>47.799999999999798</v>
      </c>
    </row>
    <row r="431" spans="12:14" x14ac:dyDescent="0.2">
      <c r="L431">
        <v>47.8999999999998</v>
      </c>
      <c r="M431" s="55">
        <f t="shared" si="12"/>
        <v>6977922.8892192524</v>
      </c>
      <c r="N431">
        <f t="shared" si="13"/>
        <v>47.8999999999998</v>
      </c>
    </row>
    <row r="432" spans="12:14" x14ac:dyDescent="0.2">
      <c r="L432">
        <v>47.999999999999801</v>
      </c>
      <c r="M432" s="55">
        <f t="shared" si="12"/>
        <v>7006606.1307069585</v>
      </c>
      <c r="N432">
        <f t="shared" si="13"/>
        <v>47.999999999999801</v>
      </c>
    </row>
    <row r="433" spans="12:14" x14ac:dyDescent="0.2">
      <c r="L433">
        <v>48.099999999999802</v>
      </c>
      <c r="M433" s="55">
        <f t="shared" si="12"/>
        <v>7035346.1721898392</v>
      </c>
      <c r="N433">
        <f t="shared" si="13"/>
        <v>48.099999999999802</v>
      </c>
    </row>
    <row r="434" spans="12:14" x14ac:dyDescent="0.2">
      <c r="L434">
        <v>48.199999999999797</v>
      </c>
      <c r="M434" s="55">
        <f t="shared" si="12"/>
        <v>7064143.0011015246</v>
      </c>
      <c r="N434">
        <f t="shared" si="13"/>
        <v>48.199999999999797</v>
      </c>
    </row>
    <row r="435" spans="12:14" x14ac:dyDescent="0.2">
      <c r="L435">
        <v>48.299999999999798</v>
      </c>
      <c r="M435" s="55">
        <f t="shared" si="12"/>
        <v>7092996.6048756484</v>
      </c>
      <c r="N435">
        <f t="shared" si="13"/>
        <v>48.299999999999798</v>
      </c>
    </row>
    <row r="436" spans="12:14" x14ac:dyDescent="0.2">
      <c r="L436">
        <v>48.3999999999998</v>
      </c>
      <c r="M436" s="55">
        <f t="shared" si="12"/>
        <v>7121906.970945837</v>
      </c>
      <c r="N436">
        <f t="shared" si="13"/>
        <v>48.3999999999998</v>
      </c>
    </row>
    <row r="437" spans="12:14" x14ac:dyDescent="0.2">
      <c r="L437">
        <v>48.499999999999801</v>
      </c>
      <c r="M437" s="55">
        <f t="shared" si="12"/>
        <v>7150874.0867457204</v>
      </c>
      <c r="N437">
        <f t="shared" si="13"/>
        <v>48.499999999999801</v>
      </c>
    </row>
    <row r="438" spans="12:14" x14ac:dyDescent="0.2">
      <c r="L438">
        <v>48.599999999999802</v>
      </c>
      <c r="M438" s="55">
        <f t="shared" si="12"/>
        <v>7179897.9397089276</v>
      </c>
      <c r="N438">
        <f t="shared" si="13"/>
        <v>48.599999999999802</v>
      </c>
    </row>
    <row r="439" spans="12:14" x14ac:dyDescent="0.2">
      <c r="L439">
        <v>48.699999999999797</v>
      </c>
      <c r="M439" s="55">
        <f t="shared" si="12"/>
        <v>7208978.5172690842</v>
      </c>
      <c r="N439">
        <f t="shared" si="13"/>
        <v>48.699999999999797</v>
      </c>
    </row>
    <row r="440" spans="12:14" x14ac:dyDescent="0.2">
      <c r="L440">
        <v>48.799999999999798</v>
      </c>
      <c r="M440" s="55">
        <f t="shared" si="12"/>
        <v>7238115.8068598276</v>
      </c>
      <c r="N440">
        <f t="shared" si="13"/>
        <v>48.799999999999798</v>
      </c>
    </row>
    <row r="441" spans="12:14" x14ac:dyDescent="0.2">
      <c r="L441">
        <v>48.8999999999998</v>
      </c>
      <c r="M441" s="55">
        <f t="shared" si="12"/>
        <v>7267309.7959147822</v>
      </c>
      <c r="N441">
        <f t="shared" si="13"/>
        <v>48.8999999999998</v>
      </c>
    </row>
    <row r="442" spans="12:14" x14ac:dyDescent="0.2">
      <c r="L442">
        <v>48.999999999999801</v>
      </c>
      <c r="M442" s="55">
        <f t="shared" si="12"/>
        <v>7296560.4718675781</v>
      </c>
      <c r="N442">
        <f t="shared" si="13"/>
        <v>48.999999999999801</v>
      </c>
    </row>
    <row r="443" spans="12:14" x14ac:dyDescent="0.2">
      <c r="L443">
        <v>49.099999999999802</v>
      </c>
      <c r="M443" s="55">
        <f t="shared" si="12"/>
        <v>7325867.8221518435</v>
      </c>
      <c r="N443">
        <f t="shared" si="13"/>
        <v>49.099999999999802</v>
      </c>
    </row>
    <row r="444" spans="12:14" x14ac:dyDescent="0.2">
      <c r="L444">
        <v>49.199999999999797</v>
      </c>
      <c r="M444" s="55">
        <f t="shared" si="12"/>
        <v>7355231.8342012083</v>
      </c>
      <c r="N444">
        <f t="shared" si="13"/>
        <v>49.199999999999797</v>
      </c>
    </row>
    <row r="445" spans="12:14" x14ac:dyDescent="0.2">
      <c r="L445">
        <v>49.299999999999798</v>
      </c>
      <c r="M445" s="55">
        <f t="shared" si="12"/>
        <v>7384652.4954493064</v>
      </c>
      <c r="N445">
        <f t="shared" si="13"/>
        <v>49.299999999999798</v>
      </c>
    </row>
    <row r="446" spans="12:14" x14ac:dyDescent="0.2">
      <c r="L446">
        <v>49.3999999999998</v>
      </c>
      <c r="M446" s="55">
        <f t="shared" si="12"/>
        <v>7414129.7933297614</v>
      </c>
      <c r="N446">
        <f t="shared" si="13"/>
        <v>49.3999999999998</v>
      </c>
    </row>
    <row r="447" spans="12:14" x14ac:dyDescent="0.2">
      <c r="L447">
        <v>49.499999999999801</v>
      </c>
      <c r="M447" s="55">
        <f t="shared" si="12"/>
        <v>7443663.7152762059</v>
      </c>
      <c r="N447">
        <f t="shared" si="13"/>
        <v>49.499999999999801</v>
      </c>
    </row>
    <row r="448" spans="12:14" x14ac:dyDescent="0.2">
      <c r="L448">
        <v>49.599999999999802</v>
      </c>
      <c r="M448" s="55">
        <f t="shared" si="12"/>
        <v>7473254.2487222664</v>
      </c>
      <c r="N448">
        <f t="shared" si="13"/>
        <v>49.599999999999802</v>
      </c>
    </row>
    <row r="449" spans="12:14" x14ac:dyDescent="0.2">
      <c r="L449">
        <v>49.699999999999797</v>
      </c>
      <c r="M449" s="55">
        <f t="shared" si="12"/>
        <v>7502901.381101572</v>
      </c>
      <c r="N449">
        <f t="shared" si="13"/>
        <v>49.699999999999797</v>
      </c>
    </row>
    <row r="450" spans="12:14" x14ac:dyDescent="0.2">
      <c r="L450">
        <v>49.799999999999798</v>
      </c>
      <c r="M450" s="55">
        <f t="shared" ref="M450:M452" si="14">4/3*PI()*L450^3+PI()*L450^2*($K$2-2*L450)</f>
        <v>7532605.0998477582</v>
      </c>
      <c r="N450">
        <f t="shared" si="13"/>
        <v>49.799999999999798</v>
      </c>
    </row>
    <row r="451" spans="12:14" x14ac:dyDescent="0.2">
      <c r="L451">
        <v>49.8999999999998</v>
      </c>
      <c r="M451" s="55">
        <f t="shared" si="14"/>
        <v>7562365.3923944486</v>
      </c>
      <c r="N451">
        <f t="shared" si="13"/>
        <v>49.8999999999998</v>
      </c>
    </row>
    <row r="452" spans="12:14" x14ac:dyDescent="0.2">
      <c r="L452">
        <v>49.999999999999801</v>
      </c>
      <c r="M452" s="55">
        <f t="shared" si="14"/>
        <v>7592182.2461752743</v>
      </c>
      <c r="N452">
        <f t="shared" si="13"/>
        <v>49.999999999999801</v>
      </c>
    </row>
  </sheetData>
  <sheetProtection password="8E8F" sheet="1" objects="1" scenarios="1"/>
  <dataValidations count="1">
    <dataValidation type="list" showInputMessage="1" showErrorMessage="1" sqref="C6:C7" xr:uid="{00000000-0002-0000-0300-000000000000}">
      <formula1>$F$4:$F$5</formula1>
    </dataValidation>
  </dataValidation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1E3D4-E2DF-4135-BC48-40D1F2F0C115}">
  <dimension ref="A1:P194"/>
  <sheetViews>
    <sheetView topLeftCell="B131" workbookViewId="0">
      <selection activeCell="A188" sqref="A188"/>
    </sheetView>
  </sheetViews>
  <sheetFormatPr defaultRowHeight="12.75" x14ac:dyDescent="0.2"/>
  <cols>
    <col min="1" max="1" width="44.7109375" bestFit="1" customWidth="1"/>
  </cols>
  <sheetData>
    <row r="1" spans="1:16" x14ac:dyDescent="0.2">
      <c r="A1" t="s">
        <v>0</v>
      </c>
      <c r="B1" t="s">
        <v>1</v>
      </c>
      <c r="J1" t="s">
        <v>244</v>
      </c>
      <c r="K1" t="s">
        <v>1</v>
      </c>
    </row>
    <row r="3" spans="1:16" x14ac:dyDescent="0.2">
      <c r="J3" t="s">
        <v>24</v>
      </c>
    </row>
    <row r="4" spans="1:16" x14ac:dyDescent="0.2">
      <c r="J4" t="s">
        <v>27</v>
      </c>
      <c r="K4" t="s">
        <v>28</v>
      </c>
      <c r="L4" t="s">
        <v>159</v>
      </c>
      <c r="M4" t="s">
        <v>159</v>
      </c>
      <c r="N4" t="s">
        <v>159</v>
      </c>
      <c r="O4" t="s">
        <v>159</v>
      </c>
      <c r="P4" t="s">
        <v>159</v>
      </c>
    </row>
    <row r="5" spans="1:16" x14ac:dyDescent="0.2">
      <c r="J5" t="s">
        <v>161</v>
      </c>
      <c r="K5" t="s">
        <v>31</v>
      </c>
      <c r="L5">
        <v>200</v>
      </c>
      <c r="M5">
        <v>230</v>
      </c>
      <c r="N5">
        <v>260</v>
      </c>
      <c r="O5">
        <v>290</v>
      </c>
      <c r="P5">
        <v>350</v>
      </c>
    </row>
    <row r="6" spans="1:16" x14ac:dyDescent="0.2">
      <c r="J6" t="s">
        <v>33</v>
      </c>
      <c r="K6" t="s">
        <v>34</v>
      </c>
    </row>
    <row r="7" spans="1:16" x14ac:dyDescent="0.2">
      <c r="A7" t="s">
        <v>24</v>
      </c>
      <c r="J7" t="s">
        <v>164</v>
      </c>
    </row>
    <row r="8" spans="1:16" x14ac:dyDescent="0.2">
      <c r="A8" t="s">
        <v>27</v>
      </c>
      <c r="B8" t="s">
        <v>28</v>
      </c>
      <c r="C8">
        <v>-50</v>
      </c>
      <c r="D8">
        <v>-50</v>
      </c>
      <c r="E8">
        <v>-50</v>
      </c>
      <c r="F8">
        <v>-50</v>
      </c>
      <c r="G8">
        <v>-50</v>
      </c>
      <c r="J8" t="s">
        <v>177</v>
      </c>
      <c r="K8" t="s">
        <v>38</v>
      </c>
      <c r="L8">
        <v>0.4</v>
      </c>
      <c r="M8">
        <v>0.4</v>
      </c>
      <c r="N8">
        <v>0.4</v>
      </c>
      <c r="O8">
        <v>0.4</v>
      </c>
      <c r="P8">
        <v>0.4</v>
      </c>
    </row>
    <row r="9" spans="1:16" s="40" customFormat="1" x14ac:dyDescent="0.2">
      <c r="A9" s="40" t="s">
        <v>30</v>
      </c>
      <c r="B9" s="40" t="s">
        <v>31</v>
      </c>
      <c r="C9" s="40">
        <v>10</v>
      </c>
      <c r="D9" s="40">
        <v>50</v>
      </c>
      <c r="E9" s="40">
        <v>90</v>
      </c>
      <c r="F9" s="40">
        <v>130</v>
      </c>
      <c r="G9" s="40">
        <v>170</v>
      </c>
      <c r="J9" s="40" t="s">
        <v>167</v>
      </c>
      <c r="K9" s="40" t="s">
        <v>51</v>
      </c>
      <c r="L9" s="40">
        <v>0.8</v>
      </c>
      <c r="M9" s="40">
        <v>0.8</v>
      </c>
      <c r="N9" s="40">
        <v>0.8</v>
      </c>
      <c r="O9" s="40">
        <v>0.8</v>
      </c>
      <c r="P9" s="40">
        <v>0.8</v>
      </c>
    </row>
    <row r="10" spans="1:16" x14ac:dyDescent="0.2">
      <c r="A10" t="s">
        <v>33</v>
      </c>
      <c r="B10" t="s">
        <v>34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</row>
    <row r="11" spans="1:16" x14ac:dyDescent="0.2">
      <c r="J11" t="s">
        <v>36</v>
      </c>
    </row>
    <row r="12" spans="1:16" x14ac:dyDescent="0.2">
      <c r="A12" t="s">
        <v>36</v>
      </c>
      <c r="J12" t="s">
        <v>37</v>
      </c>
      <c r="K12" t="s">
        <v>38</v>
      </c>
      <c r="L12">
        <v>1000</v>
      </c>
      <c r="M12">
        <v>1000</v>
      </c>
      <c r="N12">
        <v>1000</v>
      </c>
      <c r="O12">
        <v>1000</v>
      </c>
      <c r="P12">
        <v>1000</v>
      </c>
    </row>
    <row r="13" spans="1:16" x14ac:dyDescent="0.2">
      <c r="A13" t="s">
        <v>37</v>
      </c>
      <c r="B13" t="s">
        <v>38</v>
      </c>
      <c r="C13">
        <v>1000</v>
      </c>
      <c r="D13">
        <v>1000</v>
      </c>
      <c r="E13">
        <v>1000</v>
      </c>
      <c r="F13">
        <v>1000</v>
      </c>
      <c r="G13">
        <v>1000</v>
      </c>
      <c r="J13" t="s">
        <v>40</v>
      </c>
      <c r="K13" t="s">
        <v>38</v>
      </c>
    </row>
    <row r="14" spans="1:16" x14ac:dyDescent="0.2">
      <c r="A14" t="s">
        <v>40</v>
      </c>
      <c r="B14" t="s">
        <v>38</v>
      </c>
      <c r="J14" t="s">
        <v>41</v>
      </c>
      <c r="K14" t="s">
        <v>42</v>
      </c>
      <c r="L14">
        <v>3000000</v>
      </c>
      <c r="M14">
        <v>3000000</v>
      </c>
      <c r="N14">
        <v>3000000</v>
      </c>
      <c r="O14">
        <v>3000000</v>
      </c>
      <c r="P14">
        <v>3000000</v>
      </c>
    </row>
    <row r="15" spans="1:16" x14ac:dyDescent="0.2">
      <c r="A15" t="s">
        <v>41</v>
      </c>
      <c r="B15" t="s">
        <v>42</v>
      </c>
      <c r="C15">
        <v>3000000</v>
      </c>
      <c r="D15">
        <v>3000000</v>
      </c>
      <c r="E15">
        <v>3000000</v>
      </c>
      <c r="F15">
        <v>3000000</v>
      </c>
      <c r="G15">
        <v>3000000</v>
      </c>
    </row>
    <row r="16" spans="1:16" x14ac:dyDescent="0.2">
      <c r="J16" t="s">
        <v>44</v>
      </c>
    </row>
    <row r="17" spans="1:16" x14ac:dyDescent="0.2">
      <c r="A17" t="s">
        <v>44</v>
      </c>
      <c r="J17" t="s">
        <v>45</v>
      </c>
      <c r="K17" t="s">
        <v>38</v>
      </c>
      <c r="L17">
        <v>1000</v>
      </c>
      <c r="M17">
        <v>1000</v>
      </c>
      <c r="N17">
        <v>1000</v>
      </c>
      <c r="O17">
        <v>1000</v>
      </c>
      <c r="P17">
        <v>1000</v>
      </c>
    </row>
    <row r="18" spans="1:16" x14ac:dyDescent="0.2">
      <c r="A18" t="s">
        <v>45</v>
      </c>
      <c r="B18" t="s">
        <v>38</v>
      </c>
      <c r="C18">
        <v>1000</v>
      </c>
      <c r="D18">
        <v>1000</v>
      </c>
      <c r="E18">
        <v>1000</v>
      </c>
      <c r="F18">
        <v>1000</v>
      </c>
      <c r="G18">
        <v>1000</v>
      </c>
      <c r="J18" t="s">
        <v>47</v>
      </c>
      <c r="K18" t="s">
        <v>38</v>
      </c>
      <c r="L18">
        <v>31.1999999999999</v>
      </c>
      <c r="M18">
        <v>31.1999999999999</v>
      </c>
      <c r="N18">
        <v>31.1999999999999</v>
      </c>
      <c r="O18">
        <v>31.1999999999999</v>
      </c>
      <c r="P18">
        <v>31.1999999999999</v>
      </c>
    </row>
    <row r="19" spans="1:16" x14ac:dyDescent="0.2">
      <c r="A19" t="s">
        <v>47</v>
      </c>
      <c r="B19" t="s">
        <v>38</v>
      </c>
      <c r="C19">
        <v>31.1999999999999</v>
      </c>
      <c r="D19">
        <v>31.1999999999999</v>
      </c>
      <c r="E19">
        <v>31.1999999999999</v>
      </c>
      <c r="F19">
        <v>31.1999999999999</v>
      </c>
      <c r="G19">
        <v>31.1999999999999</v>
      </c>
      <c r="J19" t="s">
        <v>48</v>
      </c>
      <c r="K19" t="s">
        <v>42</v>
      </c>
      <c r="L19">
        <v>2994542.3920940524</v>
      </c>
      <c r="M19">
        <v>2994542.3920940524</v>
      </c>
      <c r="N19">
        <v>2994542.3920940524</v>
      </c>
      <c r="O19">
        <v>2994542.3920940524</v>
      </c>
      <c r="P19">
        <v>2994542.3920940524</v>
      </c>
    </row>
    <row r="20" spans="1:16" x14ac:dyDescent="0.2">
      <c r="A20" t="s">
        <v>48</v>
      </c>
      <c r="B20" t="s">
        <v>42</v>
      </c>
      <c r="C20">
        <v>2994542.3920940524</v>
      </c>
      <c r="D20">
        <v>2994542.3920940524</v>
      </c>
      <c r="E20">
        <v>2994542.3920940524</v>
      </c>
      <c r="F20">
        <v>2994542.3920940524</v>
      </c>
      <c r="G20">
        <v>2994542.3920940524</v>
      </c>
      <c r="J20" t="s">
        <v>50</v>
      </c>
      <c r="K20" t="s">
        <v>51</v>
      </c>
      <c r="L20">
        <v>0.99818079736468412</v>
      </c>
      <c r="M20">
        <v>0.99818079736468412</v>
      </c>
      <c r="N20">
        <v>0.99818079736468412</v>
      </c>
      <c r="O20">
        <v>0.99818079736468412</v>
      </c>
      <c r="P20">
        <v>0.99818079736468412</v>
      </c>
    </row>
    <row r="21" spans="1:16" x14ac:dyDescent="0.2">
      <c r="A21" t="s">
        <v>50</v>
      </c>
      <c r="B21" t="s">
        <v>51</v>
      </c>
      <c r="C21">
        <v>0.99818079736468412</v>
      </c>
      <c r="D21">
        <v>0.99818079736468412</v>
      </c>
      <c r="E21">
        <v>0.99818079736468412</v>
      </c>
      <c r="F21">
        <v>0.99818079736468412</v>
      </c>
      <c r="G21">
        <v>0.99818079736468412</v>
      </c>
    </row>
    <row r="22" spans="1:16" x14ac:dyDescent="0.2">
      <c r="J22" t="s">
        <v>68</v>
      </c>
    </row>
    <row r="23" spans="1:16" x14ac:dyDescent="0.2">
      <c r="A23" t="s">
        <v>53</v>
      </c>
      <c r="J23" t="s">
        <v>249</v>
      </c>
      <c r="K23" t="s">
        <v>31</v>
      </c>
      <c r="L23">
        <v>15306</v>
      </c>
      <c r="M23">
        <v>15306</v>
      </c>
      <c r="N23">
        <v>15306</v>
      </c>
      <c r="O23">
        <v>15306</v>
      </c>
      <c r="P23">
        <v>15306</v>
      </c>
    </row>
    <row r="24" spans="1:16" x14ac:dyDescent="0.2">
      <c r="A24" t="s">
        <v>3</v>
      </c>
      <c r="B24" t="s">
        <v>31</v>
      </c>
      <c r="C24">
        <v>2953.4752841379309</v>
      </c>
      <c r="D24">
        <v>2953.4752841379309</v>
      </c>
      <c r="E24">
        <v>2953.4752841379309</v>
      </c>
      <c r="F24">
        <v>2953.4752841379309</v>
      </c>
      <c r="G24">
        <v>2953.4752841379309</v>
      </c>
      <c r="J24" t="s">
        <v>251</v>
      </c>
      <c r="K24" t="s">
        <v>34</v>
      </c>
      <c r="L24">
        <v>2.25</v>
      </c>
      <c r="M24">
        <v>2.25</v>
      </c>
      <c r="N24">
        <v>2.25</v>
      </c>
      <c r="O24">
        <v>2.25</v>
      </c>
      <c r="P24">
        <v>2.25</v>
      </c>
    </row>
    <row r="25" spans="1:16" x14ac:dyDescent="0.2">
      <c r="A25" t="s">
        <v>9</v>
      </c>
      <c r="B25" t="s">
        <v>31</v>
      </c>
      <c r="C25">
        <v>3931.03448275862</v>
      </c>
      <c r="D25">
        <v>3931.03448275862</v>
      </c>
      <c r="E25">
        <v>3931.03448275862</v>
      </c>
      <c r="F25">
        <v>3931.03448275862</v>
      </c>
      <c r="G25">
        <v>3931.03448275862</v>
      </c>
      <c r="J25" t="s">
        <v>184</v>
      </c>
      <c r="K25" t="s">
        <v>38</v>
      </c>
      <c r="L25">
        <v>31.599999999999898</v>
      </c>
      <c r="M25">
        <v>31.599999999999898</v>
      </c>
      <c r="N25">
        <v>31.599999999999898</v>
      </c>
      <c r="O25">
        <v>31.599999999999898</v>
      </c>
      <c r="P25">
        <v>31.599999999999898</v>
      </c>
    </row>
    <row r="26" spans="1:16" x14ac:dyDescent="0.2">
      <c r="A26" t="s">
        <v>12</v>
      </c>
      <c r="B26" t="s">
        <v>31</v>
      </c>
      <c r="C26">
        <v>7239</v>
      </c>
      <c r="D26">
        <v>7239</v>
      </c>
      <c r="E26">
        <v>7239</v>
      </c>
      <c r="F26">
        <v>7239</v>
      </c>
      <c r="G26">
        <v>7239</v>
      </c>
      <c r="J26" t="s">
        <v>185</v>
      </c>
      <c r="K26" t="s">
        <v>38</v>
      </c>
      <c r="L26">
        <v>1.1613092904743201</v>
      </c>
      <c r="M26">
        <v>1.3355056840454682</v>
      </c>
      <c r="N26">
        <v>1.5097020776166161</v>
      </c>
      <c r="O26">
        <v>1.683898471187764</v>
      </c>
      <c r="P26">
        <v>2.0322912583300599</v>
      </c>
    </row>
    <row r="27" spans="1:16" x14ac:dyDescent="0.2">
      <c r="A27" t="s">
        <v>14</v>
      </c>
      <c r="B27" t="s">
        <v>31</v>
      </c>
      <c r="C27">
        <v>10043</v>
      </c>
      <c r="D27">
        <v>10043</v>
      </c>
      <c r="E27">
        <v>10043</v>
      </c>
      <c r="F27">
        <v>10043</v>
      </c>
      <c r="G27">
        <v>10043</v>
      </c>
      <c r="J27" t="s">
        <v>187</v>
      </c>
      <c r="K27" t="s">
        <v>38</v>
      </c>
      <c r="L27">
        <v>9.1439999999999994E-2</v>
      </c>
      <c r="M27">
        <v>9.1439999999999994E-2</v>
      </c>
      <c r="N27">
        <v>9.1439999999999994E-2</v>
      </c>
      <c r="O27">
        <v>9.1439999999999994E-2</v>
      </c>
      <c r="P27">
        <v>9.1439999999999994E-2</v>
      </c>
    </row>
    <row r="28" spans="1:16" x14ac:dyDescent="0.2">
      <c r="J28" t="s">
        <v>189</v>
      </c>
      <c r="L28">
        <v>13</v>
      </c>
      <c r="M28">
        <v>15</v>
      </c>
      <c r="N28">
        <v>17</v>
      </c>
      <c r="O28">
        <v>19</v>
      </c>
      <c r="P28">
        <v>23</v>
      </c>
    </row>
    <row r="29" spans="1:16" x14ac:dyDescent="0.2">
      <c r="A29" t="s">
        <v>54</v>
      </c>
      <c r="J29" t="s">
        <v>190</v>
      </c>
      <c r="K29" t="s">
        <v>38</v>
      </c>
      <c r="L29">
        <v>1.18872</v>
      </c>
      <c r="M29">
        <v>1.3715999999999999</v>
      </c>
      <c r="N29">
        <v>1.5544799999999999</v>
      </c>
      <c r="O29">
        <v>1.7373599999999998</v>
      </c>
      <c r="P29">
        <v>2.1031199999999997</v>
      </c>
    </row>
    <row r="30" spans="1:16" x14ac:dyDescent="0.2">
      <c r="A30" t="s">
        <v>3</v>
      </c>
      <c r="B30" t="s">
        <v>31</v>
      </c>
      <c r="C30">
        <v>3327.5806200000002</v>
      </c>
      <c r="D30">
        <v>3327.5806200000002</v>
      </c>
      <c r="E30">
        <v>3327.5806200000002</v>
      </c>
      <c r="F30">
        <v>3327.5806200000002</v>
      </c>
      <c r="G30">
        <v>3327.5806200000002</v>
      </c>
      <c r="J30" t="s">
        <v>191</v>
      </c>
      <c r="K30" t="s">
        <v>38</v>
      </c>
      <c r="L30">
        <v>0.27432000000000001</v>
      </c>
      <c r="M30">
        <v>0.27432000000000001</v>
      </c>
      <c r="N30">
        <v>0.27432000000000001</v>
      </c>
      <c r="O30">
        <v>0.27432000000000001</v>
      </c>
      <c r="P30">
        <v>0.27432000000000001</v>
      </c>
    </row>
    <row r="31" spans="1:16" x14ac:dyDescent="0.2">
      <c r="A31" t="s">
        <v>9</v>
      </c>
      <c r="B31" t="s">
        <v>31</v>
      </c>
      <c r="C31">
        <v>8048.0999999999995</v>
      </c>
      <c r="D31">
        <v>8048.0999999999995</v>
      </c>
      <c r="E31">
        <v>8048.0999999999995</v>
      </c>
      <c r="F31">
        <v>8048.0999999999995</v>
      </c>
      <c r="G31">
        <v>8048.0999999999995</v>
      </c>
      <c r="J31" t="s">
        <v>193</v>
      </c>
      <c r="K31" t="s">
        <v>38</v>
      </c>
      <c r="L31">
        <v>1.18872</v>
      </c>
      <c r="M31">
        <v>1.3715999999999999</v>
      </c>
      <c r="N31">
        <v>1.5544799999999999</v>
      </c>
      <c r="O31">
        <v>1.7373599999999998</v>
      </c>
      <c r="P31">
        <v>2.1031199999999997</v>
      </c>
    </row>
    <row r="32" spans="1:16" x14ac:dyDescent="0.2">
      <c r="A32" t="s">
        <v>12</v>
      </c>
      <c r="B32" t="s">
        <v>31</v>
      </c>
      <c r="C32">
        <v>8963</v>
      </c>
      <c r="D32">
        <v>8963</v>
      </c>
      <c r="E32">
        <v>8963</v>
      </c>
      <c r="F32">
        <v>8963</v>
      </c>
      <c r="G32">
        <v>8963</v>
      </c>
      <c r="J32" t="s">
        <v>254</v>
      </c>
      <c r="L32">
        <v>2.3031073822784882</v>
      </c>
      <c r="M32">
        <v>2.310810082553667</v>
      </c>
      <c r="N32">
        <v>2.3167352366114971</v>
      </c>
      <c r="O32">
        <v>2.3214344967263276</v>
      </c>
      <c r="P32">
        <v>2.328416254611219</v>
      </c>
    </row>
    <row r="33" spans="1:16" x14ac:dyDescent="0.2">
      <c r="A33" t="s">
        <v>14</v>
      </c>
      <c r="B33" t="s">
        <v>31</v>
      </c>
      <c r="C33">
        <v>11187</v>
      </c>
      <c r="D33">
        <v>11187</v>
      </c>
      <c r="E33">
        <v>11187</v>
      </c>
      <c r="F33">
        <v>11187</v>
      </c>
      <c r="G33">
        <v>11187</v>
      </c>
      <c r="J33" t="s">
        <v>256</v>
      </c>
      <c r="K33" t="s">
        <v>31</v>
      </c>
      <c r="L33">
        <v>460.62147645569763</v>
      </c>
      <c r="M33">
        <v>531.48631898734345</v>
      </c>
      <c r="N33">
        <v>602.35116151898922</v>
      </c>
      <c r="O33">
        <v>673.21600405063498</v>
      </c>
      <c r="P33">
        <v>814.94568911392662</v>
      </c>
    </row>
    <row r="35" spans="1:16" x14ac:dyDescent="0.2">
      <c r="A35" t="s">
        <v>55</v>
      </c>
      <c r="J35" t="s">
        <v>78</v>
      </c>
    </row>
    <row r="36" spans="1:16" x14ac:dyDescent="0.2">
      <c r="A36" t="s">
        <v>3</v>
      </c>
      <c r="B36" t="s">
        <v>56</v>
      </c>
      <c r="C36">
        <v>2.663E-3</v>
      </c>
      <c r="D36">
        <v>2.663E-3</v>
      </c>
      <c r="E36">
        <v>2.663E-3</v>
      </c>
      <c r="F36">
        <v>2.663E-3</v>
      </c>
      <c r="G36">
        <v>2.663E-3</v>
      </c>
      <c r="J36" t="s">
        <v>79</v>
      </c>
      <c r="K36" t="s">
        <v>38</v>
      </c>
      <c r="L36">
        <v>1003.1774399999999</v>
      </c>
      <c r="M36">
        <v>1003.5432</v>
      </c>
      <c r="N36">
        <v>1003.90896</v>
      </c>
      <c r="O36">
        <v>1004.27472</v>
      </c>
      <c r="P36">
        <v>1005.0062399999999</v>
      </c>
    </row>
    <row r="37" spans="1:16" x14ac:dyDescent="0.2">
      <c r="A37" t="s">
        <v>9</v>
      </c>
      <c r="B37" t="s">
        <v>56</v>
      </c>
      <c r="C37">
        <v>8.0269999999999994E-3</v>
      </c>
      <c r="D37">
        <v>8.0269999999999994E-3</v>
      </c>
      <c r="E37">
        <v>8.0269999999999994E-3</v>
      </c>
      <c r="F37">
        <v>8.0269999999999994E-3</v>
      </c>
      <c r="G37">
        <v>8.0269999999999994E-3</v>
      </c>
      <c r="J37" t="s">
        <v>81</v>
      </c>
      <c r="K37" t="s">
        <v>38</v>
      </c>
      <c r="L37">
        <v>32.788719999999898</v>
      </c>
      <c r="M37">
        <v>32.971599999999896</v>
      </c>
      <c r="N37">
        <v>33.1544799999999</v>
      </c>
      <c r="O37">
        <v>33.337359999999897</v>
      </c>
      <c r="P37">
        <v>33.703119999999899</v>
      </c>
    </row>
    <row r="38" spans="1:16" x14ac:dyDescent="0.2">
      <c r="A38" t="s">
        <v>12</v>
      </c>
      <c r="B38" t="s">
        <v>56</v>
      </c>
      <c r="C38">
        <v>7.7000000000000002E-3</v>
      </c>
      <c r="D38">
        <v>7.7000000000000002E-3</v>
      </c>
      <c r="E38">
        <v>7.7000000000000002E-3</v>
      </c>
      <c r="F38">
        <v>7.7000000000000002E-3</v>
      </c>
      <c r="G38">
        <v>7.7000000000000002E-3</v>
      </c>
      <c r="J38" t="s">
        <v>82</v>
      </c>
      <c r="K38" t="s">
        <v>42</v>
      </c>
      <c r="L38">
        <v>3314428.7979075015</v>
      </c>
      <c r="M38">
        <v>3352337.3327145083</v>
      </c>
      <c r="N38">
        <v>3390470.6112392577</v>
      </c>
      <c r="O38">
        <v>3428828.7872046246</v>
      </c>
      <c r="P38">
        <v>3506220.44634871</v>
      </c>
    </row>
    <row r="39" spans="1:16" x14ac:dyDescent="0.2">
      <c r="A39" t="s">
        <v>14</v>
      </c>
      <c r="B39" t="s">
        <v>56</v>
      </c>
      <c r="C39">
        <v>7.8499999999999993E-3</v>
      </c>
      <c r="D39">
        <v>7.8499999999999993E-3</v>
      </c>
      <c r="E39">
        <v>7.8499999999999993E-3</v>
      </c>
      <c r="F39">
        <v>7.8499999999999993E-3</v>
      </c>
      <c r="G39">
        <v>7.8499999999999993E-3</v>
      </c>
      <c r="J39" t="s">
        <v>83</v>
      </c>
      <c r="K39" t="s">
        <v>34</v>
      </c>
      <c r="L39">
        <v>15.297599906309289</v>
      </c>
      <c r="M39">
        <v>15.218296958594717</v>
      </c>
      <c r="N39">
        <v>15.139868880465068</v>
      </c>
      <c r="O39">
        <v>15.062301274006147</v>
      </c>
      <c r="P39">
        <v>14.909691446964004</v>
      </c>
    </row>
    <row r="41" spans="1:16" x14ac:dyDescent="0.2">
      <c r="A41" t="s">
        <v>57</v>
      </c>
      <c r="J41" t="s">
        <v>258</v>
      </c>
    </row>
    <row r="42" spans="1:16" x14ac:dyDescent="0.2">
      <c r="A42" t="s">
        <v>3</v>
      </c>
      <c r="B42" t="s">
        <v>58</v>
      </c>
      <c r="C42">
        <v>4.45</v>
      </c>
      <c r="D42">
        <v>4.45</v>
      </c>
      <c r="E42">
        <v>4.45</v>
      </c>
      <c r="F42">
        <v>4.45</v>
      </c>
      <c r="G42">
        <v>4.45</v>
      </c>
      <c r="J42" t="s">
        <v>259</v>
      </c>
      <c r="K42" t="s">
        <v>42</v>
      </c>
      <c r="L42">
        <v>76438.786193666048</v>
      </c>
      <c r="M42">
        <v>76438.786193666048</v>
      </c>
      <c r="N42">
        <v>76438.786193666048</v>
      </c>
      <c r="O42">
        <v>76438.786193666048</v>
      </c>
      <c r="P42">
        <v>76438.786193666048</v>
      </c>
    </row>
    <row r="43" spans="1:16" x14ac:dyDescent="0.2">
      <c r="A43" t="s">
        <v>9</v>
      </c>
      <c r="B43" t="s">
        <v>58</v>
      </c>
      <c r="C43">
        <v>4.92</v>
      </c>
      <c r="D43">
        <v>4.92</v>
      </c>
      <c r="E43">
        <v>4.92</v>
      </c>
      <c r="F43">
        <v>4.92</v>
      </c>
      <c r="G43">
        <v>4.92</v>
      </c>
      <c r="J43" t="s">
        <v>260</v>
      </c>
      <c r="K43" t="s">
        <v>56</v>
      </c>
      <c r="L43">
        <v>9.4587000000000002E-4</v>
      </c>
      <c r="M43">
        <v>9.4587000000000002E-4</v>
      </c>
      <c r="N43">
        <v>9.4587000000000002E-4</v>
      </c>
      <c r="O43">
        <v>9.4587000000000002E-4</v>
      </c>
      <c r="P43">
        <v>9.4587000000000002E-4</v>
      </c>
    </row>
    <row r="44" spans="1:16" x14ac:dyDescent="0.2">
      <c r="A44" t="s">
        <v>12</v>
      </c>
      <c r="B44" t="s">
        <v>58</v>
      </c>
      <c r="C44">
        <v>2.5499999999999998</v>
      </c>
      <c r="D44">
        <v>2.5499999999999998</v>
      </c>
      <c r="E44">
        <v>2.5499999999999998</v>
      </c>
      <c r="F44">
        <v>2.5499999999999998</v>
      </c>
      <c r="G44">
        <v>2.5499999999999998</v>
      </c>
      <c r="J44" t="s">
        <v>262</v>
      </c>
      <c r="K44" t="s">
        <v>89</v>
      </c>
      <c r="L44">
        <v>72.3011546970029</v>
      </c>
      <c r="M44">
        <v>72.3011546970029</v>
      </c>
      <c r="N44">
        <v>72.3011546970029</v>
      </c>
      <c r="O44">
        <v>72.3011546970029</v>
      </c>
      <c r="P44">
        <v>72.3011546970029</v>
      </c>
    </row>
    <row r="45" spans="1:16" x14ac:dyDescent="0.2">
      <c r="A45" t="s">
        <v>14</v>
      </c>
      <c r="B45" t="s">
        <v>58</v>
      </c>
      <c r="C45">
        <v>3.01</v>
      </c>
      <c r="D45">
        <v>3.01</v>
      </c>
      <c r="E45">
        <v>3.01</v>
      </c>
      <c r="F45">
        <v>3.01</v>
      </c>
      <c r="G45">
        <v>3.01</v>
      </c>
    </row>
    <row r="46" spans="1:16" x14ac:dyDescent="0.2">
      <c r="J46" t="s">
        <v>263</v>
      </c>
    </row>
    <row r="47" spans="1:16" x14ac:dyDescent="0.2">
      <c r="A47" t="s">
        <v>62</v>
      </c>
      <c r="J47" t="s">
        <v>85</v>
      </c>
      <c r="K47" t="s">
        <v>42</v>
      </c>
      <c r="L47">
        <v>243447.61961978301</v>
      </c>
      <c r="M47">
        <v>281356.15442678984</v>
      </c>
      <c r="N47">
        <v>319489.43295153929</v>
      </c>
      <c r="O47">
        <v>357847.60891690617</v>
      </c>
      <c r="P47">
        <v>435239.26806099154</v>
      </c>
    </row>
    <row r="48" spans="1:16" x14ac:dyDescent="0.2">
      <c r="A48" t="s">
        <v>63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J48" t="s">
        <v>86</v>
      </c>
      <c r="K48" t="s">
        <v>56</v>
      </c>
      <c r="L48">
        <v>1.611E-3</v>
      </c>
      <c r="M48">
        <v>1.611E-3</v>
      </c>
      <c r="N48">
        <v>1.611E-3</v>
      </c>
      <c r="O48">
        <v>1.611E-3</v>
      </c>
      <c r="P48">
        <v>1.611E-3</v>
      </c>
    </row>
    <row r="49" spans="1:16" x14ac:dyDescent="0.2">
      <c r="A49" t="s">
        <v>64</v>
      </c>
      <c r="B49" t="s">
        <v>31</v>
      </c>
      <c r="C49">
        <v>2953.4752841379309</v>
      </c>
      <c r="D49">
        <v>2953.4752841379309</v>
      </c>
      <c r="E49">
        <v>2953.4752841379309</v>
      </c>
      <c r="F49">
        <v>2953.4752841379309</v>
      </c>
      <c r="G49">
        <v>2953.4752841379309</v>
      </c>
      <c r="J49" t="s">
        <v>88</v>
      </c>
      <c r="K49" t="s">
        <v>89</v>
      </c>
      <c r="L49">
        <v>392.19411520747042</v>
      </c>
      <c r="M49">
        <v>453.26476478155843</v>
      </c>
      <c r="N49">
        <v>514.69747648492978</v>
      </c>
      <c r="O49">
        <v>576.49249796513584</v>
      </c>
      <c r="P49">
        <v>701.17046084625736</v>
      </c>
    </row>
    <row r="50" spans="1:16" x14ac:dyDescent="0.2">
      <c r="A50" t="s">
        <v>65</v>
      </c>
      <c r="B50" t="s">
        <v>31</v>
      </c>
      <c r="C50">
        <v>3327.5806200000002</v>
      </c>
      <c r="D50">
        <v>3327.5806200000002</v>
      </c>
      <c r="E50">
        <v>3327.5806200000002</v>
      </c>
      <c r="F50">
        <v>3327.5806200000002</v>
      </c>
      <c r="G50">
        <v>3327.5806200000002</v>
      </c>
    </row>
    <row r="51" spans="1:16" x14ac:dyDescent="0.2">
      <c r="A51" t="s">
        <v>66</v>
      </c>
      <c r="B51" t="s">
        <v>56</v>
      </c>
      <c r="C51">
        <v>2.663E-3</v>
      </c>
      <c r="D51">
        <v>2.663E-3</v>
      </c>
      <c r="E51">
        <v>2.663E-3</v>
      </c>
      <c r="F51">
        <v>2.663E-3</v>
      </c>
      <c r="G51">
        <v>2.663E-3</v>
      </c>
    </row>
    <row r="52" spans="1:16" x14ac:dyDescent="0.2">
      <c r="A52" t="s">
        <v>67</v>
      </c>
      <c r="B52" t="s">
        <v>58</v>
      </c>
      <c r="C52">
        <v>4.45</v>
      </c>
      <c r="D52">
        <v>4.45</v>
      </c>
      <c r="E52">
        <v>4.45</v>
      </c>
      <c r="F52">
        <v>4.45</v>
      </c>
      <c r="G52">
        <v>4.45</v>
      </c>
      <c r="J52" t="s">
        <v>265</v>
      </c>
    </row>
    <row r="53" spans="1:16" x14ac:dyDescent="0.2">
      <c r="J53" t="s">
        <v>266</v>
      </c>
      <c r="K53" t="s">
        <v>89</v>
      </c>
      <c r="L53">
        <v>72.3011546970029</v>
      </c>
      <c r="M53">
        <v>72.3011546970029</v>
      </c>
      <c r="N53">
        <v>72.3011546970029</v>
      </c>
      <c r="O53">
        <v>72.3011546970029</v>
      </c>
      <c r="P53">
        <v>72.3011546970029</v>
      </c>
    </row>
    <row r="54" spans="1:16" x14ac:dyDescent="0.2">
      <c r="A54" t="s">
        <v>68</v>
      </c>
      <c r="J54" t="s">
        <v>267</v>
      </c>
      <c r="K54" t="s">
        <v>89</v>
      </c>
      <c r="L54">
        <v>392.19411520747042</v>
      </c>
      <c r="M54">
        <v>453.26476478155843</v>
      </c>
      <c r="N54">
        <v>514.69747648492978</v>
      </c>
      <c r="O54">
        <v>576.49249796513584</v>
      </c>
      <c r="P54">
        <v>701.17046084625736</v>
      </c>
    </row>
    <row r="55" spans="1:16" x14ac:dyDescent="0.2">
      <c r="A55" t="s">
        <v>69</v>
      </c>
      <c r="B55" t="s">
        <v>31</v>
      </c>
      <c r="C55">
        <v>2953.4752841379309</v>
      </c>
      <c r="D55">
        <v>2953.4752841379309</v>
      </c>
      <c r="E55">
        <v>2953.4752841379309</v>
      </c>
      <c r="F55">
        <v>2953.4752841379309</v>
      </c>
      <c r="G55">
        <v>2953.4752841379309</v>
      </c>
      <c r="J55" t="s">
        <v>268</v>
      </c>
      <c r="K55" t="s">
        <v>89</v>
      </c>
      <c r="L55">
        <v>464.49526990447333</v>
      </c>
      <c r="M55">
        <v>525.56591947856134</v>
      </c>
      <c r="N55">
        <v>586.99863118193264</v>
      </c>
      <c r="O55">
        <v>648.7936526621387</v>
      </c>
      <c r="P55">
        <v>773.47161554326021</v>
      </c>
    </row>
    <row r="56" spans="1:16" x14ac:dyDescent="0.2">
      <c r="A56" t="s">
        <v>70</v>
      </c>
      <c r="B56" t="s">
        <v>31</v>
      </c>
      <c r="C56">
        <v>3327.5806200000002</v>
      </c>
      <c r="D56">
        <v>3327.5806200000002</v>
      </c>
      <c r="E56">
        <v>3327.5806200000002</v>
      </c>
      <c r="F56">
        <v>3327.5806200000002</v>
      </c>
      <c r="G56">
        <v>3327.5806200000002</v>
      </c>
    </row>
    <row r="57" spans="1:16" x14ac:dyDescent="0.2">
      <c r="A57" t="s">
        <v>71</v>
      </c>
      <c r="B57" t="s">
        <v>34</v>
      </c>
      <c r="C57">
        <v>2.25</v>
      </c>
      <c r="D57">
        <v>2.25</v>
      </c>
      <c r="E57">
        <v>2.25</v>
      </c>
      <c r="F57">
        <v>2.25</v>
      </c>
      <c r="G57">
        <v>2.25</v>
      </c>
      <c r="J57" t="s">
        <v>96</v>
      </c>
    </row>
    <row r="58" spans="1:16" x14ac:dyDescent="0.2">
      <c r="A58" t="s">
        <v>73</v>
      </c>
      <c r="B58" t="s">
        <v>38</v>
      </c>
      <c r="C58">
        <v>0.15845739509433535</v>
      </c>
      <c r="D58">
        <v>0.79228697547167681</v>
      </c>
      <c r="E58">
        <v>1.4261165558490183</v>
      </c>
      <c r="F58">
        <v>2.0599461362263596</v>
      </c>
      <c r="G58">
        <v>2.6937757166037009</v>
      </c>
      <c r="J58" t="s">
        <v>97</v>
      </c>
      <c r="K58" t="s">
        <v>98</v>
      </c>
      <c r="L58">
        <v>6.4468738136125712</v>
      </c>
      <c r="M58">
        <v>5.6977484290934974</v>
      </c>
      <c r="N58">
        <v>5.1014469762297159</v>
      </c>
      <c r="O58">
        <v>4.6155543905320382</v>
      </c>
      <c r="P58">
        <v>3.8715608070385201</v>
      </c>
    </row>
    <row r="59" spans="1:16" x14ac:dyDescent="0.2">
      <c r="A59" t="s">
        <v>74</v>
      </c>
      <c r="B59" t="s">
        <v>38</v>
      </c>
      <c r="C59">
        <v>0.21096408477099426</v>
      </c>
      <c r="D59">
        <v>1.0548204238549714</v>
      </c>
      <c r="E59">
        <v>1.8986767629389485</v>
      </c>
      <c r="F59">
        <v>2.742533102022926</v>
      </c>
      <c r="G59">
        <v>3.5863894411069026</v>
      </c>
    </row>
    <row r="60" spans="1:16" x14ac:dyDescent="0.2">
      <c r="A60" t="s">
        <v>75</v>
      </c>
      <c r="B60" t="s">
        <v>34</v>
      </c>
      <c r="C60" t="s">
        <v>280</v>
      </c>
      <c r="D60" t="s">
        <v>280</v>
      </c>
      <c r="E60" t="s">
        <v>280</v>
      </c>
      <c r="F60" t="s">
        <v>280</v>
      </c>
      <c r="G60" t="s">
        <v>280</v>
      </c>
      <c r="J60" t="s">
        <v>270</v>
      </c>
    </row>
    <row r="61" spans="1:16" x14ac:dyDescent="0.2">
      <c r="A61" t="s">
        <v>76</v>
      </c>
      <c r="B61" t="s">
        <v>38</v>
      </c>
      <c r="C61">
        <v>0.21096408477099426</v>
      </c>
      <c r="D61">
        <v>1.0548204238549714</v>
      </c>
      <c r="E61">
        <v>1.8986767629389485</v>
      </c>
      <c r="F61">
        <v>2.742533102022926</v>
      </c>
      <c r="G61">
        <v>3.5863894411069026</v>
      </c>
      <c r="J61" t="s">
        <v>271</v>
      </c>
      <c r="K61" t="s">
        <v>58</v>
      </c>
      <c r="L61">
        <v>2.06</v>
      </c>
      <c r="M61">
        <v>2.06</v>
      </c>
      <c r="N61">
        <v>2.06</v>
      </c>
      <c r="O61">
        <v>2.06</v>
      </c>
      <c r="P61">
        <v>2.06</v>
      </c>
    </row>
    <row r="62" spans="1:16" x14ac:dyDescent="0.2">
      <c r="J62" t="s">
        <v>272</v>
      </c>
      <c r="K62" t="s">
        <v>58</v>
      </c>
      <c r="L62">
        <v>30.65</v>
      </c>
      <c r="M62">
        <v>30.65</v>
      </c>
      <c r="N62">
        <v>30.65</v>
      </c>
      <c r="O62">
        <v>30.65</v>
      </c>
      <c r="P62">
        <v>30.65</v>
      </c>
    </row>
    <row r="63" spans="1:16" x14ac:dyDescent="0.2">
      <c r="A63" t="s">
        <v>78</v>
      </c>
      <c r="J63" t="s">
        <v>273</v>
      </c>
      <c r="K63" t="s">
        <v>95</v>
      </c>
      <c r="L63">
        <v>148.94037867582597</v>
      </c>
      <c r="M63">
        <v>148.94037867582597</v>
      </c>
      <c r="N63">
        <v>148.94037867582597</v>
      </c>
      <c r="O63">
        <v>148.94037867582597</v>
      </c>
      <c r="P63">
        <v>148.94037867582597</v>
      </c>
    </row>
    <row r="64" spans="1:16" x14ac:dyDescent="0.2">
      <c r="A64" t="s">
        <v>79</v>
      </c>
      <c r="B64" t="s">
        <v>38</v>
      </c>
      <c r="C64">
        <v>1000.421928169542</v>
      </c>
      <c r="D64">
        <v>1002.1096408477099</v>
      </c>
      <c r="E64">
        <v>1003.797353525878</v>
      </c>
      <c r="F64">
        <v>1005.4850662040459</v>
      </c>
      <c r="G64">
        <v>1007.1727788822138</v>
      </c>
      <c r="J64" t="s">
        <v>274</v>
      </c>
      <c r="K64" t="s">
        <v>95</v>
      </c>
      <c r="L64">
        <v>12020.749631108967</v>
      </c>
      <c r="M64">
        <v>13892.565040554766</v>
      </c>
      <c r="N64">
        <v>15775.477654263097</v>
      </c>
      <c r="O64">
        <v>17669.495062631413</v>
      </c>
      <c r="P64">
        <v>21490.874624937787</v>
      </c>
    </row>
    <row r="65" spans="1:16" x14ac:dyDescent="0.2">
      <c r="A65" t="s">
        <v>81</v>
      </c>
      <c r="B65" t="s">
        <v>38</v>
      </c>
      <c r="C65">
        <v>31.410964084770892</v>
      </c>
      <c r="D65">
        <v>32.254820423854873</v>
      </c>
      <c r="E65">
        <v>33.098676762938851</v>
      </c>
      <c r="F65">
        <v>33.942533102022828</v>
      </c>
      <c r="G65">
        <v>34.786389441106806</v>
      </c>
      <c r="J65" t="s">
        <v>275</v>
      </c>
      <c r="K65" t="s">
        <v>95</v>
      </c>
      <c r="L65">
        <v>12169.690009784794</v>
      </c>
      <c r="M65">
        <v>14041.505419230592</v>
      </c>
      <c r="N65">
        <v>15924.418032938924</v>
      </c>
      <c r="O65">
        <v>17818.43544130724</v>
      </c>
      <c r="P65">
        <v>21639.815003613614</v>
      </c>
    </row>
    <row r="66" spans="1:16" s="61" customFormat="1" x14ac:dyDescent="0.2">
      <c r="A66" s="61" t="s">
        <v>82</v>
      </c>
      <c r="B66" s="61" t="s">
        <v>42</v>
      </c>
      <c r="C66" s="61">
        <v>3036047.4002379812</v>
      </c>
      <c r="D66" s="61">
        <v>3205043.0314318887</v>
      </c>
      <c r="E66" s="61">
        <v>3378810.9472003542</v>
      </c>
      <c r="F66" s="61">
        <v>3557366.2499239873</v>
      </c>
      <c r="G66" s="61">
        <v>3740724.0419834037</v>
      </c>
    </row>
    <row r="67" spans="1:16" x14ac:dyDescent="0.2">
      <c r="A67" t="s">
        <v>83</v>
      </c>
      <c r="B67" t="s">
        <v>34</v>
      </c>
      <c r="C67">
        <v>15.924724969753168</v>
      </c>
      <c r="D67">
        <v>15.534261665065328</v>
      </c>
      <c r="E67">
        <v>15.163708215819776</v>
      </c>
      <c r="F67">
        <v>14.811579665869477</v>
      </c>
      <c r="G67">
        <v>14.476535148716032</v>
      </c>
      <c r="J67" t="s">
        <v>277</v>
      </c>
    </row>
    <row r="68" spans="1:16" x14ac:dyDescent="0.2">
      <c r="J68" t="s">
        <v>278</v>
      </c>
      <c r="L68">
        <v>26.246719160104902</v>
      </c>
      <c r="M68">
        <v>22.747156605424252</v>
      </c>
      <c r="N68">
        <v>20.071020534197867</v>
      </c>
      <c r="O68">
        <v>17.958281530598093</v>
      </c>
      <c r="P68">
        <v>14.835102133972338</v>
      </c>
    </row>
    <row r="69" spans="1:16" x14ac:dyDescent="0.2">
      <c r="A69" t="s">
        <v>84</v>
      </c>
    </row>
    <row r="70" spans="1:16" x14ac:dyDescent="0.2">
      <c r="A70" t="s">
        <v>85</v>
      </c>
      <c r="B70" t="s">
        <v>42</v>
      </c>
      <c r="C70">
        <v>41505.008143928833</v>
      </c>
      <c r="D70">
        <v>210500.6393378363</v>
      </c>
      <c r="E70">
        <v>384268.55510630179</v>
      </c>
      <c r="F70">
        <v>562823.85782993492</v>
      </c>
      <c r="G70">
        <v>746181.64988935133</v>
      </c>
    </row>
    <row r="71" spans="1:16" x14ac:dyDescent="0.2">
      <c r="A71" t="s">
        <v>86</v>
      </c>
      <c r="B71" t="s">
        <v>56</v>
      </c>
      <c r="C71">
        <v>2.663E-3</v>
      </c>
      <c r="D71">
        <v>2.663E-3</v>
      </c>
      <c r="E71">
        <v>2.663E-3</v>
      </c>
      <c r="F71">
        <v>2.663E-3</v>
      </c>
      <c r="G71">
        <v>2.663E-3</v>
      </c>
    </row>
    <row r="72" spans="1:16" x14ac:dyDescent="0.2">
      <c r="A72" t="s">
        <v>88</v>
      </c>
      <c r="B72" t="s">
        <v>89</v>
      </c>
      <c r="C72">
        <v>110.52783668728249</v>
      </c>
      <c r="D72">
        <v>560.5632025566581</v>
      </c>
      <c r="E72">
        <v>1023.3071622480817</v>
      </c>
      <c r="F72">
        <v>1498.7999334011167</v>
      </c>
      <c r="G72">
        <v>1987.0817336553425</v>
      </c>
    </row>
    <row r="73" spans="1:16" x14ac:dyDescent="0.2">
      <c r="A73" t="s">
        <v>92</v>
      </c>
      <c r="B73" t="s">
        <v>58</v>
      </c>
      <c r="C73">
        <v>4.45</v>
      </c>
      <c r="D73">
        <v>4.45</v>
      </c>
      <c r="E73">
        <v>4.45</v>
      </c>
      <c r="F73">
        <v>4.45</v>
      </c>
      <c r="G73">
        <v>4.45</v>
      </c>
    </row>
    <row r="74" spans="1:16" x14ac:dyDescent="0.2">
      <c r="A74" t="s">
        <v>94</v>
      </c>
      <c r="B74" t="s">
        <v>95</v>
      </c>
      <c r="C74">
        <v>491.84887325840708</v>
      </c>
      <c r="D74">
        <v>2494.5062513771286</v>
      </c>
      <c r="E74">
        <v>4553.7168720039635</v>
      </c>
      <c r="F74">
        <v>6669.6597036349694</v>
      </c>
      <c r="G74">
        <v>8842.5137147662754</v>
      </c>
    </row>
    <row r="76" spans="1:16" x14ac:dyDescent="0.2">
      <c r="A76" t="s">
        <v>96</v>
      </c>
    </row>
    <row r="77" spans="1:16" x14ac:dyDescent="0.2">
      <c r="A77" t="s">
        <v>97</v>
      </c>
      <c r="B77" t="s">
        <v>98</v>
      </c>
      <c r="C77">
        <v>27.093105970820194</v>
      </c>
      <c r="D77">
        <v>5.3420245539420392</v>
      </c>
      <c r="E77">
        <v>2.9263377630577767</v>
      </c>
      <c r="F77">
        <v>1.9979600514784897</v>
      </c>
      <c r="G77">
        <v>1.5070051429567684</v>
      </c>
    </row>
    <row r="79" spans="1:16" x14ac:dyDescent="0.2">
      <c r="A79" t="s">
        <v>100</v>
      </c>
    </row>
    <row r="80" spans="1:16" x14ac:dyDescent="0.2">
      <c r="A80" t="s">
        <v>3</v>
      </c>
      <c r="B80" t="s">
        <v>38</v>
      </c>
      <c r="C80">
        <v>0.21096408477099426</v>
      </c>
      <c r="D80">
        <v>1.0548204238549714</v>
      </c>
      <c r="E80">
        <v>1.8986767629389485</v>
      </c>
      <c r="F80">
        <v>2.742533102022926</v>
      </c>
      <c r="G80">
        <v>3.5863894411069026</v>
      </c>
    </row>
    <row r="81" spans="1:7" x14ac:dyDescent="0.2">
      <c r="A81" t="s">
        <v>9</v>
      </c>
      <c r="B81" t="s">
        <v>38</v>
      </c>
      <c r="C81">
        <v>0.11905263157894701</v>
      </c>
      <c r="D81">
        <v>0.59526315789473494</v>
      </c>
      <c r="E81">
        <v>1.071473684210523</v>
      </c>
      <c r="F81">
        <v>1.5476842105263109</v>
      </c>
      <c r="G81">
        <v>2.0238947368420992</v>
      </c>
    </row>
    <row r="82" spans="1:7" x14ac:dyDescent="0.2">
      <c r="A82" t="s">
        <v>12</v>
      </c>
      <c r="B82" t="s">
        <v>38</v>
      </c>
      <c r="C82">
        <v>7.8321990404998071E-2</v>
      </c>
      <c r="D82">
        <v>0.39160995202499038</v>
      </c>
      <c r="E82">
        <v>0.70489791364498267</v>
      </c>
      <c r="F82">
        <v>1.0181858752649748</v>
      </c>
      <c r="G82">
        <v>1.3314738368849672</v>
      </c>
    </row>
    <row r="83" spans="1:7" x14ac:dyDescent="0.2">
      <c r="A83" t="s">
        <v>14</v>
      </c>
      <c r="B83" t="s">
        <v>38</v>
      </c>
      <c r="C83">
        <v>6.2751407884151039E-2</v>
      </c>
      <c r="D83">
        <v>0.31375703942075522</v>
      </c>
      <c r="E83">
        <v>0.56476267095735933</v>
      </c>
      <c r="F83">
        <v>0.81576830249396359</v>
      </c>
      <c r="G83">
        <v>1.0667739340305677</v>
      </c>
    </row>
    <row r="85" spans="1:7" x14ac:dyDescent="0.2">
      <c r="A85" t="s">
        <v>101</v>
      </c>
    </row>
    <row r="86" spans="1:7" x14ac:dyDescent="0.2">
      <c r="A86" t="s">
        <v>3</v>
      </c>
      <c r="B86" t="s">
        <v>89</v>
      </c>
      <c r="C86">
        <v>110.52783668728372</v>
      </c>
      <c r="D86">
        <v>560.56320255665935</v>
      </c>
      <c r="E86">
        <v>1023.3071622480817</v>
      </c>
      <c r="F86">
        <v>1498.7999334011167</v>
      </c>
      <c r="G86">
        <v>1987.0817336553425</v>
      </c>
    </row>
    <row r="87" spans="1:7" x14ac:dyDescent="0.2">
      <c r="A87" t="s">
        <v>9</v>
      </c>
      <c r="B87" t="s">
        <v>89</v>
      </c>
      <c r="C87">
        <v>187.7181464803154</v>
      </c>
      <c r="D87">
        <v>946.19204083232569</v>
      </c>
      <c r="E87">
        <v>1716.8443686473613</v>
      </c>
      <c r="F87">
        <v>2499.6969165573296</v>
      </c>
      <c r="G87">
        <v>3294.7714711941198</v>
      </c>
    </row>
    <row r="88" spans="1:7" x14ac:dyDescent="0.2">
      <c r="A88" t="s">
        <v>12</v>
      </c>
      <c r="B88" t="s">
        <v>89</v>
      </c>
      <c r="C88">
        <v>118.38255208563945</v>
      </c>
      <c r="D88">
        <v>595.0676353586764</v>
      </c>
      <c r="E88">
        <v>1076.8049814801934</v>
      </c>
      <c r="F88">
        <v>1563.6005410631883</v>
      </c>
      <c r="G88">
        <v>2055.4602647206343</v>
      </c>
    </row>
    <row r="89" spans="1:7" x14ac:dyDescent="0.2">
      <c r="A89" t="s">
        <v>14</v>
      </c>
      <c r="B89" t="s">
        <v>89</v>
      </c>
      <c r="C89">
        <v>96.669923476147062</v>
      </c>
      <c r="D89">
        <v>485.41399766183252</v>
      </c>
      <c r="E89">
        <v>877.46342032588962</v>
      </c>
      <c r="F89">
        <v>1272.8213115065057</v>
      </c>
      <c r="G89">
        <v>1671.4907912419301</v>
      </c>
    </row>
    <row r="93" spans="1:7" x14ac:dyDescent="0.2">
      <c r="A93" t="s">
        <v>103</v>
      </c>
    </row>
    <row r="94" spans="1:7" x14ac:dyDescent="0.2">
      <c r="A94" t="s">
        <v>104</v>
      </c>
      <c r="B94" t="s">
        <v>31</v>
      </c>
      <c r="C94">
        <v>10</v>
      </c>
      <c r="D94">
        <v>50</v>
      </c>
      <c r="E94">
        <v>90</v>
      </c>
      <c r="F94">
        <v>130</v>
      </c>
      <c r="G94">
        <v>170</v>
      </c>
    </row>
    <row r="95" spans="1:7" x14ac:dyDescent="0.2">
      <c r="A95" t="s">
        <v>105</v>
      </c>
      <c r="B95" t="s">
        <v>38</v>
      </c>
      <c r="C95">
        <v>31.1999999999999</v>
      </c>
      <c r="D95">
        <v>31.1999999999999</v>
      </c>
      <c r="E95">
        <v>31.1999999999999</v>
      </c>
      <c r="F95">
        <v>31.1999999999999</v>
      </c>
      <c r="G95">
        <v>31.1999999999999</v>
      </c>
    </row>
    <row r="96" spans="1:7" x14ac:dyDescent="0.2">
      <c r="A96" t="s">
        <v>106</v>
      </c>
      <c r="B96" t="s">
        <v>38</v>
      </c>
      <c r="C96">
        <v>31.410964084770892</v>
      </c>
      <c r="D96">
        <v>32.254820423854873</v>
      </c>
      <c r="E96">
        <v>33.098676762938851</v>
      </c>
      <c r="F96">
        <v>33.942533102022828</v>
      </c>
      <c r="G96">
        <v>34.786389441106806</v>
      </c>
    </row>
    <row r="97" spans="1:7" x14ac:dyDescent="0.2">
      <c r="A97" t="s">
        <v>107</v>
      </c>
      <c r="B97" t="s">
        <v>31</v>
      </c>
      <c r="C97">
        <v>2953.4752841379309</v>
      </c>
      <c r="D97">
        <v>2953.4752841379309</v>
      </c>
      <c r="E97">
        <v>2953.4752841379309</v>
      </c>
      <c r="F97">
        <v>2953.4752841379309</v>
      </c>
      <c r="G97">
        <v>2953.4752841379309</v>
      </c>
    </row>
    <row r="98" spans="1:7" x14ac:dyDescent="0.2">
      <c r="A98" t="s">
        <v>108</v>
      </c>
      <c r="B98" t="s">
        <v>31</v>
      </c>
      <c r="C98">
        <v>3327.5806200000002</v>
      </c>
      <c r="D98">
        <v>3327.5806200000002</v>
      </c>
      <c r="E98">
        <v>3327.5806200000002</v>
      </c>
      <c r="F98">
        <v>3327.5806200000002</v>
      </c>
      <c r="G98">
        <v>3327.5806200000002</v>
      </c>
    </row>
    <row r="99" spans="1:7" x14ac:dyDescent="0.2">
      <c r="A99" t="s">
        <v>109</v>
      </c>
      <c r="B99" t="s">
        <v>110</v>
      </c>
      <c r="C99">
        <v>1483.9415672158204</v>
      </c>
      <c r="D99">
        <v>1504.340299311709</v>
      </c>
      <c r="E99">
        <v>1525.2535257956022</v>
      </c>
      <c r="F99">
        <v>1546.6612523874078</v>
      </c>
      <c r="G99">
        <v>1568.5445075815908</v>
      </c>
    </row>
    <row r="100" spans="1:7" x14ac:dyDescent="0.2">
      <c r="A100" t="s">
        <v>111</v>
      </c>
      <c r="B100" t="s">
        <v>31</v>
      </c>
      <c r="C100">
        <v>736.97078360791011</v>
      </c>
      <c r="D100">
        <v>727.17014965585429</v>
      </c>
      <c r="E100">
        <v>717.62676289780109</v>
      </c>
      <c r="F100">
        <v>708.33062619370401</v>
      </c>
      <c r="G100">
        <v>699.27225379079539</v>
      </c>
    </row>
    <row r="101" spans="1:7" x14ac:dyDescent="0.2">
      <c r="A101" t="s">
        <v>112</v>
      </c>
      <c r="B101" t="s">
        <v>113</v>
      </c>
      <c r="C101">
        <v>-10</v>
      </c>
      <c r="D101">
        <v>-50</v>
      </c>
      <c r="E101">
        <v>-90</v>
      </c>
      <c r="F101">
        <v>-130</v>
      </c>
      <c r="G101">
        <v>-170</v>
      </c>
    </row>
    <row r="102" spans="1:7" x14ac:dyDescent="0.2">
      <c r="A102" t="s">
        <v>114</v>
      </c>
      <c r="B102" t="s">
        <v>115</v>
      </c>
      <c r="C102">
        <v>0.70710678118654757</v>
      </c>
      <c r="D102">
        <v>0.70710678118654757</v>
      </c>
      <c r="E102">
        <v>0.70710678118654757</v>
      </c>
      <c r="F102">
        <v>0.70710678118654757</v>
      </c>
      <c r="G102">
        <v>0.70710678118654757</v>
      </c>
    </row>
    <row r="103" spans="1:7" x14ac:dyDescent="0.2">
      <c r="A103" t="s">
        <v>116</v>
      </c>
      <c r="B103" t="s">
        <v>117</v>
      </c>
      <c r="C103">
        <v>557965.35156381561</v>
      </c>
      <c r="D103">
        <v>603993.44151610369</v>
      </c>
      <c r="E103">
        <v>652260.98814878101</v>
      </c>
      <c r="F103">
        <v>702798.23881432752</v>
      </c>
      <c r="G103">
        <v>755634.25121052901</v>
      </c>
    </row>
    <row r="104" spans="1:7" x14ac:dyDescent="0.2">
      <c r="A104" t="s">
        <v>118</v>
      </c>
      <c r="B104" t="s">
        <v>117</v>
      </c>
      <c r="C104">
        <v>2231861.406255262</v>
      </c>
      <c r="D104">
        <v>2415973.7660644134</v>
      </c>
      <c r="E104">
        <v>2609043.952595124</v>
      </c>
      <c r="F104">
        <v>2811192.9552573105</v>
      </c>
      <c r="G104">
        <v>3022537.004842116</v>
      </c>
    </row>
    <row r="105" spans="1:7" x14ac:dyDescent="0.2">
      <c r="A105" t="s">
        <v>119</v>
      </c>
      <c r="B105" t="s">
        <v>117</v>
      </c>
      <c r="C105">
        <v>557965.35156381526</v>
      </c>
      <c r="D105">
        <v>603993.44151610299</v>
      </c>
      <c r="E105">
        <v>652260.98814878101</v>
      </c>
      <c r="F105">
        <v>702798.23881432787</v>
      </c>
      <c r="G105">
        <v>755634.25121052901</v>
      </c>
    </row>
    <row r="106" spans="1:7" x14ac:dyDescent="0.2">
      <c r="A106" t="s">
        <v>120</v>
      </c>
      <c r="B106" t="s">
        <v>113</v>
      </c>
      <c r="C106">
        <v>1829.6972726062891</v>
      </c>
      <c r="D106">
        <v>1903.6703099792833</v>
      </c>
      <c r="E106">
        <v>1978.2734717153455</v>
      </c>
      <c r="F106">
        <v>2053.482269922476</v>
      </c>
      <c r="G106">
        <v>2129.2734693465691</v>
      </c>
    </row>
    <row r="107" spans="1:7" x14ac:dyDescent="0.2">
      <c r="A107" t="s">
        <v>121</v>
      </c>
      <c r="B107" t="s">
        <v>113</v>
      </c>
      <c r="C107">
        <v>1940.6870234676574</v>
      </c>
      <c r="D107">
        <v>2019.1472779947726</v>
      </c>
      <c r="E107">
        <v>2098.2758803370621</v>
      </c>
      <c r="F107">
        <v>2178.0468571627907</v>
      </c>
      <c r="G107">
        <v>2258.435563763348</v>
      </c>
    </row>
    <row r="108" spans="1:7" x14ac:dyDescent="0.2">
      <c r="A108" t="s">
        <v>122</v>
      </c>
      <c r="B108" t="s">
        <v>113</v>
      </c>
      <c r="C108">
        <v>2911.0305352014861</v>
      </c>
      <c r="D108">
        <v>3028.7209169921589</v>
      </c>
      <c r="E108">
        <v>3147.4138205055933</v>
      </c>
      <c r="F108">
        <v>3267.0702857441861</v>
      </c>
      <c r="G108">
        <v>3387.653345645022</v>
      </c>
    </row>
    <row r="109" spans="1:7" x14ac:dyDescent="0.2">
      <c r="A109" t="s">
        <v>123</v>
      </c>
      <c r="C109" t="s">
        <v>281</v>
      </c>
      <c r="D109" t="s">
        <v>281</v>
      </c>
      <c r="E109" t="s">
        <v>281</v>
      </c>
      <c r="F109" t="s">
        <v>281</v>
      </c>
      <c r="G109" t="s">
        <v>281</v>
      </c>
    </row>
    <row r="110" spans="1:7" x14ac:dyDescent="0.2">
      <c r="A110" t="s">
        <v>124</v>
      </c>
      <c r="C110" t="s">
        <v>281</v>
      </c>
      <c r="D110" t="s">
        <v>281</v>
      </c>
      <c r="E110" t="s">
        <v>281</v>
      </c>
      <c r="F110" t="s">
        <v>281</v>
      </c>
      <c r="G110" t="s">
        <v>283</v>
      </c>
    </row>
    <row r="111" spans="1:7" x14ac:dyDescent="0.2">
      <c r="A111" t="s">
        <v>125</v>
      </c>
      <c r="C111">
        <v>147.89247200000003</v>
      </c>
      <c r="D111">
        <v>29.5784944</v>
      </c>
      <c r="E111">
        <v>16.432496888888892</v>
      </c>
      <c r="F111">
        <v>11.376344</v>
      </c>
      <c r="G111">
        <v>8.6995571764705897</v>
      </c>
    </row>
    <row r="112" spans="1:7" x14ac:dyDescent="0.2">
      <c r="A112" t="s">
        <v>126</v>
      </c>
      <c r="C112" t="s">
        <v>282</v>
      </c>
      <c r="D112" t="s">
        <v>282</v>
      </c>
      <c r="E112" t="s">
        <v>282</v>
      </c>
      <c r="F112" t="s">
        <v>282</v>
      </c>
      <c r="G112" t="s">
        <v>284</v>
      </c>
    </row>
    <row r="113" spans="1:7" x14ac:dyDescent="0.2">
      <c r="A113" t="s">
        <v>128</v>
      </c>
      <c r="C113">
        <v>0.87481893532649735</v>
      </c>
      <c r="D113">
        <v>0.91018708871797638</v>
      </c>
      <c r="E113">
        <v>0.94585651857342323</v>
      </c>
      <c r="F113">
        <v>0.9818155166873721</v>
      </c>
      <c r="G113">
        <v>1.0180529737683777</v>
      </c>
    </row>
    <row r="115" spans="1:7" x14ac:dyDescent="0.2">
      <c r="A115" t="s">
        <v>130</v>
      </c>
    </row>
    <row r="116" spans="1:7" x14ac:dyDescent="0.2">
      <c r="A116" t="s">
        <v>104</v>
      </c>
      <c r="B116" t="s">
        <v>31</v>
      </c>
      <c r="C116">
        <v>10</v>
      </c>
      <c r="D116">
        <v>50</v>
      </c>
      <c r="E116">
        <v>90</v>
      </c>
      <c r="F116">
        <v>130</v>
      </c>
      <c r="G116">
        <v>170</v>
      </c>
    </row>
    <row r="117" spans="1:7" x14ac:dyDescent="0.2">
      <c r="A117" t="s">
        <v>105</v>
      </c>
      <c r="B117" t="s">
        <v>38</v>
      </c>
      <c r="C117">
        <v>31.1999999999999</v>
      </c>
      <c r="D117">
        <v>31.1999999999999</v>
      </c>
      <c r="E117">
        <v>31.1999999999999</v>
      </c>
      <c r="F117">
        <v>31.1999999999999</v>
      </c>
      <c r="G117">
        <v>31.1999999999999</v>
      </c>
    </row>
    <row r="118" spans="1:7" x14ac:dyDescent="0.2">
      <c r="A118" t="s">
        <v>106</v>
      </c>
      <c r="B118" t="s">
        <v>38</v>
      </c>
      <c r="C118">
        <v>31.38455537603139</v>
      </c>
      <c r="D118">
        <v>32.160083930708723</v>
      </c>
      <c r="E118">
        <v>32.995875792889592</v>
      </c>
      <c r="F118">
        <v>33.89266155459476</v>
      </c>
      <c r="G118">
        <v>34.851134435610298</v>
      </c>
    </row>
    <row r="119" spans="1:7" x14ac:dyDescent="0.2">
      <c r="A119" t="s">
        <v>107</v>
      </c>
      <c r="B119" t="s">
        <v>31</v>
      </c>
      <c r="C119">
        <v>2953.4752841379309</v>
      </c>
      <c r="D119">
        <v>2953.4752841379309</v>
      </c>
      <c r="E119">
        <v>2953.4752841379309</v>
      </c>
      <c r="F119">
        <v>2953.4752841379309</v>
      </c>
      <c r="G119">
        <v>2953.4752841379309</v>
      </c>
    </row>
    <row r="120" spans="1:7" x14ac:dyDescent="0.2">
      <c r="A120" t="s">
        <v>108</v>
      </c>
      <c r="B120" t="s">
        <v>31</v>
      </c>
      <c r="C120">
        <v>3327.5806200000002</v>
      </c>
      <c r="D120">
        <v>3327.5806200000002</v>
      </c>
      <c r="E120">
        <v>3327.5806200000002</v>
      </c>
      <c r="F120">
        <v>3327.5806200000002</v>
      </c>
      <c r="G120">
        <v>3327.5806200000002</v>
      </c>
    </row>
    <row r="121" spans="1:7" x14ac:dyDescent="0.2">
      <c r="A121" t="s">
        <v>109</v>
      </c>
      <c r="B121" t="s">
        <v>110</v>
      </c>
      <c r="C121">
        <v>1695.5642516762778</v>
      </c>
      <c r="D121">
        <v>1650.2367627031301</v>
      </c>
      <c r="E121">
        <v>1609.8413935088086</v>
      </c>
      <c r="F121">
        <v>1574.005132149852</v>
      </c>
      <c r="G121">
        <v>1542.3977581146521</v>
      </c>
    </row>
    <row r="122" spans="1:7" x14ac:dyDescent="0.2">
      <c r="A122" t="s">
        <v>111</v>
      </c>
      <c r="B122" t="s">
        <v>31</v>
      </c>
      <c r="C122">
        <v>842.78212583813888</v>
      </c>
      <c r="D122">
        <v>800.11838135156506</v>
      </c>
      <c r="E122">
        <v>759.92069675440428</v>
      </c>
      <c r="F122">
        <v>722.00256607492599</v>
      </c>
      <c r="G122">
        <v>686.19887905732605</v>
      </c>
    </row>
    <row r="123" spans="1:7" x14ac:dyDescent="0.2">
      <c r="A123" t="s">
        <v>112</v>
      </c>
      <c r="B123" t="s">
        <v>113</v>
      </c>
      <c r="C123">
        <v>-10</v>
      </c>
      <c r="D123">
        <v>-50</v>
      </c>
      <c r="E123">
        <v>-90</v>
      </c>
      <c r="F123">
        <v>-130</v>
      </c>
      <c r="G123">
        <v>-170</v>
      </c>
    </row>
    <row r="124" spans="1:7" x14ac:dyDescent="0.2">
      <c r="A124" t="s">
        <v>114</v>
      </c>
      <c r="B124" t="s">
        <v>115</v>
      </c>
      <c r="C124">
        <v>0.70710678118654757</v>
      </c>
      <c r="D124">
        <v>0.70710678118654757</v>
      </c>
      <c r="E124">
        <v>0.70710678118654757</v>
      </c>
      <c r="F124">
        <v>0.70710678118654757</v>
      </c>
      <c r="G124">
        <v>0.70710678118654757</v>
      </c>
    </row>
    <row r="125" spans="1:7" x14ac:dyDescent="0.2">
      <c r="A125" t="s">
        <v>116</v>
      </c>
      <c r="B125" t="s">
        <v>117</v>
      </c>
      <c r="C125">
        <v>727237.35414901539</v>
      </c>
      <c r="D125">
        <v>722701.26231180504</v>
      </c>
      <c r="E125">
        <v>722365.19077149208</v>
      </c>
      <c r="F125">
        <v>725908.37259825866</v>
      </c>
      <c r="G125">
        <v>733076.52049902163</v>
      </c>
    </row>
    <row r="126" spans="1:7" x14ac:dyDescent="0.2">
      <c r="A126" t="s">
        <v>118</v>
      </c>
      <c r="B126" t="s">
        <v>117</v>
      </c>
      <c r="C126">
        <v>2908949.4165960616</v>
      </c>
      <c r="D126">
        <v>2890805.0492472202</v>
      </c>
      <c r="E126">
        <v>2889460.7630859683</v>
      </c>
      <c r="F126">
        <v>2903633.4903930346</v>
      </c>
      <c r="G126">
        <v>2932306.0819960865</v>
      </c>
    </row>
    <row r="127" spans="1:7" x14ac:dyDescent="0.2">
      <c r="A127" t="s">
        <v>119</v>
      </c>
      <c r="B127" t="s">
        <v>117</v>
      </c>
      <c r="C127">
        <v>727237.35414901539</v>
      </c>
      <c r="D127">
        <v>722701.26231180504</v>
      </c>
      <c r="E127">
        <v>722365.19077149208</v>
      </c>
      <c r="F127">
        <v>725908.37259825866</v>
      </c>
      <c r="G127">
        <v>733076.52049902163</v>
      </c>
    </row>
    <row r="128" spans="1:7" x14ac:dyDescent="0.2">
      <c r="A128" t="s">
        <v>120</v>
      </c>
      <c r="B128" t="s">
        <v>113</v>
      </c>
      <c r="C128">
        <v>2088.8810700693548</v>
      </c>
      <c r="D128">
        <v>2082.3562552720969</v>
      </c>
      <c r="E128">
        <v>2081.872028879045</v>
      </c>
      <c r="F128">
        <v>2086.9715464254782</v>
      </c>
      <c r="G128">
        <v>2097.2503720333748</v>
      </c>
    </row>
    <row r="129" spans="1:7" x14ac:dyDescent="0.2">
      <c r="A129" t="s">
        <v>121</v>
      </c>
      <c r="B129" t="s">
        <v>113</v>
      </c>
      <c r="C129">
        <v>2215.5929546073789</v>
      </c>
      <c r="D129">
        <v>2208.6723434236878</v>
      </c>
      <c r="E129">
        <v>2208.1587437744533</v>
      </c>
      <c r="F129">
        <v>2213.5675989312472</v>
      </c>
      <c r="G129">
        <v>2224.4699398662133</v>
      </c>
    </row>
    <row r="130" spans="1:7" x14ac:dyDescent="0.2">
      <c r="A130" t="s">
        <v>122</v>
      </c>
      <c r="B130" t="s">
        <v>113</v>
      </c>
      <c r="C130">
        <v>3323.3894319110682</v>
      </c>
      <c r="D130">
        <v>3313.008515135532</v>
      </c>
      <c r="E130">
        <v>3312.2381156616798</v>
      </c>
      <c r="F130">
        <v>3320.351398396871</v>
      </c>
      <c r="G130">
        <v>3336.7049097993199</v>
      </c>
    </row>
    <row r="131" spans="1:7" x14ac:dyDescent="0.2">
      <c r="A131" t="s">
        <v>123</v>
      </c>
      <c r="C131" t="s">
        <v>281</v>
      </c>
      <c r="D131" t="s">
        <v>281</v>
      </c>
      <c r="E131" t="s">
        <v>281</v>
      </c>
      <c r="F131" t="s">
        <v>281</v>
      </c>
      <c r="G131" t="s">
        <v>281</v>
      </c>
    </row>
    <row r="132" spans="1:7" x14ac:dyDescent="0.2">
      <c r="A132" t="s">
        <v>124</v>
      </c>
      <c r="C132" t="s">
        <v>281</v>
      </c>
      <c r="D132" t="s">
        <v>281</v>
      </c>
      <c r="E132" t="s">
        <v>281</v>
      </c>
      <c r="F132" t="s">
        <v>281</v>
      </c>
      <c r="G132" t="s">
        <v>283</v>
      </c>
    </row>
    <row r="133" spans="1:7" x14ac:dyDescent="0.2">
      <c r="A133" t="s">
        <v>125</v>
      </c>
      <c r="C133">
        <v>169.05495071937847</v>
      </c>
      <c r="D133">
        <v>32.49715884419102</v>
      </c>
      <c r="E133">
        <v>17.373139124391713</v>
      </c>
      <c r="F133">
        <v>11.587048489907332</v>
      </c>
      <c r="G133">
        <v>8.5452892930204776</v>
      </c>
    </row>
    <row r="134" spans="1:7" x14ac:dyDescent="0.2">
      <c r="A134" t="s">
        <v>126</v>
      </c>
      <c r="C134" t="s">
        <v>282</v>
      </c>
      <c r="D134" t="s">
        <v>282</v>
      </c>
      <c r="E134" t="s">
        <v>282</v>
      </c>
      <c r="F134" t="s">
        <v>282</v>
      </c>
      <c r="G134" t="s">
        <v>284</v>
      </c>
    </row>
    <row r="135" spans="1:7" x14ac:dyDescent="0.2">
      <c r="A135" t="s">
        <v>128</v>
      </c>
      <c r="C135">
        <v>0.9987404698585689</v>
      </c>
      <c r="D135">
        <v>0.99562081087475851</v>
      </c>
      <c r="E135">
        <v>0.99538929147317834</v>
      </c>
      <c r="F135">
        <v>0.9978274841608108</v>
      </c>
      <c r="G135">
        <v>1.0027420191548415</v>
      </c>
    </row>
    <row r="137" spans="1:7" x14ac:dyDescent="0.2">
      <c r="A137" t="s">
        <v>131</v>
      </c>
    </row>
    <row r="138" spans="1:7" x14ac:dyDescent="0.2">
      <c r="A138" t="s">
        <v>104</v>
      </c>
      <c r="B138" t="s">
        <v>31</v>
      </c>
      <c r="C138">
        <v>10</v>
      </c>
      <c r="D138">
        <v>50</v>
      </c>
      <c r="E138">
        <v>90</v>
      </c>
      <c r="F138">
        <v>130</v>
      </c>
      <c r="G138">
        <v>170</v>
      </c>
    </row>
    <row r="139" spans="1:7" x14ac:dyDescent="0.2">
      <c r="A139" t="s">
        <v>105</v>
      </c>
      <c r="B139" t="s">
        <v>38</v>
      </c>
      <c r="C139">
        <v>31.1999999999999</v>
      </c>
      <c r="D139">
        <v>31.1999999999999</v>
      </c>
      <c r="E139">
        <v>31.1999999999999</v>
      </c>
      <c r="F139">
        <v>31.1999999999999</v>
      </c>
      <c r="G139">
        <v>31.1999999999999</v>
      </c>
    </row>
    <row r="140" spans="1:7" x14ac:dyDescent="0.2">
      <c r="A140" t="s">
        <v>106</v>
      </c>
      <c r="B140" t="s">
        <v>38</v>
      </c>
      <c r="C140">
        <v>31.384322922972515</v>
      </c>
      <c r="D140">
        <v>32.155879541600044</v>
      </c>
      <c r="E140">
        <v>32.987595533058204</v>
      </c>
      <c r="F140">
        <v>33.886811704717829</v>
      </c>
      <c r="G140">
        <v>34.86114591616964</v>
      </c>
    </row>
    <row r="141" spans="1:7" x14ac:dyDescent="0.2">
      <c r="A141" t="s">
        <v>107</v>
      </c>
      <c r="B141" t="s">
        <v>31</v>
      </c>
      <c r="C141">
        <v>2953.4752841379309</v>
      </c>
      <c r="D141">
        <v>2953.4752841379309</v>
      </c>
      <c r="E141">
        <v>2953.4752841379309</v>
      </c>
      <c r="F141">
        <v>2953.4752841379309</v>
      </c>
      <c r="G141">
        <v>2953.4752841379309</v>
      </c>
    </row>
    <row r="142" spans="1:7" x14ac:dyDescent="0.2">
      <c r="A142" t="s">
        <v>108</v>
      </c>
      <c r="B142" t="s">
        <v>31</v>
      </c>
      <c r="C142">
        <v>3327.5806200000002</v>
      </c>
      <c r="D142">
        <v>3327.5806200000002</v>
      </c>
      <c r="E142">
        <v>3327.5806200000002</v>
      </c>
      <c r="F142">
        <v>3327.5806200000002</v>
      </c>
      <c r="G142">
        <v>3327.5806200000002</v>
      </c>
    </row>
    <row r="143" spans="1:7" x14ac:dyDescent="0.2">
      <c r="A143" t="s">
        <v>109</v>
      </c>
      <c r="B143" t="s">
        <v>110</v>
      </c>
      <c r="C143">
        <v>1697.6962165170419</v>
      </c>
      <c r="D143">
        <v>1657.3819864775242</v>
      </c>
      <c r="E143">
        <v>1617.0783677206114</v>
      </c>
      <c r="F143">
        <v>1577.2791528252806</v>
      </c>
      <c r="G143">
        <v>1538.4374912100966</v>
      </c>
    </row>
    <row r="144" spans="1:7" x14ac:dyDescent="0.2">
      <c r="A144" t="s">
        <v>111</v>
      </c>
      <c r="B144" t="s">
        <v>31</v>
      </c>
      <c r="C144">
        <v>843.84810825852082</v>
      </c>
      <c r="D144">
        <v>803.69099323876208</v>
      </c>
      <c r="E144">
        <v>763.53918386030557</v>
      </c>
      <c r="F144">
        <v>723.63957641264039</v>
      </c>
      <c r="G144">
        <v>684.2187456050483</v>
      </c>
    </row>
    <row r="145" spans="1:7" x14ac:dyDescent="0.2">
      <c r="A145" t="s">
        <v>112</v>
      </c>
      <c r="B145" t="s">
        <v>113</v>
      </c>
      <c r="C145">
        <v>-10</v>
      </c>
      <c r="D145">
        <v>-50</v>
      </c>
      <c r="E145">
        <v>-90</v>
      </c>
      <c r="F145">
        <v>-130</v>
      </c>
      <c r="G145">
        <v>-170</v>
      </c>
    </row>
    <row r="146" spans="1:7" x14ac:dyDescent="0.2">
      <c r="A146" t="s">
        <v>114</v>
      </c>
      <c r="B146" t="s">
        <v>115</v>
      </c>
      <c r="C146">
        <v>0.70710678118654757</v>
      </c>
      <c r="D146">
        <v>0.70710678118654757</v>
      </c>
      <c r="E146">
        <v>0.70710678118654757</v>
      </c>
      <c r="F146">
        <v>0.70710678118654757</v>
      </c>
      <c r="G146">
        <v>0.70710678118654757</v>
      </c>
    </row>
    <row r="147" spans="1:7" x14ac:dyDescent="0.2">
      <c r="A147" t="s">
        <v>116</v>
      </c>
      <c r="B147" t="s">
        <v>117</v>
      </c>
      <c r="C147">
        <v>729056.59197665507</v>
      </c>
      <c r="D147">
        <v>728788.31193698407</v>
      </c>
      <c r="E147">
        <v>728529.13838491694</v>
      </c>
      <c r="F147">
        <v>728700.52641795168</v>
      </c>
      <c r="G147">
        <v>729689.66534306225</v>
      </c>
    </row>
    <row r="148" spans="1:7" x14ac:dyDescent="0.2">
      <c r="A148" t="s">
        <v>118</v>
      </c>
      <c r="B148" t="s">
        <v>117</v>
      </c>
      <c r="C148">
        <v>2916226.3679066198</v>
      </c>
      <c r="D148">
        <v>2915153.2477479363</v>
      </c>
      <c r="E148">
        <v>2914116.5535396668</v>
      </c>
      <c r="F148">
        <v>2914802.1056718077</v>
      </c>
      <c r="G148">
        <v>2918758.661372249</v>
      </c>
    </row>
    <row r="149" spans="1:7" x14ac:dyDescent="0.2">
      <c r="A149" t="s">
        <v>119</v>
      </c>
      <c r="B149" t="s">
        <v>117</v>
      </c>
      <c r="C149">
        <v>729056.59197665472</v>
      </c>
      <c r="D149">
        <v>728788.31193698407</v>
      </c>
      <c r="E149">
        <v>728529.13838491647</v>
      </c>
      <c r="F149">
        <v>728700.52641795215</v>
      </c>
      <c r="G149">
        <v>729689.66534306225</v>
      </c>
    </row>
    <row r="150" spans="1:7" x14ac:dyDescent="0.2">
      <c r="A150" t="s">
        <v>120</v>
      </c>
      <c r="B150" t="s">
        <v>113</v>
      </c>
      <c r="C150">
        <v>2091.4921830740677</v>
      </c>
      <c r="D150">
        <v>2091.1073314447308</v>
      </c>
      <c r="E150">
        <v>2090.7354759293439</v>
      </c>
      <c r="F150">
        <v>2090.9813864565394</v>
      </c>
      <c r="G150">
        <v>2092.4000554526788</v>
      </c>
    </row>
    <row r="151" spans="1:7" x14ac:dyDescent="0.2">
      <c r="A151" t="s">
        <v>121</v>
      </c>
      <c r="B151" t="s">
        <v>113</v>
      </c>
      <c r="C151">
        <v>2218.3624581754939</v>
      </c>
      <c r="D151">
        <v>2217.9542613802118</v>
      </c>
      <c r="E151">
        <v>2217.5598490453845</v>
      </c>
      <c r="F151">
        <v>2217.8206765474019</v>
      </c>
      <c r="G151">
        <v>2219.3254022485462</v>
      </c>
    </row>
    <row r="152" spans="1:7" x14ac:dyDescent="0.2">
      <c r="A152" t="s">
        <v>122</v>
      </c>
      <c r="B152" t="s">
        <v>113</v>
      </c>
      <c r="C152">
        <v>3327.5436872632404</v>
      </c>
      <c r="D152">
        <v>3326.9313920703175</v>
      </c>
      <c r="E152">
        <v>3326.3397735680769</v>
      </c>
      <c r="F152">
        <v>3326.7310148211031</v>
      </c>
      <c r="G152">
        <v>3328.9881033728193</v>
      </c>
    </row>
    <row r="153" spans="1:7" x14ac:dyDescent="0.2">
      <c r="A153" t="s">
        <v>123</v>
      </c>
      <c r="C153" t="s">
        <v>281</v>
      </c>
      <c r="D153" t="s">
        <v>281</v>
      </c>
      <c r="E153" t="s">
        <v>281</v>
      </c>
      <c r="F153" t="s">
        <v>281</v>
      </c>
      <c r="G153" t="s">
        <v>281</v>
      </c>
    </row>
    <row r="154" spans="1:7" x14ac:dyDescent="0.2">
      <c r="A154" t="s">
        <v>124</v>
      </c>
      <c r="C154" t="s">
        <v>281</v>
      </c>
      <c r="D154" t="s">
        <v>281</v>
      </c>
      <c r="E154" t="s">
        <v>281</v>
      </c>
      <c r="F154" t="s">
        <v>281</v>
      </c>
      <c r="G154" t="s">
        <v>283</v>
      </c>
    </row>
    <row r="155" spans="1:7" x14ac:dyDescent="0.2">
      <c r="A155" t="s">
        <v>125</v>
      </c>
      <c r="C155">
        <v>169.26814905509727</v>
      </c>
      <c r="D155">
        <v>32.640095997630681</v>
      </c>
      <c r="E155">
        <v>17.453612645038017</v>
      </c>
      <c r="F155">
        <v>11.612276344194125</v>
      </c>
      <c r="G155">
        <v>8.5219220196066576</v>
      </c>
    </row>
    <row r="156" spans="1:7" x14ac:dyDescent="0.2">
      <c r="A156" t="s">
        <v>126</v>
      </c>
      <c r="C156" t="s">
        <v>282</v>
      </c>
      <c r="D156" t="s">
        <v>282</v>
      </c>
      <c r="E156" t="s">
        <v>282</v>
      </c>
      <c r="F156" t="s">
        <v>282</v>
      </c>
      <c r="G156" t="s">
        <v>284</v>
      </c>
    </row>
    <row r="157" spans="1:7" x14ac:dyDescent="0.2">
      <c r="A157" t="s">
        <v>128</v>
      </c>
      <c r="C157">
        <v>0.99998890102420424</v>
      </c>
      <c r="D157">
        <v>0.99980489490599245</v>
      </c>
      <c r="E157">
        <v>0.99962710251872933</v>
      </c>
      <c r="F157">
        <v>0.99974467780771692</v>
      </c>
      <c r="G157">
        <v>1.0004229749880016</v>
      </c>
    </row>
    <row r="159" spans="1:7" x14ac:dyDescent="0.2">
      <c r="A159" t="s">
        <v>132</v>
      </c>
    </row>
    <row r="160" spans="1:7" x14ac:dyDescent="0.2">
      <c r="A160" t="s">
        <v>104</v>
      </c>
      <c r="B160" t="s">
        <v>31</v>
      </c>
      <c r="C160">
        <v>10</v>
      </c>
      <c r="D160">
        <v>50</v>
      </c>
      <c r="E160">
        <v>90</v>
      </c>
      <c r="F160">
        <v>130</v>
      </c>
      <c r="G160">
        <v>170</v>
      </c>
    </row>
    <row r="161" spans="1:7" x14ac:dyDescent="0.2">
      <c r="A161" t="s">
        <v>105</v>
      </c>
      <c r="B161" t="s">
        <v>38</v>
      </c>
      <c r="C161">
        <v>31.1999999999999</v>
      </c>
      <c r="D161">
        <v>31.1999999999999</v>
      </c>
      <c r="E161">
        <v>31.1999999999999</v>
      </c>
      <c r="F161">
        <v>31.1999999999999</v>
      </c>
      <c r="G161">
        <v>31.1999999999999</v>
      </c>
    </row>
    <row r="162" spans="1:7" x14ac:dyDescent="0.2">
      <c r="A162" t="s">
        <v>106</v>
      </c>
      <c r="B162" t="s">
        <v>38</v>
      </c>
      <c r="C162">
        <v>31.384320877176854</v>
      </c>
      <c r="D162">
        <v>32.155693044632223</v>
      </c>
      <c r="E162">
        <v>32.986928943186399</v>
      </c>
      <c r="F162">
        <v>33.886125702063126</v>
      </c>
      <c r="G162">
        <v>34.862694489319601</v>
      </c>
    </row>
    <row r="163" spans="1:7" x14ac:dyDescent="0.2">
      <c r="A163" t="s">
        <v>107</v>
      </c>
      <c r="B163" t="s">
        <v>31</v>
      </c>
      <c r="C163">
        <v>2953.4752841379309</v>
      </c>
      <c r="D163">
        <v>2953.4752841379309</v>
      </c>
      <c r="E163">
        <v>2953.4752841379309</v>
      </c>
      <c r="F163">
        <v>2953.4752841379309</v>
      </c>
      <c r="G163">
        <v>2953.4752841379309</v>
      </c>
    </row>
    <row r="164" spans="1:7" x14ac:dyDescent="0.2">
      <c r="A164" t="s">
        <v>108</v>
      </c>
      <c r="B164" t="s">
        <v>31</v>
      </c>
      <c r="C164">
        <v>3327.5806200000002</v>
      </c>
      <c r="D164">
        <v>3327.5806200000002</v>
      </c>
      <c r="E164">
        <v>3327.5806200000002</v>
      </c>
      <c r="F164">
        <v>3327.5806200000002</v>
      </c>
      <c r="G164">
        <v>3327.5806200000002</v>
      </c>
    </row>
    <row r="165" spans="1:7" x14ac:dyDescent="0.2">
      <c r="A165" t="s">
        <v>109</v>
      </c>
      <c r="B165" t="s">
        <v>110</v>
      </c>
      <c r="C165">
        <v>1697.7150035934915</v>
      </c>
      <c r="D165">
        <v>1657.7003885824952</v>
      </c>
      <c r="E165">
        <v>1617.6638886507183</v>
      </c>
      <c r="F165">
        <v>1577.6640277871845</v>
      </c>
      <c r="G165">
        <v>1537.8268571695626</v>
      </c>
    </row>
    <row r="166" spans="1:7" x14ac:dyDescent="0.2">
      <c r="A166" t="s">
        <v>111</v>
      </c>
      <c r="B166" t="s">
        <v>31</v>
      </c>
      <c r="C166">
        <v>843.85750179674562</v>
      </c>
      <c r="D166">
        <v>803.85019429124759</v>
      </c>
      <c r="E166">
        <v>763.83194432535925</v>
      </c>
      <c r="F166">
        <v>723.83201389359226</v>
      </c>
      <c r="G166">
        <v>683.91342858478129</v>
      </c>
    </row>
    <row r="167" spans="1:7" x14ac:dyDescent="0.2">
      <c r="A167" t="s">
        <v>112</v>
      </c>
      <c r="B167" t="s">
        <v>113</v>
      </c>
      <c r="C167">
        <v>-10</v>
      </c>
      <c r="D167">
        <v>-50</v>
      </c>
      <c r="E167">
        <v>-90</v>
      </c>
      <c r="F167">
        <v>-130</v>
      </c>
      <c r="G167">
        <v>-170</v>
      </c>
    </row>
    <row r="168" spans="1:7" x14ac:dyDescent="0.2">
      <c r="A168" t="s">
        <v>114</v>
      </c>
      <c r="B168" t="s">
        <v>115</v>
      </c>
      <c r="C168">
        <v>0.70710678118654757</v>
      </c>
      <c r="D168">
        <v>0.70710678118654757</v>
      </c>
      <c r="E168">
        <v>0.70710678118654757</v>
      </c>
      <c r="F168">
        <v>0.70710678118654757</v>
      </c>
      <c r="G168">
        <v>0.70710678118654757</v>
      </c>
    </row>
    <row r="169" spans="1:7" x14ac:dyDescent="0.2">
      <c r="A169" t="s">
        <v>116</v>
      </c>
      <c r="B169" t="s">
        <v>117</v>
      </c>
      <c r="C169">
        <v>729072.63337457983</v>
      </c>
      <c r="D169">
        <v>729060.15429120127</v>
      </c>
      <c r="E169">
        <v>729028.98915042297</v>
      </c>
      <c r="F169">
        <v>729029.10794958752</v>
      </c>
      <c r="G169">
        <v>729168.14351741632</v>
      </c>
    </row>
    <row r="170" spans="1:7" x14ac:dyDescent="0.2">
      <c r="A170" t="s">
        <v>118</v>
      </c>
      <c r="B170" t="s">
        <v>117</v>
      </c>
      <c r="C170">
        <v>2916290.5334983184</v>
      </c>
      <c r="D170">
        <v>2916240.6171648051</v>
      </c>
      <c r="E170">
        <v>2916115.9566016928</v>
      </c>
      <c r="F170">
        <v>2916116.4317983501</v>
      </c>
      <c r="G170">
        <v>2916672.5740696653</v>
      </c>
    </row>
    <row r="171" spans="1:7" x14ac:dyDescent="0.2">
      <c r="A171" t="s">
        <v>119</v>
      </c>
      <c r="B171" t="s">
        <v>117</v>
      </c>
      <c r="C171">
        <v>729072.63337457948</v>
      </c>
      <c r="D171">
        <v>729060.15429120127</v>
      </c>
      <c r="E171">
        <v>729028.98915042332</v>
      </c>
      <c r="F171">
        <v>729029.10794958752</v>
      </c>
      <c r="G171">
        <v>729168.14351741632</v>
      </c>
    </row>
    <row r="172" spans="1:7" x14ac:dyDescent="0.2">
      <c r="A172" t="s">
        <v>120</v>
      </c>
      <c r="B172" t="s">
        <v>113</v>
      </c>
      <c r="C172">
        <v>2091.5151924495976</v>
      </c>
      <c r="D172">
        <v>2091.4972927898348</v>
      </c>
      <c r="E172">
        <v>2091.4525896855848</v>
      </c>
      <c r="F172">
        <v>2091.4527600922584</v>
      </c>
      <c r="G172">
        <v>2091.6521845432376</v>
      </c>
    </row>
    <row r="173" spans="1:7" x14ac:dyDescent="0.2">
      <c r="A173" t="s">
        <v>121</v>
      </c>
      <c r="B173" t="s">
        <v>113</v>
      </c>
      <c r="C173">
        <v>2218.3868633036964</v>
      </c>
      <c r="D173">
        <v>2218.3678778474978</v>
      </c>
      <c r="E173">
        <v>2218.3204630452647</v>
      </c>
      <c r="F173">
        <v>2218.3206437888366</v>
      </c>
      <c r="G173">
        <v>2218.5321653612691</v>
      </c>
    </row>
    <row r="174" spans="1:7" x14ac:dyDescent="0.2">
      <c r="A174" t="s">
        <v>122</v>
      </c>
      <c r="B174" t="s">
        <v>113</v>
      </c>
      <c r="C174">
        <v>3327.580294955545</v>
      </c>
      <c r="D174">
        <v>3327.5518167712466</v>
      </c>
      <c r="E174">
        <v>3327.480694567897</v>
      </c>
      <c r="F174">
        <v>3327.4809656832549</v>
      </c>
      <c r="G174">
        <v>3327.7982480419037</v>
      </c>
    </row>
    <row r="175" spans="1:7" x14ac:dyDescent="0.2">
      <c r="A175" t="s">
        <v>123</v>
      </c>
      <c r="C175" t="s">
        <v>281</v>
      </c>
      <c r="D175" t="s">
        <v>281</v>
      </c>
      <c r="E175" t="s">
        <v>281</v>
      </c>
      <c r="F175" t="s">
        <v>281</v>
      </c>
      <c r="G175" t="s">
        <v>281</v>
      </c>
    </row>
    <row r="176" spans="1:7" x14ac:dyDescent="0.2">
      <c r="A176" t="s">
        <v>124</v>
      </c>
      <c r="C176" t="s">
        <v>281</v>
      </c>
      <c r="D176" t="s">
        <v>281</v>
      </c>
      <c r="E176" t="s">
        <v>281</v>
      </c>
      <c r="F176" t="s">
        <v>281</v>
      </c>
      <c r="G176" t="s">
        <v>283</v>
      </c>
    </row>
    <row r="177" spans="1:7" x14ac:dyDescent="0.2">
      <c r="A177" t="s">
        <v>125</v>
      </c>
      <c r="C177">
        <v>169.27002777903871</v>
      </c>
      <c r="D177">
        <v>32.646465489348891</v>
      </c>
      <c r="E177">
        <v>17.46012348110677</v>
      </c>
      <c r="F177">
        <v>11.615241973238643</v>
      </c>
      <c r="G177">
        <v>8.5183189837367248</v>
      </c>
    </row>
    <row r="178" spans="1:7" x14ac:dyDescent="0.2">
      <c r="A178" t="s">
        <v>126</v>
      </c>
      <c r="C178" t="s">
        <v>282</v>
      </c>
      <c r="D178" t="s">
        <v>282</v>
      </c>
      <c r="E178" t="s">
        <v>282</v>
      </c>
      <c r="F178" t="s">
        <v>282</v>
      </c>
      <c r="G178" t="s">
        <v>284</v>
      </c>
    </row>
    <row r="179" spans="1:7" x14ac:dyDescent="0.2">
      <c r="A179" t="s">
        <v>128</v>
      </c>
      <c r="C179">
        <v>0.99999990231808267</v>
      </c>
      <c r="D179">
        <v>0.99999134409288826</v>
      </c>
      <c r="E179">
        <v>0.99996997054511538</v>
      </c>
      <c r="F179">
        <v>0.99997005202033384</v>
      </c>
      <c r="G179">
        <v>1.0000654012830208</v>
      </c>
    </row>
    <row r="181" spans="1:7" x14ac:dyDescent="0.2">
      <c r="A181" t="s">
        <v>133</v>
      </c>
    </row>
    <row r="182" spans="1:7" x14ac:dyDescent="0.2">
      <c r="A182" t="s">
        <v>134</v>
      </c>
      <c r="B182" t="s">
        <v>38</v>
      </c>
      <c r="C182">
        <v>0.18432087717695467</v>
      </c>
      <c r="D182">
        <v>0.95569304463232285</v>
      </c>
      <c r="E182">
        <v>1.7869289431864992</v>
      </c>
      <c r="F182">
        <v>2.6861257020632259</v>
      </c>
      <c r="G182">
        <v>3.6626944893197013</v>
      </c>
    </row>
    <row r="183" spans="1:7" x14ac:dyDescent="0.2">
      <c r="A183" t="s">
        <v>136</v>
      </c>
      <c r="B183" t="s">
        <v>51</v>
      </c>
      <c r="C183">
        <v>-0.12629262285550327</v>
      </c>
      <c r="D183">
        <v>-9.3975597154608875E-2</v>
      </c>
      <c r="E183">
        <v>-5.8855631423789918E-2</v>
      </c>
      <c r="F183">
        <v>-2.0567627759203101E-2</v>
      </c>
      <c r="G183">
        <v>2.1276286210916328E-2</v>
      </c>
    </row>
    <row r="184" spans="1:7" x14ac:dyDescent="0.2">
      <c r="A184" t="s">
        <v>79</v>
      </c>
      <c r="B184" t="s">
        <v>38</v>
      </c>
      <c r="C184">
        <v>1000.3686417543539</v>
      </c>
      <c r="D184">
        <v>1001.9113860892646</v>
      </c>
      <c r="E184">
        <v>1003.573857886373</v>
      </c>
      <c r="F184">
        <v>1005.3722514041265</v>
      </c>
      <c r="G184">
        <v>1007.3253889786394</v>
      </c>
    </row>
    <row r="185" spans="1:7" x14ac:dyDescent="0.2">
      <c r="A185" t="s">
        <v>81</v>
      </c>
      <c r="B185" t="s">
        <v>38</v>
      </c>
      <c r="C185">
        <v>31.384320877176854</v>
      </c>
      <c r="D185">
        <v>32.155693044632223</v>
      </c>
      <c r="E185">
        <v>32.986928943186399</v>
      </c>
      <c r="F185">
        <v>33.886125702063126</v>
      </c>
      <c r="G185">
        <v>34.862694489319601</v>
      </c>
    </row>
    <row r="186" spans="1:7" s="40" customFormat="1" x14ac:dyDescent="0.2">
      <c r="A186" s="40" t="s">
        <v>82</v>
      </c>
      <c r="B186" s="40" t="s">
        <v>42</v>
      </c>
      <c r="C186" s="40">
        <v>3030789.2250110498</v>
      </c>
      <c r="D186" s="40">
        <v>3184944.1189740924</v>
      </c>
      <c r="E186" s="40">
        <v>3355525.0203299494</v>
      </c>
      <c r="F186" s="40">
        <v>3545281.1442797286</v>
      </c>
      <c r="G186" s="40">
        <v>3757541.3099990683</v>
      </c>
    </row>
    <row r="187" spans="1:7" x14ac:dyDescent="0.2">
      <c r="A187" t="s">
        <v>137</v>
      </c>
      <c r="B187" t="s">
        <v>42</v>
      </c>
      <c r="C187">
        <v>36246.832916997373</v>
      </c>
      <c r="D187">
        <v>190401.72688004002</v>
      </c>
      <c r="E187">
        <v>360982.62823589705</v>
      </c>
      <c r="F187">
        <v>550738.75218567625</v>
      </c>
      <c r="G187">
        <v>762998.91790501587</v>
      </c>
    </row>
    <row r="188" spans="1:7" x14ac:dyDescent="0.2">
      <c r="A188" t="s">
        <v>138</v>
      </c>
      <c r="B188" t="s">
        <v>89</v>
      </c>
      <c r="C188">
        <v>96.525316057964019</v>
      </c>
      <c r="D188">
        <v>507.03979868154664</v>
      </c>
      <c r="E188">
        <v>961.29673899219392</v>
      </c>
      <c r="F188">
        <v>1466.6172970704558</v>
      </c>
      <c r="G188">
        <v>2031.866118381057</v>
      </c>
    </row>
    <row r="189" spans="1:7" x14ac:dyDescent="0.2">
      <c r="A189" t="s">
        <v>140</v>
      </c>
      <c r="B189" t="s">
        <v>89</v>
      </c>
      <c r="C189">
        <v>-0.12668772907349973</v>
      </c>
      <c r="D189">
        <v>-9.5481479396075153E-2</v>
      </c>
      <c r="E189">
        <v>-6.0598054566195339E-2</v>
      </c>
      <c r="F189">
        <v>-2.1472269656185001E-2</v>
      </c>
      <c r="G189">
        <v>2.2537766800025512E-2</v>
      </c>
    </row>
    <row r="190" spans="1:7" x14ac:dyDescent="0.2">
      <c r="A190" t="s">
        <v>141</v>
      </c>
      <c r="B190" t="s">
        <v>51</v>
      </c>
      <c r="C190">
        <v>-9.7681917332614887E-8</v>
      </c>
      <c r="D190">
        <v>-8.655907111743133E-6</v>
      </c>
      <c r="E190">
        <v>-3.0029454884616946E-5</v>
      </c>
      <c r="F190">
        <v>-2.9947979666156144E-5</v>
      </c>
      <c r="G190">
        <v>6.5401283020793954E-5</v>
      </c>
    </row>
    <row r="192" spans="1:7" x14ac:dyDescent="0.2">
      <c r="A192" t="s">
        <v>143</v>
      </c>
      <c r="B192" t="s">
        <v>34</v>
      </c>
      <c r="C192">
        <v>15.937395071719346</v>
      </c>
      <c r="D192">
        <v>15.579066896468502</v>
      </c>
      <c r="E192">
        <v>15.211689751641245</v>
      </c>
      <c r="F192">
        <v>14.834570647639946</v>
      </c>
      <c r="G192">
        <v>14.447038643086518</v>
      </c>
    </row>
    <row r="193" spans="1:7" s="40" customFormat="1" ht="11.45" customHeight="1" x14ac:dyDescent="0.2">
      <c r="A193" s="40" t="s">
        <v>144</v>
      </c>
      <c r="B193" s="40" t="s">
        <v>95</v>
      </c>
      <c r="C193" s="40">
        <v>429.53765645793993</v>
      </c>
      <c r="D193" s="40">
        <v>2256.3271041328826</v>
      </c>
      <c r="E193" s="40">
        <v>4277.7704885152634</v>
      </c>
      <c r="F193" s="40">
        <v>6526.446971963529</v>
      </c>
      <c r="G193" s="40">
        <v>9041.8042267957044</v>
      </c>
    </row>
    <row r="194" spans="1:7" x14ac:dyDescent="0.2">
      <c r="A194" t="s">
        <v>285</v>
      </c>
      <c r="B194" t="s">
        <v>286</v>
      </c>
      <c r="C194">
        <f>C186/10^6</f>
        <v>3.0307892250110497</v>
      </c>
      <c r="D194" s="47">
        <f t="shared" ref="D194:G194" si="0">D186/10^6</f>
        <v>3.1849441189740926</v>
      </c>
      <c r="E194" s="47">
        <f t="shared" si="0"/>
        <v>3.3555250203299494</v>
      </c>
      <c r="F194" s="47">
        <f t="shared" si="0"/>
        <v>3.5452811442797287</v>
      </c>
      <c r="G194" s="47">
        <f t="shared" si="0"/>
        <v>3.7575413099990684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type1_rev3</vt:lpstr>
      <vt:lpstr>type3_rev3</vt:lpstr>
      <vt:lpstr>type4_rev3</vt:lpstr>
      <vt:lpstr>Imperical 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Peng Peng</cp:lastModifiedBy>
  <dcterms:created xsi:type="dcterms:W3CDTF">2012-08-02T16:21:37Z</dcterms:created>
  <dcterms:modified xsi:type="dcterms:W3CDTF">2022-10-21T21:25:33Z</dcterms:modified>
</cp:coreProperties>
</file>