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B2BAE77C-38CC-B748-90A0-DBA3BF4E3CF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V-perovskite" sheetId="1" r:id="rId1"/>
  </sheets>
  <definedNames>
    <definedName name="_xlnm._FilterDatabase" localSheetId="0" hidden="1">'PV-perovskite'!$A$1:$H$747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6" i="1" l="1"/>
  <c r="K566" i="1"/>
  <c r="B566" i="1"/>
  <c r="J566" i="1"/>
  <c r="B646" i="1"/>
  <c r="B178" i="1"/>
  <c r="C565" i="1"/>
  <c r="G565" i="1"/>
  <c r="E565" i="1"/>
  <c r="B565" i="1"/>
  <c r="A565" i="1"/>
  <c r="C74" i="1"/>
  <c r="B456" i="1"/>
  <c r="B267" i="1"/>
  <c r="B254" i="1"/>
  <c r="B171" i="1"/>
  <c r="C91" i="1"/>
  <c r="B189" i="1"/>
  <c r="B115" i="1"/>
  <c r="B114" i="1"/>
  <c r="B113" i="1"/>
  <c r="B745" i="1"/>
  <c r="B746" i="1"/>
  <c r="B741" i="1"/>
  <c r="G738" i="1"/>
  <c r="C738" i="1"/>
  <c r="A738" i="1"/>
  <c r="B725" i="1"/>
  <c r="B724" i="1"/>
  <c r="B720" i="1"/>
  <c r="G717" i="1"/>
  <c r="C717" i="1"/>
  <c r="A717" i="1"/>
  <c r="B702" i="1"/>
  <c r="B580" i="1"/>
  <c r="B577" i="1"/>
  <c r="C577" i="1"/>
  <c r="G577" i="1"/>
  <c r="E577" i="1"/>
  <c r="A577" i="1"/>
  <c r="G699" i="1"/>
  <c r="C699" i="1"/>
  <c r="A699" i="1"/>
  <c r="G686" i="1"/>
  <c r="C686" i="1"/>
  <c r="A686" i="1"/>
  <c r="B662" i="1"/>
  <c r="G674" i="1"/>
  <c r="C674" i="1"/>
  <c r="B674" i="1"/>
  <c r="A674" i="1"/>
  <c r="G660" i="1"/>
  <c r="C660" i="1"/>
  <c r="A660" i="1"/>
  <c r="B647" i="1"/>
  <c r="B643" i="1"/>
  <c r="B642" i="1"/>
  <c r="B638" i="1"/>
  <c r="B636" i="1"/>
  <c r="G635" i="1"/>
  <c r="C635" i="1"/>
  <c r="B635" i="1"/>
  <c r="A635" i="1"/>
  <c r="B623" i="1"/>
  <c r="B622" i="1"/>
  <c r="B621" i="1"/>
  <c r="B620" i="1"/>
  <c r="B619" i="1"/>
  <c r="B618" i="1"/>
  <c r="G618" i="1"/>
  <c r="A618" i="1"/>
  <c r="B606" i="1"/>
  <c r="B605" i="1"/>
  <c r="B604" i="1"/>
  <c r="B603" i="1"/>
  <c r="B602" i="1"/>
  <c r="B600" i="1"/>
  <c r="B601" i="1"/>
  <c r="G599" i="1"/>
  <c r="A599" i="1"/>
  <c r="B599" i="1"/>
  <c r="B554" i="1"/>
  <c r="B553" i="1"/>
  <c r="B551" i="1"/>
  <c r="G551" i="1"/>
  <c r="E551" i="1"/>
  <c r="A551" i="1"/>
  <c r="B511" i="1"/>
  <c r="E511" i="1"/>
  <c r="A511" i="1"/>
  <c r="B500" i="1"/>
  <c r="B499" i="1"/>
  <c r="B498" i="1"/>
  <c r="B497" i="1"/>
  <c r="B496" i="1"/>
  <c r="B495" i="1"/>
  <c r="G495" i="1"/>
  <c r="E495" i="1"/>
  <c r="A495" i="1"/>
  <c r="B483" i="1"/>
  <c r="B482" i="1"/>
  <c r="B481" i="1"/>
  <c r="B480" i="1"/>
  <c r="B479" i="1"/>
  <c r="B478" i="1"/>
  <c r="B477" i="1"/>
  <c r="B476" i="1"/>
  <c r="G476" i="1"/>
  <c r="E476" i="1"/>
  <c r="A476" i="1"/>
  <c r="B464" i="1"/>
  <c r="B463" i="1"/>
  <c r="B462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8" i="1"/>
  <c r="B447" i="1"/>
  <c r="B446" i="1"/>
  <c r="B445" i="1"/>
  <c r="G445" i="1"/>
  <c r="E445" i="1"/>
  <c r="A445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A421" i="1"/>
  <c r="B102" i="1"/>
  <c r="B103" i="1"/>
  <c r="B132" i="1"/>
  <c r="B131" i="1"/>
  <c r="B230" i="1"/>
  <c r="B229" i="1"/>
  <c r="B228" i="1"/>
  <c r="B206" i="1"/>
  <c r="B205" i="1"/>
  <c r="B204" i="1"/>
  <c r="G421" i="1"/>
  <c r="E42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85" i="1"/>
  <c r="B384" i="1"/>
  <c r="B397" i="1"/>
  <c r="G397" i="1"/>
  <c r="E397" i="1"/>
  <c r="A397" i="1"/>
  <c r="B383" i="1"/>
  <c r="B382" i="1"/>
  <c r="B381" i="1"/>
  <c r="B380" i="1"/>
  <c r="B379" i="1"/>
  <c r="B378" i="1"/>
  <c r="B336" i="1"/>
  <c r="B377" i="1"/>
  <c r="G377" i="1"/>
  <c r="E377" i="1"/>
  <c r="A37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/>
  <c r="B334" i="1"/>
  <c r="G334" i="1"/>
  <c r="E334" i="1"/>
  <c r="A33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0" i="1"/>
  <c r="B236" i="1"/>
  <c r="B235" i="1"/>
  <c r="B234" i="1"/>
  <c r="B237" i="1"/>
  <c r="B256" i="1"/>
  <c r="B255" i="1"/>
  <c r="B253" i="1"/>
  <c r="B252" i="1"/>
  <c r="B251" i="1"/>
  <c r="B231" i="1"/>
  <c r="B207" i="1"/>
  <c r="B183" i="1"/>
  <c r="B181" i="1"/>
  <c r="B166" i="1"/>
  <c r="B133" i="1"/>
  <c r="B104" i="1"/>
  <c r="B18" i="1"/>
  <c r="B213" i="1"/>
  <c r="B212" i="1"/>
  <c r="B211" i="1"/>
  <c r="B210" i="1"/>
  <c r="B203" i="1"/>
  <c r="B116" i="1"/>
  <c r="B105" i="1"/>
  <c r="B98" i="1"/>
  <c r="B97" i="1"/>
  <c r="B249" i="1"/>
  <c r="G249" i="1"/>
  <c r="E249" i="1"/>
  <c r="A249" i="1"/>
  <c r="B233" i="1"/>
  <c r="B232" i="1"/>
  <c r="B227" i="1"/>
  <c r="B226" i="1"/>
  <c r="B225" i="1"/>
  <c r="G225" i="1"/>
  <c r="E225" i="1"/>
  <c r="A225" i="1"/>
  <c r="B209" i="1"/>
  <c r="B208" i="1"/>
  <c r="B202" i="1"/>
  <c r="B188" i="1"/>
  <c r="B187" i="1"/>
  <c r="B186" i="1"/>
  <c r="B185" i="1"/>
  <c r="B201" i="1"/>
  <c r="G201" i="1"/>
  <c r="E201" i="1"/>
  <c r="A201" i="1"/>
  <c r="B184" i="1"/>
  <c r="B182" i="1"/>
  <c r="B180" i="1"/>
  <c r="B179" i="1"/>
  <c r="B177" i="1"/>
  <c r="B176" i="1"/>
  <c r="B175" i="1"/>
  <c r="B174" i="1"/>
  <c r="B173" i="1"/>
  <c r="B172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0" i="1"/>
  <c r="B129" i="1"/>
  <c r="E128" i="1"/>
  <c r="G128" i="1"/>
  <c r="A128" i="1"/>
  <c r="B112" i="1"/>
  <c r="B111" i="1"/>
  <c r="B110" i="1"/>
  <c r="B109" i="1"/>
  <c r="B108" i="1"/>
  <c r="B107" i="1"/>
  <c r="B106" i="1"/>
  <c r="B95" i="1"/>
  <c r="B100" i="1"/>
  <c r="B101" i="1"/>
  <c r="B99" i="1"/>
  <c r="B96" i="1"/>
  <c r="B94" i="1"/>
  <c r="B93" i="1"/>
  <c r="G91" i="1"/>
  <c r="E91" i="1"/>
  <c r="A91" i="1"/>
  <c r="B79" i="1"/>
  <c r="B78" i="1"/>
  <c r="B77" i="1"/>
  <c r="B76" i="1"/>
  <c r="B75" i="1"/>
  <c r="G74" i="1"/>
  <c r="E74" i="1"/>
  <c r="A74" i="1"/>
  <c r="B61" i="1"/>
  <c r="B60" i="1"/>
  <c r="B59" i="1"/>
  <c r="G58" i="1"/>
  <c r="E58" i="1"/>
  <c r="C58" i="1"/>
  <c r="A5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12" i="1"/>
  <c r="E12" i="1"/>
  <c r="C12" i="1"/>
  <c r="A12" i="1"/>
</calcChain>
</file>

<file path=xl/sharedStrings.xml><?xml version="1.0" encoding="utf-8"?>
<sst xmlns="http://schemas.openxmlformats.org/spreadsheetml/2006/main" count="2864" uniqueCount="459">
  <si>
    <t>Database</t>
  </si>
  <si>
    <t>Activity</t>
  </si>
  <si>
    <t>comment</t>
  </si>
  <si>
    <t>location</t>
  </si>
  <si>
    <t>GLO</t>
  </si>
  <si>
    <t>production amount</t>
  </si>
  <si>
    <t>reference product</t>
  </si>
  <si>
    <t>unit</t>
  </si>
  <si>
    <t>source</t>
  </si>
  <si>
    <t>Exchanges</t>
  </si>
  <si>
    <t>name</t>
  </si>
  <si>
    <t>amount</t>
  </si>
  <si>
    <t>categories</t>
  </si>
  <si>
    <t>type</t>
  </si>
  <si>
    <t>production</t>
  </si>
  <si>
    <t>PV-perovskite</t>
  </si>
  <si>
    <t>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</si>
  <si>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market for acetic acid, without water, in 98% solution state</t>
  </si>
  <si>
    <t>market for alkylbenzene sulfonate, linear, petrochemical</t>
  </si>
  <si>
    <t>market for brass</t>
  </si>
  <si>
    <t>market for dipropylene glycol monomethyl ether</t>
  </si>
  <si>
    <t>glass wool mat production, without cullet</t>
  </si>
  <si>
    <t>hydrochloric acid production, from the reaction of hydrogen with chlorine</t>
  </si>
  <si>
    <t>market for silicon carbide</t>
  </si>
  <si>
    <t>market for silicon, single crystal, Czochralski process, photovoltaics</t>
  </si>
  <si>
    <t>market for sodium hydroxide, without water, in 50% solution state</t>
  </si>
  <si>
    <t>market for steel, low-alloyed, hot rolled</t>
  </si>
  <si>
    <t>market for triethylene glycol</t>
  </si>
  <si>
    <t>market for wafer factory</t>
  </si>
  <si>
    <t>market for waste, from silicon wafer production</t>
  </si>
  <si>
    <t>market for wire drawing, steel</t>
  </si>
  <si>
    <t xml:space="preserve">acetic acid, without water, in 98% solution state </t>
  </si>
  <si>
    <t xml:space="preserve">alkylbenzene sulfonate, linear, petrochemical </t>
  </si>
  <si>
    <t xml:space="preserve">brass </t>
  </si>
  <si>
    <t xml:space="preserve">dipropylene glycol monomethyl ether </t>
  </si>
  <si>
    <t xml:space="preserve">glass wool mat </t>
  </si>
  <si>
    <t xml:space="preserve">hydrochloric acid, without water, in 30% solution state </t>
  </si>
  <si>
    <t xml:space="preserve">silicon carbide </t>
  </si>
  <si>
    <t>silicon, single crystal, Czochralski process, photovoltaics</t>
  </si>
  <si>
    <t xml:space="preserve">sodium hydroxide, without water, in 50% solution state </t>
  </si>
  <si>
    <t xml:space="preserve">steel, low-alloyed, hot rolled </t>
  </si>
  <si>
    <t xml:space="preserve">triethylene glycol </t>
  </si>
  <si>
    <t xml:space="preserve">wafer factory </t>
  </si>
  <si>
    <t xml:space="preserve">wire drawing, steel </t>
  </si>
  <si>
    <t>perovskite wafer</t>
  </si>
  <si>
    <t>perovskite wafer production</t>
  </si>
  <si>
    <t>CN</t>
  </si>
  <si>
    <t>square meter</t>
  </si>
  <si>
    <t>Original activity from GaBi: Electricity grid mix 1kV-60kV</t>
  </si>
  <si>
    <t xml:space="preserve">Original activity from GaBi: heat, district or industrial, natural gas </t>
  </si>
  <si>
    <t>Original activity from GaBi: Tap water from groundwater</t>
  </si>
  <si>
    <t>market group for electricity, medium voltage</t>
  </si>
  <si>
    <t>electricity, medium voltage</t>
  </si>
  <si>
    <t>RER</t>
  </si>
  <si>
    <t>CH</t>
  </si>
  <si>
    <t>market for heat, district or industrial, natural gas</t>
  </si>
  <si>
    <t>heat, district or industrial, natural gas</t>
  </si>
  <si>
    <t>RoW</t>
  </si>
  <si>
    <t>market for tap water</t>
  </si>
  <si>
    <t>tap water</t>
  </si>
  <si>
    <t>AOX, Adsorbable Organic Halogen</t>
  </si>
  <si>
    <t>water</t>
  </si>
  <si>
    <t>air</t>
  </si>
  <si>
    <t>BOD5, Biological Oxygen Demand</t>
  </si>
  <si>
    <t>Cadmium II</t>
  </si>
  <si>
    <t>COD, Chemical Oxygen Demand</t>
  </si>
  <si>
    <t>Chromium III</t>
  </si>
  <si>
    <t>water::surface water</t>
  </si>
  <si>
    <t>Copper ion</t>
  </si>
  <si>
    <t>DOC, Dissolved Organic Carbon</t>
  </si>
  <si>
    <t>Lead II</t>
  </si>
  <si>
    <t>Mercury II</t>
  </si>
  <si>
    <t>Nickel II</t>
  </si>
  <si>
    <t>Nitrogen</t>
  </si>
  <si>
    <t>Phosphate</t>
  </si>
  <si>
    <t>TOC, Total Organic Carbon</t>
  </si>
  <si>
    <t>Water</t>
  </si>
  <si>
    <t>technosphere</t>
  </si>
  <si>
    <t>biosphere</t>
  </si>
  <si>
    <t>kilogram</t>
  </si>
  <si>
    <t>megajoule</t>
  </si>
  <si>
    <t>kilowatt hour</t>
  </si>
  <si>
    <t>perovskite wafer packaging</t>
  </si>
  <si>
    <t>perovskite wafer, packaged</t>
  </si>
  <si>
    <t>market for packaging film, low density polyethylene</t>
  </si>
  <si>
    <t>paper production, woodfree, coated, at integrated mill</t>
  </si>
  <si>
    <t>market for polystyrene, high impact</t>
  </si>
  <si>
    <t xml:space="preserve">packaging film, low density polyethylene </t>
  </si>
  <si>
    <t xml:space="preserve">paper, woodfree, coated </t>
  </si>
  <si>
    <t xml:space="preserve">polystyrene, high impact </t>
  </si>
  <si>
    <t>perovskite wafer transport</t>
  </si>
  <si>
    <t>perovskite wafer, transported</t>
  </si>
  <si>
    <t>DE</t>
  </si>
  <si>
    <t>market group for transport, freight, lorry, unspecified</t>
  </si>
  <si>
    <t>market group for transport, freight train</t>
  </si>
  <si>
    <t>treatment of waste, from silicon wafer production, underground deposit</t>
  </si>
  <si>
    <t>ton kilometer</t>
  </si>
  <si>
    <t>perovskite wafer cleaning</t>
  </si>
  <si>
    <t>perovskite wafer, cleaned</t>
  </si>
  <si>
    <t>market for hydrogen fluoride</t>
  </si>
  <si>
    <t>market for water, ultrapure</t>
  </si>
  <si>
    <t>water, ultrapure</t>
  </si>
  <si>
    <t>hydrogen fluoride</t>
  </si>
  <si>
    <t>Original activity from GaBi: hydrochloric acid (100%) [Inorganic intermediate products]</t>
  </si>
  <si>
    <t>market for hydrochloric acid, without water, in 30% solution state</t>
  </si>
  <si>
    <t>hydrochloric acid, without water, in 30% solution state</t>
  </si>
  <si>
    <t>market for potassium hydroxide</t>
  </si>
  <si>
    <t>potassium hydroxide</t>
  </si>
  <si>
    <t>market for ethanol, without water, in 99.7% solution state, from ethylene</t>
  </si>
  <si>
    <t>Original activity from GaBi: Sodium hydroxide (caustic soda) mix (100%)</t>
  </si>
  <si>
    <t>ethanol, without water, in 99.7% solution state, from ethylene</t>
  </si>
  <si>
    <t>sodium hydroxide, without water, in 50% solution state</t>
  </si>
  <si>
    <t>Electricity grid mix 1kV-60kV</t>
  </si>
  <si>
    <t>ultrapure water system activity, for perovskite</t>
  </si>
  <si>
    <t>air compressor activity, for perovskite</t>
  </si>
  <si>
    <t>market for oxygen, liquid</t>
  </si>
  <si>
    <t>oxygen, liquid</t>
  </si>
  <si>
    <t>market for nitrogen, liquid</t>
  </si>
  <si>
    <t>nitrogen, liquid</t>
  </si>
  <si>
    <t>Europe without Switzerland</t>
  </si>
  <si>
    <t>ultra pure water</t>
  </si>
  <si>
    <t>compressed air, 14 bar, low efficiency</t>
  </si>
  <si>
    <t>market for polystyrene foam slab</t>
  </si>
  <si>
    <t>polystyrene foam slab</t>
  </si>
  <si>
    <t>packaging film, low density polyethylene</t>
  </si>
  <si>
    <t>waste polystyrene</t>
  </si>
  <si>
    <t>waste plastic, industrial electronics</t>
  </si>
  <si>
    <t>waste, from silicon wafer production</t>
  </si>
  <si>
    <t>Original activity from GaBi: Nitrogen (liquid). Converted from liter to kg (1.2349 kg/liter)</t>
  </si>
  <si>
    <t>Original activity from GaBi: Hazardous waste (statistical average) (no C, worst case scenario incl. landfill)</t>
  </si>
  <si>
    <t>market for hazardous waste, for incineration</t>
  </si>
  <si>
    <t>hazardous waste, for incineration</t>
  </si>
  <si>
    <t>inhouse waste water treatment, for perovskite production</t>
  </si>
  <si>
    <t>cubic meter</t>
  </si>
  <si>
    <t>waste water</t>
  </si>
  <si>
    <t>Comment</t>
  </si>
  <si>
    <t>B01</t>
  </si>
  <si>
    <t>A01</t>
  </si>
  <si>
    <t>A02</t>
  </si>
  <si>
    <t>A03</t>
  </si>
  <si>
    <t>B02</t>
  </si>
  <si>
    <t>PECVD of thin film layer, for perovskite</t>
  </si>
  <si>
    <t>cell, perovskite, to sputter</t>
  </si>
  <si>
    <t>tray cleaning</t>
  </si>
  <si>
    <t>tray cleaning, for perovskite</t>
  </si>
  <si>
    <t>market for argon, liquid</t>
  </si>
  <si>
    <t>argon, liquid</t>
  </si>
  <si>
    <t>market group for heat, district or industrial, natural gas</t>
  </si>
  <si>
    <t>market for lime, hydrated, packed</t>
  </si>
  <si>
    <t>market for silicon tetrachloride</t>
  </si>
  <si>
    <t>silicon production, solar grade, modified Siemens process</t>
  </si>
  <si>
    <t>market for silicone factory</t>
  </si>
  <si>
    <t>lime, hydrated, packed</t>
  </si>
  <si>
    <t>silicon tetrachloride</t>
  </si>
  <si>
    <t>silicon, solar grade</t>
  </si>
  <si>
    <t>silicone factory</t>
  </si>
  <si>
    <t>transport, freight train</t>
  </si>
  <si>
    <t>transport, freight, lorry, unspecified</t>
  </si>
  <si>
    <t>AOX, Adsorbable Organic Halogen as Cl [ecoinvent long-term to fresh water]</t>
  </si>
  <si>
    <t>Biological oxygen demand, BSB5 (Ecoinvent) [ecoinvent long-term to fresh water]</t>
  </si>
  <si>
    <t>Cadmium, ion [ecoinvent long-term to fresh water]</t>
  </si>
  <si>
    <t>Chloride [ecoinvent long-term to fresh water]</t>
  </si>
  <si>
    <t>Chromium, ion [ecoinvent long-term to fresh water]</t>
  </si>
  <si>
    <t>COD, Chemical Oxygen Demand [ecoinvent long-term to fresh water]</t>
  </si>
  <si>
    <t>Copper [ecoinvent long-term to fresh water]</t>
  </si>
  <si>
    <t>DOC, Dissolved Organic Carbon [ecoinvent long-term to fresh water]</t>
  </si>
  <si>
    <t>Fluoride [ecoinvent long-term to fresh water]</t>
  </si>
  <si>
    <t>Iron [ecoinvent long-term to fresh water]</t>
  </si>
  <si>
    <t>Lead [ecoinvent long-term to fresh water]</t>
  </si>
  <si>
    <t>Mercury [ecoinvent long-term to fresh water]</t>
  </si>
  <si>
    <t>Nickel, ion [ecoinvent long-term to fresh water]</t>
  </si>
  <si>
    <t>Nitrogen [ecoinvent long-term to fresh water]</t>
  </si>
  <si>
    <t>Phosphate [ecoinvent long-term to fresh water]</t>
  </si>
  <si>
    <t>Phosphorus [ecoinvent long-term to fresh water]</t>
  </si>
  <si>
    <t>Sodium [ecoinvent long-term to fresh water]</t>
  </si>
  <si>
    <t>Sulphate [ecoinvent long-term to fresh water]</t>
  </si>
  <si>
    <t>TOC, Total Organic Carbon [ecoinvent long-term to fresh water]</t>
  </si>
  <si>
    <t>Waste heat [ecoinvent long-term to air]</t>
  </si>
  <si>
    <t>Zinc, ion [ecoinvent long-term to fresh water]</t>
  </si>
  <si>
    <t>market for chemical factory, organics</t>
  </si>
  <si>
    <t>market for fluorine, liquid</t>
  </si>
  <si>
    <t>Tap water from groundwater</t>
  </si>
  <si>
    <t>Ammonia [ecoinvent long-term to air]</t>
  </si>
  <si>
    <t>Fluorine [ecoinvent long-term to air]</t>
  </si>
  <si>
    <t>Chloride</t>
  </si>
  <si>
    <t>Fluoride</t>
  </si>
  <si>
    <t>Iron ion</t>
  </si>
  <si>
    <t>Phosphorus</t>
  </si>
  <si>
    <t>Sodium</t>
  </si>
  <si>
    <t>Sulfate</t>
  </si>
  <si>
    <t>Heat, waste</t>
  </si>
  <si>
    <t>Zinc II</t>
  </si>
  <si>
    <t>Ammonia</t>
  </si>
  <si>
    <t>Fluorine</t>
  </si>
  <si>
    <t>treatment of wastewater from wafer fabrication, wastewater treatment</t>
  </si>
  <si>
    <t>wastewater from wafer fabrication</t>
  </si>
  <si>
    <t>market for diborane</t>
  </si>
  <si>
    <t>market for phosphane</t>
  </si>
  <si>
    <t>chemical factory, organics</t>
  </si>
  <si>
    <t>fluorine, liquid</t>
  </si>
  <si>
    <t>diborane</t>
  </si>
  <si>
    <t>phosphane</t>
  </si>
  <si>
    <t>1.21g/liter</t>
  </si>
  <si>
    <t>0.07078 kg/liter</t>
  </si>
  <si>
    <t>0.08988 kg/m3</t>
  </si>
  <si>
    <t>1.39kg/m3</t>
  </si>
  <si>
    <t>process cooling, water, for perovskite</t>
  </si>
  <si>
    <t>X05</t>
  </si>
  <si>
    <t>cooling water, conditioned</t>
  </si>
  <si>
    <t>X06</t>
  </si>
  <si>
    <t>X03</t>
  </si>
  <si>
    <t>X09</t>
  </si>
  <si>
    <t>X04</t>
  </si>
  <si>
    <t>cooling water, used</t>
  </si>
  <si>
    <t>B03</t>
  </si>
  <si>
    <t>sputter process 1, perovskite cell</t>
  </si>
  <si>
    <t>perovskite cell, sputtered 1</t>
  </si>
  <si>
    <t>market for indium tin oxide powder, nanoscale, for sputtering target</t>
  </si>
  <si>
    <t>indium tin oxide powder, nanoscale, for sputtering target</t>
  </si>
  <si>
    <t>sputter process 2, perovskite cell</t>
  </si>
  <si>
    <t>B04</t>
  </si>
  <si>
    <t>perovskite cell, sputtered 2</t>
  </si>
  <si>
    <t>B05</t>
  </si>
  <si>
    <t>spiro-OMeTAD deposition of perovskite cell</t>
  </si>
  <si>
    <t>spiro-OMeTAD deposited perovskite cell</t>
  </si>
  <si>
    <t>acetic acid, without water, in 98% solution state</t>
  </si>
  <si>
    <t>market for benzene</t>
  </si>
  <si>
    <t>market for wastewater, unpolluted</t>
  </si>
  <si>
    <t>market for bromine</t>
  </si>
  <si>
    <t>market for trifluoroacetic acid</t>
  </si>
  <si>
    <t>market for polycarboxylates, 40% active substance</t>
  </si>
  <si>
    <t>market for sulfuric acid</t>
  </si>
  <si>
    <t>market for dichloromethane</t>
  </si>
  <si>
    <t>market for diethyl ether, without water, in 99.95% solution state</t>
  </si>
  <si>
    <t>market for magnesium</t>
  </si>
  <si>
    <t>market for aniline</t>
  </si>
  <si>
    <t>market for acetone, liquid</t>
  </si>
  <si>
    <t>market for benzaldehyde</t>
  </si>
  <si>
    <t>market for ethyl acetate</t>
  </si>
  <si>
    <t>market for solvent, organic</t>
  </si>
  <si>
    <t>diethyl ether production</t>
  </si>
  <si>
    <t>market for magnesium sulfate</t>
  </si>
  <si>
    <t>market for methanol</t>
  </si>
  <si>
    <t>market for nitric acid, without water, in 50% solution state</t>
  </si>
  <si>
    <t>market for palladium</t>
  </si>
  <si>
    <t>market group for tap water</t>
  </si>
  <si>
    <t>market for 1-butanol</t>
  </si>
  <si>
    <t>market for sodium</t>
  </si>
  <si>
    <t>market for spent solvent mixture</t>
  </si>
  <si>
    <t>market for toluene, liquid</t>
  </si>
  <si>
    <t>market for chemical, organic</t>
  </si>
  <si>
    <t>emission to air</t>
  </si>
  <si>
    <t>treatment of wastewater, average, wastewater treatment</t>
  </si>
  <si>
    <t>wastewater, average</t>
  </si>
  <si>
    <t>water production, deionised</t>
  </si>
  <si>
    <t>water, deionised</t>
  </si>
  <si>
    <t>Hydrogen</t>
  </si>
  <si>
    <t>B06</t>
  </si>
  <si>
    <t>perovskite cell deposition</t>
  </si>
  <si>
    <t>deposited perovskite cell</t>
  </si>
  <si>
    <t>market for iodine</t>
  </si>
  <si>
    <t>steam production, in chemical industry</t>
  </si>
  <si>
    <t>market for methylamine</t>
  </si>
  <si>
    <t>market for lead</t>
  </si>
  <si>
    <t>nitric acid production, product in 50% solution state</t>
  </si>
  <si>
    <t xml:space="preserve">Original activity from GaBi: Nitrogen (gaseous). Converted from liter of gas to kg (0.0013 g/ml)  </t>
  </si>
  <si>
    <t>market for wastewater, average</t>
  </si>
  <si>
    <t>iodine</t>
  </si>
  <si>
    <t>steam, in chemical industry</t>
  </si>
  <si>
    <t>market for water, deionised</t>
  </si>
  <si>
    <t>Methanol</t>
  </si>
  <si>
    <t>methylamine</t>
  </si>
  <si>
    <t>lead</t>
  </si>
  <si>
    <t>nitric acid, without water, in 50% solution state</t>
  </si>
  <si>
    <t>B07</t>
  </si>
  <si>
    <t>B08</t>
  </si>
  <si>
    <t>perovskite cell zinc oxide deposition</t>
  </si>
  <si>
    <t>zinc oxide deposited perovskite cell</t>
  </si>
  <si>
    <t>market for zinc oxide</t>
  </si>
  <si>
    <t>zinc oxide</t>
  </si>
  <si>
    <t>Original activity from GaBi: Argon (gas). Converted from liter to kg (0.0018 kg/liter)</t>
  </si>
  <si>
    <t>Original activity from GaBi: Nitrogen (gas). Converted from liter to kg (0.0013 kg/liter)</t>
  </si>
  <si>
    <t>Original activity from GaBi: Oxygen (gas). Converted from Liter to kilogram (0.0014 kg/liter)</t>
  </si>
  <si>
    <t>sputter process 3, perovskite cell</t>
  </si>
  <si>
    <t>perovskite cell, sputtered 3</t>
  </si>
  <si>
    <t>B09</t>
  </si>
  <si>
    <t>perovskite cell curing 1</t>
  </si>
  <si>
    <t>cured perovskite cell 1</t>
  </si>
  <si>
    <t>B10</t>
  </si>
  <si>
    <t>perovskite cell contact formation</t>
  </si>
  <si>
    <t>metallized perovskite cell</t>
  </si>
  <si>
    <t>market for silver</t>
  </si>
  <si>
    <t>market for solder factory</t>
  </si>
  <si>
    <t>market for tin</t>
  </si>
  <si>
    <t>market for transport, freight, inland waterways, barge</t>
  </si>
  <si>
    <t>market for transport, freight, lorry, unspecified</t>
  </si>
  <si>
    <t>market for adhesive, for metal</t>
  </si>
  <si>
    <t>steel production, chromium steel 18/8, hot rolled</t>
  </si>
  <si>
    <t>market for waste aluminium</t>
  </si>
  <si>
    <t>chemical, organic</t>
  </si>
  <si>
    <t>silver</t>
  </si>
  <si>
    <t>solder factory</t>
  </si>
  <si>
    <t>tin</t>
  </si>
  <si>
    <t>transport, freight, inland waterways, barge</t>
  </si>
  <si>
    <t>adhesive, for metal</t>
  </si>
  <si>
    <t>steel, chromium steel 18/8, hot rolled</t>
  </si>
  <si>
    <t>window frame, aluminium, U=1.6 W/m2K</t>
  </si>
  <si>
    <t>window frame production, aluminium, U=1.6 W/m2K</t>
  </si>
  <si>
    <t>perovskite cell curing 2</t>
  </si>
  <si>
    <t>cured perovskite cell 2</t>
  </si>
  <si>
    <t>X02</t>
  </si>
  <si>
    <t>B11</t>
  </si>
  <si>
    <t>Original activity in GaBi: Aluminium frame profile, powder coated (EN15804 A1-A3)</t>
  </si>
  <si>
    <t>Original activity in GaBi: Copper wire; technology mix; market mix, at plant; cross section 1 mm</t>
  </si>
  <si>
    <t>C01. Module capacity: 500 Wp</t>
  </si>
  <si>
    <t>Original activity in GaBi: Elastomer joint tape, polyurethane (EN15804 A1-A3)</t>
  </si>
  <si>
    <t>Original activity in GaBi: Joint sealing tape fabric tape (EN15804 A1-A3)</t>
  </si>
  <si>
    <t>market for solar glass, low-iron</t>
  </si>
  <si>
    <t>solar glass, low-iron</t>
  </si>
  <si>
    <t>Original activity in GaBi: Copper mix (99,999% from electrolysis)</t>
  </si>
  <si>
    <t>Original activity in GaBi: Electricity grid mix 1kV-60kV</t>
  </si>
  <si>
    <t>Original activity in GaBi: District heating mix (EN15804 B6)</t>
  </si>
  <si>
    <t>Original activity in GaBi: Sealants based on silicone - Deutsche Bauchemie e.V. (DBC) (A5)</t>
  </si>
  <si>
    <t>injection moulding</t>
  </si>
  <si>
    <t>market for polyethylene terephthalate, granulate, amorphous</t>
  </si>
  <si>
    <t>market for polyethylene, high density, granulate</t>
  </si>
  <si>
    <t>market for polypropylene, granulate</t>
  </si>
  <si>
    <t>market for ethylene vinyl acetate copolymer</t>
  </si>
  <si>
    <t>market for electronics scrap</t>
  </si>
  <si>
    <t>wire drawing, copper</t>
  </si>
  <si>
    <t>market for copper, cathode</t>
  </si>
  <si>
    <t>copper, cathode</t>
  </si>
  <si>
    <t>market for polyurethane adhesive</t>
  </si>
  <si>
    <t>polyurethane adhesive</t>
  </si>
  <si>
    <t>market for polysulfide, sealing compound</t>
  </si>
  <si>
    <t>polysulfide, sealing compound</t>
  </si>
  <si>
    <t>seal production, natural rubber based</t>
  </si>
  <si>
    <t>seal, natural rubber based</t>
  </si>
  <si>
    <t>polyethylene terephthalate, granulate, amorphous</t>
  </si>
  <si>
    <t>polyethylene, high density, granulate</t>
  </si>
  <si>
    <t>polypropylene, granulate</t>
  </si>
  <si>
    <t>ethylene vinyl acetate copolymer</t>
  </si>
  <si>
    <t>electronics scrap</t>
  </si>
  <si>
    <t>metal part of electronics scrap, in copper, anode</t>
  </si>
  <si>
    <t>C02</t>
  </si>
  <si>
    <t>photovoltaic cell production, perovskite</t>
  </si>
  <si>
    <t>photovoltaic cell, perovskite</t>
  </si>
  <si>
    <t>B12. This is the final testing activity</t>
  </si>
  <si>
    <t>photovoltaic panel, perovskite</t>
  </si>
  <si>
    <t>market for corrugated board box</t>
  </si>
  <si>
    <t>market for EUR-flat pallet</t>
  </si>
  <si>
    <t>EUR-flat pallet</t>
  </si>
  <si>
    <t>corrugated board box</t>
  </si>
  <si>
    <t>Original process from GaBi: Phosphoric acid (100%) (wet process)</t>
  </si>
  <si>
    <t>market for phosphoric acid, fertiliser grade, without water, in 70% solution state</t>
  </si>
  <si>
    <t>phosphoric acid, fertiliser grade, without water, in 70% solution state</t>
  </si>
  <si>
    <t>tap water production, underground water with chemical treatment</t>
  </si>
  <si>
    <t>wastewater from PV cell production</t>
  </si>
  <si>
    <t>treatment of wastewater from PV cell production, wastewater treatment</t>
  </si>
  <si>
    <t>ion-exchanger production for water treatment</t>
  </si>
  <si>
    <t>ion-exchanger for water treatment</t>
  </si>
  <si>
    <t>Original activity from GaBi: Municipal waste water treatment (mix)</t>
  </si>
  <si>
    <t>Original activity from GaBi: Hydrochloric acid mix (100%)</t>
  </si>
  <si>
    <t>Original activity from GaBi: Sodium hydroxide mix (50%)</t>
  </si>
  <si>
    <t>market for iron(III) chloride, without water, in 14% iron solution state</t>
  </si>
  <si>
    <t>market for calcium chloride</t>
  </si>
  <si>
    <t>market for aluminium sulfate, powder</t>
  </si>
  <si>
    <t>iron(III) chloride, without water, in 14% iron solution state</t>
  </si>
  <si>
    <t>calcium chloride</t>
  </si>
  <si>
    <t>aluminium sulfate, powder</t>
  </si>
  <si>
    <t>treatment of refinery sludge, hazardous waste incineration</t>
  </si>
  <si>
    <t>refinery sludge</t>
  </si>
  <si>
    <t>market for compressed air, 1200 kPa gauge</t>
  </si>
  <si>
    <t>compressed air, 1200 kPa gauge</t>
  </si>
  <si>
    <t>Original activity from GaBi: Compressed air, 14 bar, low efficiency</t>
  </si>
  <si>
    <t>exhaust abatement, for perovskite</t>
  </si>
  <si>
    <t>X01</t>
  </si>
  <si>
    <t>abated exhaust</t>
  </si>
  <si>
    <t>Original activity in GaBi: Natural gas mix</t>
  </si>
  <si>
    <t>market for natural gas, low pressure</t>
  </si>
  <si>
    <t>natural gas, low pressure</t>
  </si>
  <si>
    <t>Hydrogen fluoride [ecoinvent long-term to air]</t>
  </si>
  <si>
    <t>Nitrogen fluoride [ecoinvent long-term to air]</t>
  </si>
  <si>
    <t>Nitrogen oxides [ecoinvent long-term to air]</t>
  </si>
  <si>
    <t>Silicon dioxide (silica) [Particles to air]</t>
  </si>
  <si>
    <t>Hydrogen fluoride</t>
  </si>
  <si>
    <t>Nitrogen fluoride</t>
  </si>
  <si>
    <t>Nitrogen oxides</t>
  </si>
  <si>
    <t>Silicon</t>
  </si>
  <si>
    <t>process exhaust ventilators, general, for perovskite production</t>
  </si>
  <si>
    <t>exhaust, general</t>
  </si>
  <si>
    <t>market for air filter, central unit, 600 m3/h</t>
  </si>
  <si>
    <t>treatment of used air filter, central unit, 600 m3/h</t>
  </si>
  <si>
    <t>air filter, central unit, 600 m3/h</t>
  </si>
  <si>
    <t>used air filter central unit, 600 m3/h</t>
  </si>
  <si>
    <t>Diethylene glycol mono-n-butyl ether [Group NMVOC to air]</t>
  </si>
  <si>
    <t>Waste heat [Other emissions to air]</t>
  </si>
  <si>
    <t>Water [Inorganic emissions to air]</t>
  </si>
  <si>
    <t>NMVOC, non-methane volatile organic compounds</t>
  </si>
  <si>
    <t>process exhaust ventilators, acidic, for perovskite production</t>
  </si>
  <si>
    <t>exhaust, acidic</t>
  </si>
  <si>
    <t>Original activity from GaBi: Sodium hydroxide mix (50%) in liters. Density: 2,13 g/cm³</t>
  </si>
  <si>
    <t>process exhaust ventilators, caustic, for perovskite production</t>
  </si>
  <si>
    <t>exhaust, caustic</t>
  </si>
  <si>
    <t>sulfuric acid</t>
  </si>
  <si>
    <t>Original activity from GaBi: Sulphuric acid (96%) in liters. Density: 1,83 g/cm³</t>
  </si>
  <si>
    <t>acrylic binder, with water, in 54% solution state</t>
  </si>
  <si>
    <t>market for acrylic binder, with water, in 54% solution state</t>
  </si>
  <si>
    <t>market for water, completely softened</t>
  </si>
  <si>
    <t>water, completely softened</t>
  </si>
  <si>
    <t>benzene</t>
  </si>
  <si>
    <t>wastewater, unpolluted</t>
  </si>
  <si>
    <t>bromine</t>
  </si>
  <si>
    <t>trifluoroacetic acid</t>
  </si>
  <si>
    <t>polycarboxylates, 40% active substance</t>
  </si>
  <si>
    <t>dichloromethane</t>
  </si>
  <si>
    <t>diethyl ether, without water, in 99.95% solution state</t>
  </si>
  <si>
    <t>magnesium</t>
  </si>
  <si>
    <t>aniline</t>
  </si>
  <si>
    <t>acetone, liquid</t>
  </si>
  <si>
    <t>benzaldehyde</t>
  </si>
  <si>
    <t>ethyl acetate</t>
  </si>
  <si>
    <t>solvent, organic</t>
  </si>
  <si>
    <t>magnesium sulfate</t>
  </si>
  <si>
    <t>methanol</t>
  </si>
  <si>
    <t>Palladium</t>
  </si>
  <si>
    <t>1-butanol</t>
  </si>
  <si>
    <t>sodium</t>
  </si>
  <si>
    <t>spent solvent mixture</t>
  </si>
  <si>
    <t>toluene, liquid</t>
  </si>
  <si>
    <t>waste aluminium</t>
  </si>
  <si>
    <t>transport, freight, sea, container ship</t>
  </si>
  <si>
    <t>market for transport, freight, sea, container ship</t>
  </si>
  <si>
    <t>market for ammonia, anhydrous, liquid</t>
  </si>
  <si>
    <t>ammonia, anhydrous, liquid</t>
  </si>
  <si>
    <t>RER w/o RU</t>
  </si>
  <si>
    <t>market for stockpiling of anode slime from electrorefining of copper, anode</t>
  </si>
  <si>
    <t>stockpiling of anode slime from electrorefining of copper, anode</t>
  </si>
  <si>
    <t>market for t-butyl amine</t>
  </si>
  <si>
    <t>t-butyl amine</t>
  </si>
  <si>
    <t>treatment of waste polystyrene, municipal incineration FAE</t>
  </si>
  <si>
    <t>market for chloroform</t>
  </si>
  <si>
    <t>chloroform</t>
  </si>
  <si>
    <t>market for waste plastic, industrial electronics</t>
  </si>
  <si>
    <t>market for hydrogen, gaseous, low pressure</t>
  </si>
  <si>
    <t>hydrogen, gaseous, low pressure</t>
  </si>
  <si>
    <t>Hydrogen, liquid not available anymore at EI3.10</t>
  </si>
  <si>
    <t>Hydrogen, liquid not available at EI3.10</t>
  </si>
  <si>
    <t>electricity production, photovoltaic, 0.5kWp, perovskite-on-silicon tandem</t>
  </si>
  <si>
    <t>market for metal part of electronics scrap, in copper, anode</t>
  </si>
  <si>
    <t>uncertainty type</t>
  </si>
  <si>
    <t>loc</t>
  </si>
  <si>
    <t>minimum</t>
  </si>
  <si>
    <t>maximum</t>
  </si>
  <si>
    <t>Data from Table 1. Cells per module: 72 | Gross module are: 2 square meter | Performance. Yield over lifetime: 11500 kWh/per module (each module occupies 2 square meter)</t>
  </si>
  <si>
    <t>2 m2/500Wp</t>
  </si>
  <si>
    <t>photovoltaic panel installation, 0.5kWp, perovskite</t>
  </si>
  <si>
    <t>perovskite photovoltaic module assembly</t>
  </si>
  <si>
    <t>perovskite photovoltaic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</si>
</sst>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4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47"/>
  <sheetViews>
    <sheetView tabSelected="1" zoomScale="78" zoomScaleNormal="115" workbookViewId="0">
      <selection activeCell="E748" sqref="E748"/>
    </sheetView>
  </sheetViews>
  <sheetFormatPr baseColWidth="10" defaultColWidth="8.83203125" defaultRowHeight="15" x14ac:dyDescent="0.2"/>
  <cols>
    <col min="1" max="1" width="67.83203125" bestFit="1" customWidth="1"/>
    <col min="2" max="2" width="31.33203125" customWidth="1"/>
    <col min="3" max="3" width="12.83203125" bestFit="1" customWidth="1"/>
    <col min="4" max="4" width="19.5" bestFit="1" customWidth="1"/>
    <col min="5" max="5" width="26.1640625" bestFit="1" customWidth="1"/>
    <col min="6" max="6" width="13.5" bestFit="1" customWidth="1"/>
    <col min="7" max="7" width="78.1640625" bestFit="1" customWidth="1"/>
    <col min="11" max="11" width="12.83203125" bestFit="1" customWidth="1"/>
  </cols>
  <sheetData>
    <row r="1" spans="1:8" x14ac:dyDescent="0.2">
      <c r="A1" s="1" t="s">
        <v>0</v>
      </c>
      <c r="B1" t="s">
        <v>15</v>
      </c>
    </row>
    <row r="2" spans="1:8" hidden="1" x14ac:dyDescent="0.2"/>
    <row r="3" spans="1:8" ht="16" hidden="1" x14ac:dyDescent="0.2">
      <c r="A3" s="2" t="s">
        <v>1</v>
      </c>
      <c r="B3" s="2" t="s">
        <v>45</v>
      </c>
    </row>
    <row r="4" spans="1:8" ht="16" hidden="1" x14ac:dyDescent="0.2">
      <c r="A4" s="5" t="s">
        <v>135</v>
      </c>
      <c r="B4" s="5" t="s">
        <v>137</v>
      </c>
    </row>
    <row r="5" spans="1:8" hidden="1" x14ac:dyDescent="0.2">
      <c r="A5" t="s">
        <v>3</v>
      </c>
      <c r="B5" t="s">
        <v>46</v>
      </c>
    </row>
    <row r="6" spans="1:8" hidden="1" x14ac:dyDescent="0.2">
      <c r="A6" t="s">
        <v>5</v>
      </c>
      <c r="B6">
        <v>1</v>
      </c>
    </row>
    <row r="7" spans="1:8" hidden="1" x14ac:dyDescent="0.2">
      <c r="A7" t="s">
        <v>6</v>
      </c>
      <c r="B7" t="s">
        <v>44</v>
      </c>
    </row>
    <row r="8" spans="1:8" hidden="1" x14ac:dyDescent="0.2">
      <c r="A8" t="s">
        <v>7</v>
      </c>
      <c r="B8" t="s">
        <v>47</v>
      </c>
    </row>
    <row r="9" spans="1:8" hidden="1" x14ac:dyDescent="0.2">
      <c r="A9" t="s">
        <v>8</v>
      </c>
      <c r="B9" t="s">
        <v>16</v>
      </c>
    </row>
    <row r="10" spans="1:8" hidden="1" x14ac:dyDescent="0.2">
      <c r="A10" s="1" t="s">
        <v>9</v>
      </c>
      <c r="B10" s="1"/>
      <c r="C10" s="1"/>
      <c r="D10" s="1"/>
      <c r="E10" s="1"/>
      <c r="F10" s="1"/>
      <c r="G10" s="1"/>
      <c r="H10" s="1"/>
    </row>
    <row r="11" spans="1:8" hidden="1" x14ac:dyDescent="0.2">
      <c r="A11" s="1" t="s">
        <v>10</v>
      </c>
      <c r="B11" s="1" t="s">
        <v>11</v>
      </c>
      <c r="C11" s="1" t="s">
        <v>7</v>
      </c>
      <c r="D11" s="1" t="s">
        <v>12</v>
      </c>
      <c r="E11" s="1" t="s">
        <v>3</v>
      </c>
      <c r="F11" s="1" t="s">
        <v>13</v>
      </c>
      <c r="G11" s="1" t="s">
        <v>6</v>
      </c>
      <c r="H11" s="1" t="s">
        <v>2</v>
      </c>
    </row>
    <row r="12" spans="1:8" hidden="1" x14ac:dyDescent="0.2">
      <c r="A12" t="str">
        <f>B3</f>
        <v>perovskite wafer production</v>
      </c>
      <c r="B12" s="3">
        <v>1</v>
      </c>
      <c r="C12" t="str">
        <f>B8</f>
        <v>square meter</v>
      </c>
      <c r="E12" t="str">
        <f>B5</f>
        <v>CN</v>
      </c>
      <c r="F12" t="s">
        <v>14</v>
      </c>
      <c r="G12" t="str">
        <f>B7</f>
        <v>perovskite wafer</v>
      </c>
    </row>
    <row r="13" spans="1:8" hidden="1" x14ac:dyDescent="0.2">
      <c r="A13" t="s">
        <v>17</v>
      </c>
      <c r="B13" s="4">
        <f>35687.1650616/35467268</f>
        <v>1.0061999999999998E-3</v>
      </c>
      <c r="C13" t="s">
        <v>79</v>
      </c>
      <c r="E13" t="s">
        <v>4</v>
      </c>
      <c r="F13" t="s">
        <v>77</v>
      </c>
      <c r="G13" t="s">
        <v>31</v>
      </c>
    </row>
    <row r="14" spans="1:8" hidden="1" x14ac:dyDescent="0.2">
      <c r="A14" t="s">
        <v>407</v>
      </c>
      <c r="B14" s="4">
        <f>1830.1110288/35467268</f>
        <v>5.1600000000000001E-5</v>
      </c>
      <c r="C14" t="s">
        <v>79</v>
      </c>
      <c r="E14" t="s">
        <v>53</v>
      </c>
      <c r="F14" t="s">
        <v>77</v>
      </c>
      <c r="G14" t="s">
        <v>406</v>
      </c>
    </row>
    <row r="15" spans="1:8" hidden="1" x14ac:dyDescent="0.2">
      <c r="A15" t="s">
        <v>18</v>
      </c>
      <c r="B15" s="4">
        <f>219613.323456/35467268</f>
        <v>6.1920000000000005E-3</v>
      </c>
      <c r="C15" t="s">
        <v>79</v>
      </c>
      <c r="E15" t="s">
        <v>4</v>
      </c>
      <c r="F15" t="s">
        <v>77</v>
      </c>
      <c r="G15" t="s">
        <v>32</v>
      </c>
    </row>
    <row r="16" spans="1:8" hidden="1" x14ac:dyDescent="0.2">
      <c r="A16" t="s">
        <v>19</v>
      </c>
      <c r="B16" s="4">
        <f>6817.16358228/35467268</f>
        <v>1.9221E-4</v>
      </c>
      <c r="C16" t="s">
        <v>79</v>
      </c>
      <c r="E16" t="s">
        <v>54</v>
      </c>
      <c r="F16" t="s">
        <v>77</v>
      </c>
      <c r="G16" t="s">
        <v>33</v>
      </c>
    </row>
    <row r="17" spans="1:8" hidden="1" x14ac:dyDescent="0.2">
      <c r="A17" t="s">
        <v>20</v>
      </c>
      <c r="B17" s="4">
        <f>274516.65432/35467268</f>
        <v>7.7399999999999995E-3</v>
      </c>
      <c r="C17" t="s">
        <v>79</v>
      </c>
      <c r="E17" t="s">
        <v>53</v>
      </c>
      <c r="F17" t="s">
        <v>77</v>
      </c>
      <c r="G17" t="s">
        <v>34</v>
      </c>
    </row>
    <row r="18" spans="1:8" hidden="1" x14ac:dyDescent="0.2">
      <c r="A18" t="s">
        <v>51</v>
      </c>
      <c r="B18" s="4">
        <f>26353598.81472/35467268/3.6</f>
        <v>0.2064</v>
      </c>
      <c r="C18" t="s">
        <v>81</v>
      </c>
      <c r="E18" t="s">
        <v>46</v>
      </c>
      <c r="F18" t="s">
        <v>77</v>
      </c>
      <c r="G18" t="s">
        <v>52</v>
      </c>
      <c r="H18" t="s">
        <v>48</v>
      </c>
    </row>
    <row r="19" spans="1:8" hidden="1" x14ac:dyDescent="0.2">
      <c r="A19" t="s">
        <v>21</v>
      </c>
      <c r="B19" s="4">
        <f>9150.555144/35467268</f>
        <v>2.5799999999999998E-4</v>
      </c>
      <c r="C19" t="s">
        <v>79</v>
      </c>
      <c r="E19" t="s">
        <v>4</v>
      </c>
      <c r="F19" t="s">
        <v>77</v>
      </c>
      <c r="G19" t="s">
        <v>35</v>
      </c>
    </row>
    <row r="20" spans="1:8" hidden="1" x14ac:dyDescent="0.2">
      <c r="A20" t="s">
        <v>55</v>
      </c>
      <c r="B20" s="4">
        <f>3294199.85184/35467268</f>
        <v>9.2880000000000004E-2</v>
      </c>
      <c r="C20" t="s">
        <v>80</v>
      </c>
      <c r="E20" t="s">
        <v>57</v>
      </c>
      <c r="F20" t="s">
        <v>77</v>
      </c>
      <c r="G20" t="s">
        <v>56</v>
      </c>
      <c r="H20" t="s">
        <v>49</v>
      </c>
    </row>
    <row r="21" spans="1:8" hidden="1" x14ac:dyDescent="0.2">
      <c r="A21" t="s">
        <v>22</v>
      </c>
      <c r="B21" s="4">
        <f>2470.64988888/35467268</f>
        <v>6.9660000000000007E-5</v>
      </c>
      <c r="C21" t="s">
        <v>79</v>
      </c>
      <c r="E21" t="s">
        <v>53</v>
      </c>
      <c r="F21" t="s">
        <v>77</v>
      </c>
      <c r="G21" t="s">
        <v>36</v>
      </c>
    </row>
    <row r="22" spans="1:8" hidden="1" x14ac:dyDescent="0.2">
      <c r="A22" t="s">
        <v>23</v>
      </c>
      <c r="B22" s="4">
        <f>2406596.002872/35467268</f>
        <v>6.7853999999999998E-2</v>
      </c>
      <c r="C22" t="s">
        <v>79</v>
      </c>
      <c r="E22" t="s">
        <v>4</v>
      </c>
      <c r="F22" t="s">
        <v>77</v>
      </c>
      <c r="G22" t="s">
        <v>37</v>
      </c>
    </row>
    <row r="23" spans="1:8" hidden="1" x14ac:dyDescent="0.2">
      <c r="A23" t="s">
        <v>24</v>
      </c>
      <c r="B23" s="4">
        <f>983501.66687712/35467268</f>
        <v>2.7729840000000002E-2</v>
      </c>
      <c r="C23" t="s">
        <v>79</v>
      </c>
      <c r="E23" t="s">
        <v>53</v>
      </c>
      <c r="F23" t="s">
        <v>77</v>
      </c>
      <c r="G23" t="s">
        <v>38</v>
      </c>
    </row>
    <row r="24" spans="1:8" hidden="1" x14ac:dyDescent="0.2">
      <c r="A24" t="s">
        <v>25</v>
      </c>
      <c r="B24" s="4">
        <f>13725.832716/35467268</f>
        <v>3.8700000000000003E-4</v>
      </c>
      <c r="C24" t="s">
        <v>79</v>
      </c>
      <c r="E24" t="s">
        <v>53</v>
      </c>
      <c r="F24" t="s">
        <v>77</v>
      </c>
      <c r="G24" t="s">
        <v>39</v>
      </c>
    </row>
    <row r="25" spans="1:8" hidden="1" x14ac:dyDescent="0.2">
      <c r="A25" t="s">
        <v>26</v>
      </c>
      <c r="B25" s="4">
        <f>1356661.30564944/35467268</f>
        <v>3.825108E-2</v>
      </c>
      <c r="C25" t="s">
        <v>79</v>
      </c>
      <c r="E25" t="s">
        <v>4</v>
      </c>
      <c r="F25" t="s">
        <v>77</v>
      </c>
      <c r="G25" t="s">
        <v>40</v>
      </c>
    </row>
    <row r="26" spans="1:8" hidden="1" x14ac:dyDescent="0.2">
      <c r="A26" t="s">
        <v>58</v>
      </c>
      <c r="B26" s="4">
        <f>5490.3330864/35467268</f>
        <v>1.548E-4</v>
      </c>
      <c r="C26" t="s">
        <v>79</v>
      </c>
      <c r="E26" t="s">
        <v>57</v>
      </c>
      <c r="F26" t="s">
        <v>77</v>
      </c>
      <c r="G26" t="s">
        <v>59</v>
      </c>
      <c r="H26" t="s">
        <v>50</v>
      </c>
    </row>
    <row r="27" spans="1:8" hidden="1" x14ac:dyDescent="0.2">
      <c r="A27" t="s">
        <v>27</v>
      </c>
      <c r="B27" s="4">
        <f>2479800.444024/35467268</f>
        <v>6.9917999999999994E-2</v>
      </c>
      <c r="C27" t="s">
        <v>79</v>
      </c>
      <c r="E27" t="s">
        <v>53</v>
      </c>
      <c r="F27" t="s">
        <v>77</v>
      </c>
      <c r="G27" t="s">
        <v>41</v>
      </c>
    </row>
    <row r="28" spans="1:8" hidden="1" x14ac:dyDescent="0.2">
      <c r="A28" t="s">
        <v>28</v>
      </c>
      <c r="B28" s="4">
        <f>3.6602220576/35467268</f>
        <v>1.032E-7</v>
      </c>
      <c r="C28" t="s">
        <v>7</v>
      </c>
      <c r="E28" t="s">
        <v>4</v>
      </c>
      <c r="F28" t="s">
        <v>77</v>
      </c>
      <c r="G28" t="s">
        <v>42</v>
      </c>
    </row>
    <row r="29" spans="1:8" hidden="1" x14ac:dyDescent="0.2">
      <c r="A29" t="s">
        <v>29</v>
      </c>
      <c r="B29" s="4">
        <f>-100656.106584/35467268</f>
        <v>-2.8379999999999998E-3</v>
      </c>
      <c r="C29" t="s">
        <v>79</v>
      </c>
      <c r="E29" t="s">
        <v>4</v>
      </c>
      <c r="F29" t="s">
        <v>77</v>
      </c>
      <c r="G29" t="s">
        <v>127</v>
      </c>
    </row>
    <row r="30" spans="1:8" hidden="1" x14ac:dyDescent="0.2">
      <c r="A30" t="s">
        <v>408</v>
      </c>
      <c r="B30" s="3">
        <f>59478608.436/35467268</f>
        <v>1.6769999999999998</v>
      </c>
      <c r="C30" t="s">
        <v>79</v>
      </c>
      <c r="E30" t="s">
        <v>53</v>
      </c>
      <c r="F30" t="s">
        <v>77</v>
      </c>
      <c r="G30" t="s">
        <v>409</v>
      </c>
    </row>
    <row r="31" spans="1:8" hidden="1" x14ac:dyDescent="0.2">
      <c r="A31" t="s">
        <v>30</v>
      </c>
      <c r="B31" s="3">
        <f>1363432.716456/35467268</f>
        <v>3.8441999999999997E-2</v>
      </c>
      <c r="C31" t="s">
        <v>79</v>
      </c>
      <c r="E31" t="s">
        <v>4</v>
      </c>
      <c r="F31" t="s">
        <v>77</v>
      </c>
      <c r="G31" t="s">
        <v>43</v>
      </c>
    </row>
    <row r="32" spans="1:8" hidden="1" x14ac:dyDescent="0.2">
      <c r="A32" t="s">
        <v>60</v>
      </c>
      <c r="B32" s="4">
        <f>458.708178813576/35467268</f>
        <v>1.2933282000000001E-5</v>
      </c>
      <c r="C32" t="s">
        <v>79</v>
      </c>
      <c r="D32" t="s">
        <v>61</v>
      </c>
      <c r="F32" t="s">
        <v>78</v>
      </c>
    </row>
    <row r="33" spans="1:6" hidden="1" x14ac:dyDescent="0.2">
      <c r="A33" t="s">
        <v>63</v>
      </c>
      <c r="B33" s="4">
        <f>27044.465728092/35467268</f>
        <v>7.6251900000000002E-4</v>
      </c>
      <c r="C33" t="s">
        <v>79</v>
      </c>
      <c r="D33" t="s">
        <v>61</v>
      </c>
      <c r="F33" t="s">
        <v>78</v>
      </c>
    </row>
    <row r="34" spans="1:6" hidden="1" x14ac:dyDescent="0.2">
      <c r="A34" t="s">
        <v>64</v>
      </c>
      <c r="B34" s="4">
        <f>5.53681790653152/35467268</f>
        <v>1.5611064000000001E-7</v>
      </c>
      <c r="C34" t="s">
        <v>79</v>
      </c>
      <c r="D34" t="s">
        <v>61</v>
      </c>
      <c r="F34" t="s">
        <v>78</v>
      </c>
    </row>
    <row r="35" spans="1:6" hidden="1" x14ac:dyDescent="0.2">
      <c r="A35" t="s">
        <v>65</v>
      </c>
      <c r="B35" s="4">
        <f>27044.465728092/35467268</f>
        <v>7.6251900000000002E-4</v>
      </c>
      <c r="C35" t="s">
        <v>79</v>
      </c>
      <c r="D35" t="s">
        <v>61</v>
      </c>
      <c r="F35" t="s">
        <v>78</v>
      </c>
    </row>
    <row r="36" spans="1:6" hidden="1" x14ac:dyDescent="0.2">
      <c r="A36" t="s">
        <v>66</v>
      </c>
      <c r="B36" s="4">
        <f>27.6840895326576/35467268</f>
        <v>7.8055320000000005E-7</v>
      </c>
      <c r="C36" t="s">
        <v>79</v>
      </c>
      <c r="D36" t="s">
        <v>67</v>
      </c>
      <c r="F36" t="s">
        <v>78</v>
      </c>
    </row>
    <row r="37" spans="1:6" hidden="1" x14ac:dyDescent="0.2">
      <c r="A37" t="s">
        <v>68</v>
      </c>
      <c r="B37" s="4">
        <f>55.3681790653152/35467268</f>
        <v>1.5611064000000001E-6</v>
      </c>
      <c r="C37" t="s">
        <v>79</v>
      </c>
      <c r="D37" t="s">
        <v>61</v>
      </c>
      <c r="F37" t="s">
        <v>78</v>
      </c>
    </row>
    <row r="38" spans="1:6" hidden="1" x14ac:dyDescent="0.2">
      <c r="A38" t="s">
        <v>69</v>
      </c>
      <c r="B38" s="4">
        <f>10141.5602660952/35467268</f>
        <v>2.8594140000000003E-4</v>
      </c>
      <c r="C38" t="s">
        <v>79</v>
      </c>
      <c r="D38" t="s">
        <v>61</v>
      </c>
      <c r="F38" t="s">
        <v>78</v>
      </c>
    </row>
    <row r="39" spans="1:6" hidden="1" x14ac:dyDescent="0.2">
      <c r="A39" t="s">
        <v>70</v>
      </c>
      <c r="B39" s="4">
        <f>27.6840895326576/35467268</f>
        <v>7.8055320000000005E-7</v>
      </c>
      <c r="C39" t="s">
        <v>79</v>
      </c>
      <c r="D39" t="s">
        <v>61</v>
      </c>
      <c r="F39" t="s">
        <v>78</v>
      </c>
    </row>
    <row r="40" spans="1:6" hidden="1" x14ac:dyDescent="0.2">
      <c r="A40" t="s">
        <v>71</v>
      </c>
      <c r="B40" s="4">
        <f>5.53681790653152/35467268</f>
        <v>1.5611064000000001E-7</v>
      </c>
      <c r="C40" t="s">
        <v>79</v>
      </c>
      <c r="D40" t="s">
        <v>61</v>
      </c>
      <c r="F40" t="s">
        <v>78</v>
      </c>
    </row>
    <row r="41" spans="1:6" hidden="1" x14ac:dyDescent="0.2">
      <c r="A41" t="s">
        <v>72</v>
      </c>
      <c r="B41" s="4">
        <f>55.3681790653152/35467268</f>
        <v>1.5611064000000001E-6</v>
      </c>
      <c r="C41" t="s">
        <v>79</v>
      </c>
      <c r="D41" t="s">
        <v>67</v>
      </c>
      <c r="F41" t="s">
        <v>78</v>
      </c>
    </row>
    <row r="42" spans="1:6" hidden="1" x14ac:dyDescent="0.2">
      <c r="A42" t="s">
        <v>73</v>
      </c>
      <c r="B42" s="4">
        <f>9100.13558515656/35467268</f>
        <v>2.5657842000000004E-4</v>
      </c>
      <c r="C42" t="s">
        <v>79</v>
      </c>
      <c r="D42" t="s">
        <v>61</v>
      </c>
      <c r="F42" t="s">
        <v>78</v>
      </c>
    </row>
    <row r="43" spans="1:6" hidden="1" x14ac:dyDescent="0.2">
      <c r="A43" t="s">
        <v>74</v>
      </c>
      <c r="B43" s="4">
        <f>458.708178813576/35467268</f>
        <v>1.2933282000000001E-5</v>
      </c>
      <c r="C43" t="s">
        <v>79</v>
      </c>
      <c r="D43" t="s">
        <v>61</v>
      </c>
      <c r="F43" t="s">
        <v>78</v>
      </c>
    </row>
    <row r="44" spans="1:6" hidden="1" x14ac:dyDescent="0.2">
      <c r="A44" t="s">
        <v>75</v>
      </c>
      <c r="B44" s="4">
        <f>10141.5602660952/35467268</f>
        <v>2.8594140000000003E-4</v>
      </c>
      <c r="C44" t="s">
        <v>79</v>
      </c>
      <c r="D44" t="s">
        <v>61</v>
      </c>
      <c r="F44" t="s">
        <v>78</v>
      </c>
    </row>
    <row r="45" spans="1:6" hidden="1" x14ac:dyDescent="0.2">
      <c r="A45" t="s">
        <v>76</v>
      </c>
      <c r="B45" s="4">
        <f>8922.61481536296/35467268</f>
        <v>2.5157321999999999E-4</v>
      </c>
      <c r="C45" t="s">
        <v>133</v>
      </c>
      <c r="D45" t="s">
        <v>62</v>
      </c>
      <c r="F45" t="s">
        <v>78</v>
      </c>
    </row>
    <row r="46" spans="1:6" hidden="1" x14ac:dyDescent="0.2">
      <c r="A46" t="s">
        <v>76</v>
      </c>
      <c r="B46" s="4">
        <f>50561.4839537234/35467268</f>
        <v>1.425581579999999E-3</v>
      </c>
      <c r="C46" t="s">
        <v>133</v>
      </c>
      <c r="D46" t="s">
        <v>61</v>
      </c>
      <c r="F46" t="s">
        <v>78</v>
      </c>
    </row>
    <row r="47" spans="1:6" hidden="1" x14ac:dyDescent="0.2"/>
    <row r="48" spans="1:6" hidden="1" x14ac:dyDescent="0.2"/>
    <row r="49" spans="1:8" ht="16" hidden="1" x14ac:dyDescent="0.2">
      <c r="A49" s="2" t="s">
        <v>1</v>
      </c>
      <c r="B49" s="2" t="s">
        <v>82</v>
      </c>
    </row>
    <row r="50" spans="1:8" ht="16" hidden="1" x14ac:dyDescent="0.2">
      <c r="A50" s="5" t="s">
        <v>135</v>
      </c>
      <c r="B50" s="5" t="s">
        <v>138</v>
      </c>
    </row>
    <row r="51" spans="1:8" hidden="1" x14ac:dyDescent="0.2">
      <c r="A51" t="s">
        <v>3</v>
      </c>
      <c r="B51" t="s">
        <v>46</v>
      </c>
    </row>
    <row r="52" spans="1:8" hidden="1" x14ac:dyDescent="0.2">
      <c r="A52" t="s">
        <v>5</v>
      </c>
      <c r="B52">
        <v>1</v>
      </c>
    </row>
    <row r="53" spans="1:8" hidden="1" x14ac:dyDescent="0.2">
      <c r="A53" t="s">
        <v>6</v>
      </c>
      <c r="B53" t="s">
        <v>83</v>
      </c>
    </row>
    <row r="54" spans="1:8" hidden="1" x14ac:dyDescent="0.2">
      <c r="A54" t="s">
        <v>7</v>
      </c>
      <c r="B54" t="s">
        <v>47</v>
      </c>
    </row>
    <row r="55" spans="1:8" hidden="1" x14ac:dyDescent="0.2">
      <c r="A55" t="s">
        <v>8</v>
      </c>
      <c r="B55" t="s">
        <v>16</v>
      </c>
    </row>
    <row r="56" spans="1:8" hidden="1" x14ac:dyDescent="0.2">
      <c r="A56" s="1" t="s">
        <v>9</v>
      </c>
      <c r="B56" s="1"/>
      <c r="C56" s="1"/>
      <c r="D56" s="1"/>
      <c r="E56" s="1"/>
      <c r="F56" s="1"/>
      <c r="G56" s="1"/>
      <c r="H56" s="1"/>
    </row>
    <row r="57" spans="1:8" hidden="1" x14ac:dyDescent="0.2">
      <c r="A57" s="1" t="s">
        <v>10</v>
      </c>
      <c r="B57" s="1" t="s">
        <v>11</v>
      </c>
      <c r="C57" s="1" t="s">
        <v>7</v>
      </c>
      <c r="D57" s="1" t="s">
        <v>12</v>
      </c>
      <c r="E57" s="1" t="s">
        <v>3</v>
      </c>
      <c r="F57" s="1" t="s">
        <v>13</v>
      </c>
      <c r="G57" s="1" t="s">
        <v>6</v>
      </c>
      <c r="H57" s="1" t="s">
        <v>2</v>
      </c>
    </row>
    <row r="58" spans="1:8" hidden="1" x14ac:dyDescent="0.2">
      <c r="A58" t="str">
        <f>B49</f>
        <v>perovskite wafer packaging</v>
      </c>
      <c r="B58" s="3">
        <v>1</v>
      </c>
      <c r="C58" t="str">
        <f>B54</f>
        <v>square meter</v>
      </c>
      <c r="E58" t="str">
        <f>B51</f>
        <v>CN</v>
      </c>
      <c r="F58" t="s">
        <v>14</v>
      </c>
      <c r="G58" t="str">
        <f>B53</f>
        <v>perovskite wafer, packaged</v>
      </c>
    </row>
    <row r="59" spans="1:8" hidden="1" x14ac:dyDescent="0.2">
      <c r="A59" t="s">
        <v>84</v>
      </c>
      <c r="B59">
        <f>91505.55144/35467268</f>
        <v>2.5799999999999998E-3</v>
      </c>
      <c r="C59" t="s">
        <v>79</v>
      </c>
      <c r="E59" t="s">
        <v>4</v>
      </c>
      <c r="F59" t="s">
        <v>77</v>
      </c>
      <c r="G59" t="s">
        <v>87</v>
      </c>
    </row>
    <row r="60" spans="1:8" hidden="1" x14ac:dyDescent="0.2">
      <c r="A60" t="s">
        <v>85</v>
      </c>
      <c r="B60">
        <f>173860.547736/35467268</f>
        <v>4.9020000000000001E-3</v>
      </c>
      <c r="C60" t="s">
        <v>79</v>
      </c>
      <c r="E60" t="s">
        <v>53</v>
      </c>
      <c r="F60" t="s">
        <v>77</v>
      </c>
      <c r="G60" t="s">
        <v>88</v>
      </c>
    </row>
    <row r="61" spans="1:8" hidden="1" x14ac:dyDescent="0.2">
      <c r="A61" t="s">
        <v>86</v>
      </c>
      <c r="B61">
        <f>183011.10288/35467268</f>
        <v>5.1599999999999997E-3</v>
      </c>
      <c r="C61" t="s">
        <v>79</v>
      </c>
      <c r="E61" t="s">
        <v>4</v>
      </c>
      <c r="F61" t="s">
        <v>77</v>
      </c>
      <c r="G61" t="s">
        <v>89</v>
      </c>
    </row>
    <row r="62" spans="1:8" hidden="1" x14ac:dyDescent="0.2">
      <c r="A62" t="s">
        <v>45</v>
      </c>
      <c r="B62">
        <v>1</v>
      </c>
      <c r="C62" t="s">
        <v>47</v>
      </c>
      <c r="E62" t="s">
        <v>46</v>
      </c>
      <c r="F62" t="s">
        <v>77</v>
      </c>
      <c r="G62" t="s">
        <v>44</v>
      </c>
    </row>
    <row r="63" spans="1:8" hidden="1" x14ac:dyDescent="0.2"/>
    <row r="64" spans="1:8" hidden="1" x14ac:dyDescent="0.2"/>
    <row r="65" spans="1:8" ht="16" hidden="1" x14ac:dyDescent="0.2">
      <c r="A65" s="2" t="s">
        <v>1</v>
      </c>
      <c r="B65" s="2" t="s">
        <v>90</v>
      </c>
    </row>
    <row r="66" spans="1:8" ht="16" hidden="1" x14ac:dyDescent="0.2">
      <c r="A66" s="5" t="s">
        <v>135</v>
      </c>
      <c r="B66" s="5" t="s">
        <v>139</v>
      </c>
    </row>
    <row r="67" spans="1:8" hidden="1" x14ac:dyDescent="0.2">
      <c r="A67" t="s">
        <v>3</v>
      </c>
      <c r="B67" t="s">
        <v>92</v>
      </c>
    </row>
    <row r="68" spans="1:8" hidden="1" x14ac:dyDescent="0.2">
      <c r="A68" t="s">
        <v>5</v>
      </c>
      <c r="B68">
        <v>1</v>
      </c>
    </row>
    <row r="69" spans="1:8" hidden="1" x14ac:dyDescent="0.2">
      <c r="A69" t="s">
        <v>6</v>
      </c>
      <c r="B69" t="s">
        <v>91</v>
      </c>
    </row>
    <row r="70" spans="1:8" hidden="1" x14ac:dyDescent="0.2">
      <c r="A70" t="s">
        <v>7</v>
      </c>
      <c r="B70" t="s">
        <v>47</v>
      </c>
    </row>
    <row r="71" spans="1:8" hidden="1" x14ac:dyDescent="0.2">
      <c r="A71" t="s">
        <v>8</v>
      </c>
      <c r="B71" t="s">
        <v>16</v>
      </c>
    </row>
    <row r="72" spans="1:8" hidden="1" x14ac:dyDescent="0.2">
      <c r="A72" s="1" t="s">
        <v>9</v>
      </c>
      <c r="B72" s="1"/>
      <c r="C72" s="1"/>
      <c r="D72" s="1"/>
      <c r="E72" s="1"/>
      <c r="F72" s="1"/>
      <c r="G72" s="1"/>
      <c r="H72" s="1"/>
    </row>
    <row r="73" spans="1:8" hidden="1" x14ac:dyDescent="0.2">
      <c r="A73" s="1" t="s">
        <v>10</v>
      </c>
      <c r="B73" s="1" t="s">
        <v>11</v>
      </c>
      <c r="C73" s="1" t="s">
        <v>7</v>
      </c>
      <c r="D73" s="1" t="s">
        <v>12</v>
      </c>
      <c r="E73" s="1" t="s">
        <v>3</v>
      </c>
      <c r="F73" s="1" t="s">
        <v>13</v>
      </c>
      <c r="G73" s="1" t="s">
        <v>6</v>
      </c>
      <c r="H73" s="1" t="s">
        <v>2</v>
      </c>
    </row>
    <row r="74" spans="1:8" hidden="1" x14ac:dyDescent="0.2">
      <c r="A74" t="str">
        <f>B65</f>
        <v>perovskite wafer transport</v>
      </c>
      <c r="B74" s="3">
        <v>1</v>
      </c>
      <c r="C74" t="str">
        <f>B70</f>
        <v>square meter</v>
      </c>
      <c r="E74" t="str">
        <f>B67</f>
        <v>DE</v>
      </c>
      <c r="F74" t="s">
        <v>14</v>
      </c>
      <c r="G74" t="str">
        <f>B69</f>
        <v>perovskite wafer, transported</v>
      </c>
    </row>
    <row r="75" spans="1:8" hidden="1" x14ac:dyDescent="0.2">
      <c r="A75" t="s">
        <v>93</v>
      </c>
      <c r="B75">
        <f>123004858.319429/35422933.915</f>
        <v>3.472463873675411</v>
      </c>
      <c r="C75" t="s">
        <v>96</v>
      </c>
      <c r="E75" t="s">
        <v>4</v>
      </c>
      <c r="F75" t="s">
        <v>77</v>
      </c>
      <c r="G75" t="s">
        <v>157</v>
      </c>
    </row>
    <row r="76" spans="1:8" hidden="1" x14ac:dyDescent="0.2">
      <c r="A76" t="s">
        <v>94</v>
      </c>
      <c r="B76">
        <f>5898494.70047974/35422933.915</f>
        <v>0.16651626640056477</v>
      </c>
      <c r="C76" t="s">
        <v>96</v>
      </c>
      <c r="E76" t="s">
        <v>4</v>
      </c>
      <c r="F76" t="s">
        <v>77</v>
      </c>
      <c r="G76" t="s">
        <v>156</v>
      </c>
    </row>
    <row r="77" spans="1:8" hidden="1" x14ac:dyDescent="0.2">
      <c r="A77" t="s">
        <v>432</v>
      </c>
      <c r="B77">
        <f>428058757.128493/35422933.915</f>
        <v>12.08422651143613</v>
      </c>
      <c r="C77" t="s">
        <v>96</v>
      </c>
      <c r="E77" t="s">
        <v>4</v>
      </c>
      <c r="F77" t="s">
        <v>77</v>
      </c>
      <c r="G77" t="s">
        <v>431</v>
      </c>
    </row>
    <row r="78" spans="1:8" hidden="1" x14ac:dyDescent="0.2">
      <c r="A78" t="s">
        <v>95</v>
      </c>
      <c r="B78">
        <f>-442.5667949355/35422933.915</f>
        <v>-1.2493792750128275E-5</v>
      </c>
      <c r="C78" t="s">
        <v>79</v>
      </c>
      <c r="E78" t="s">
        <v>57</v>
      </c>
      <c r="F78" t="s">
        <v>77</v>
      </c>
      <c r="G78" t="s">
        <v>127</v>
      </c>
    </row>
    <row r="79" spans="1:8" hidden="1" x14ac:dyDescent="0.2">
      <c r="A79" t="s">
        <v>82</v>
      </c>
      <c r="B79">
        <f>35467268/35422933.915</f>
        <v>1.0012515644555695</v>
      </c>
      <c r="C79" t="s">
        <v>47</v>
      </c>
      <c r="E79" t="s">
        <v>46</v>
      </c>
      <c r="F79" t="s">
        <v>77</v>
      </c>
      <c r="G79" t="s">
        <v>83</v>
      </c>
    </row>
    <row r="80" spans="1:8" hidden="1" x14ac:dyDescent="0.2"/>
    <row r="81" spans="1:8" hidden="1" x14ac:dyDescent="0.2"/>
    <row r="82" spans="1:8" ht="16" hidden="1" x14ac:dyDescent="0.2">
      <c r="A82" s="2" t="s">
        <v>1</v>
      </c>
      <c r="B82" s="2" t="s">
        <v>97</v>
      </c>
    </row>
    <row r="83" spans="1:8" ht="16" hidden="1" x14ac:dyDescent="0.2">
      <c r="A83" s="5" t="s">
        <v>135</v>
      </c>
      <c r="B83" s="5" t="s">
        <v>136</v>
      </c>
    </row>
    <row r="84" spans="1:8" hidden="1" x14ac:dyDescent="0.2">
      <c r="A84" t="s">
        <v>3</v>
      </c>
      <c r="B84" t="s">
        <v>92</v>
      </c>
    </row>
    <row r="85" spans="1:8" hidden="1" x14ac:dyDescent="0.2">
      <c r="A85" t="s">
        <v>5</v>
      </c>
      <c r="B85">
        <v>1</v>
      </c>
    </row>
    <row r="86" spans="1:8" hidden="1" x14ac:dyDescent="0.2">
      <c r="A86" t="s">
        <v>6</v>
      </c>
      <c r="B86" t="s">
        <v>98</v>
      </c>
    </row>
    <row r="87" spans="1:8" hidden="1" x14ac:dyDescent="0.2">
      <c r="A87" t="s">
        <v>7</v>
      </c>
      <c r="B87" t="s">
        <v>47</v>
      </c>
    </row>
    <row r="88" spans="1:8" hidden="1" x14ac:dyDescent="0.2">
      <c r="A88" t="s">
        <v>8</v>
      </c>
      <c r="B88" t="s">
        <v>16</v>
      </c>
    </row>
    <row r="89" spans="1:8" hidden="1" x14ac:dyDescent="0.2">
      <c r="A89" s="1" t="s">
        <v>9</v>
      </c>
      <c r="B89" s="1"/>
      <c r="C89" s="1"/>
      <c r="D89" s="1"/>
      <c r="E89" s="1"/>
      <c r="F89" s="1"/>
      <c r="G89" s="1"/>
      <c r="H89" s="1"/>
    </row>
    <row r="90" spans="1:8" hidden="1" x14ac:dyDescent="0.2">
      <c r="A90" s="1" t="s">
        <v>10</v>
      </c>
      <c r="B90" s="1" t="s">
        <v>11</v>
      </c>
      <c r="C90" s="1" t="s">
        <v>7</v>
      </c>
      <c r="D90" s="1" t="s">
        <v>12</v>
      </c>
      <c r="E90" s="1" t="s">
        <v>3</v>
      </c>
      <c r="F90" s="1" t="s">
        <v>13</v>
      </c>
      <c r="G90" s="1" t="s">
        <v>6</v>
      </c>
      <c r="H90" s="1" t="s">
        <v>2</v>
      </c>
    </row>
    <row r="91" spans="1:8" hidden="1" x14ac:dyDescent="0.2">
      <c r="A91" t="str">
        <f>B82</f>
        <v>perovskite wafer cleaning</v>
      </c>
      <c r="B91" s="3">
        <v>1</v>
      </c>
      <c r="C91" t="str">
        <f>B87</f>
        <v>square meter</v>
      </c>
      <c r="E91" t="str">
        <f>B84</f>
        <v>DE</v>
      </c>
      <c r="F91" t="s">
        <v>14</v>
      </c>
      <c r="G91" t="str">
        <f>B86</f>
        <v>perovskite wafer, cleaned</v>
      </c>
    </row>
    <row r="92" spans="1:8" hidden="1" x14ac:dyDescent="0.2">
      <c r="A92" t="s">
        <v>90</v>
      </c>
      <c r="B92" s="3">
        <v>1</v>
      </c>
      <c r="C92" t="s">
        <v>47</v>
      </c>
      <c r="E92" t="s">
        <v>92</v>
      </c>
      <c r="F92" t="s">
        <v>77</v>
      </c>
      <c r="G92" t="s">
        <v>91</v>
      </c>
    </row>
    <row r="93" spans="1:8" hidden="1" x14ac:dyDescent="0.2">
      <c r="A93" t="s">
        <v>99</v>
      </c>
      <c r="B93">
        <f>25.77204/35367093.098703</f>
        <v>7.2870111004246283E-7</v>
      </c>
      <c r="C93" t="s">
        <v>79</v>
      </c>
      <c r="E93" t="s">
        <v>53</v>
      </c>
      <c r="F93" t="s">
        <v>77</v>
      </c>
      <c r="G93" t="s">
        <v>102</v>
      </c>
    </row>
    <row r="94" spans="1:8" hidden="1" x14ac:dyDescent="0.2">
      <c r="A94" t="s">
        <v>100</v>
      </c>
      <c r="B94">
        <f>26823.96/35367093.098703</f>
        <v>7.5844401249317559E-4</v>
      </c>
      <c r="C94" t="s">
        <v>79</v>
      </c>
      <c r="E94" t="s">
        <v>53</v>
      </c>
      <c r="F94" t="s">
        <v>77</v>
      </c>
      <c r="G94" t="s">
        <v>101</v>
      </c>
    </row>
    <row r="95" spans="1:8" hidden="1" x14ac:dyDescent="0.2">
      <c r="A95" t="s">
        <v>104</v>
      </c>
      <c r="B95">
        <f>2.209032/35367093.098703/0.3</f>
        <v>2.0820031715498938E-7</v>
      </c>
      <c r="C95" t="s">
        <v>79</v>
      </c>
      <c r="E95" t="s">
        <v>53</v>
      </c>
      <c r="F95" t="s">
        <v>77</v>
      </c>
      <c r="G95" t="s">
        <v>105</v>
      </c>
      <c r="H95" t="s">
        <v>103</v>
      </c>
    </row>
    <row r="96" spans="1:8" hidden="1" x14ac:dyDescent="0.2">
      <c r="A96" t="s">
        <v>100</v>
      </c>
      <c r="B96">
        <f>3927.168/35367093.098703</f>
        <v>1.1104016914932768E-4</v>
      </c>
      <c r="C96" t="s">
        <v>79</v>
      </c>
      <c r="E96" t="s">
        <v>53</v>
      </c>
      <c r="F96" t="s">
        <v>77</v>
      </c>
      <c r="G96" t="s">
        <v>101</v>
      </c>
    </row>
    <row r="97" spans="1:8" hidden="1" x14ac:dyDescent="0.2">
      <c r="A97" t="s">
        <v>106</v>
      </c>
      <c r="B97">
        <f>87.66/35367093.098703</f>
        <v>2.4785752042260639E-6</v>
      </c>
      <c r="C97" t="s">
        <v>79</v>
      </c>
      <c r="E97" t="s">
        <v>4</v>
      </c>
      <c r="F97" t="s">
        <v>77</v>
      </c>
      <c r="G97" t="s">
        <v>107</v>
      </c>
    </row>
    <row r="98" spans="1:8" hidden="1" x14ac:dyDescent="0.2">
      <c r="A98" t="s">
        <v>100</v>
      </c>
      <c r="B98">
        <f>87660/35367093.098703</f>
        <v>2.4785752042260642E-3</v>
      </c>
      <c r="C98" t="s">
        <v>79</v>
      </c>
      <c r="E98" t="s">
        <v>53</v>
      </c>
      <c r="F98" t="s">
        <v>77</v>
      </c>
      <c r="G98" t="s">
        <v>101</v>
      </c>
    </row>
    <row r="99" spans="1:8" hidden="1" x14ac:dyDescent="0.2">
      <c r="A99" t="s">
        <v>100</v>
      </c>
      <c r="B99">
        <f>620110.620349369/35367093.098703</f>
        <v>1.7533547883586454E-2</v>
      </c>
      <c r="C99" t="s">
        <v>79</v>
      </c>
      <c r="E99" t="s">
        <v>53</v>
      </c>
      <c r="F99" t="s">
        <v>77</v>
      </c>
      <c r="G99" t="s">
        <v>101</v>
      </c>
    </row>
    <row r="100" spans="1:8" hidden="1" x14ac:dyDescent="0.2">
      <c r="A100" t="s">
        <v>108</v>
      </c>
      <c r="B100">
        <f>93.0165930524054/35367093.098703</f>
        <v>2.6300321825379696E-6</v>
      </c>
      <c r="C100" t="s">
        <v>79</v>
      </c>
      <c r="E100" t="s">
        <v>53</v>
      </c>
      <c r="F100" t="s">
        <v>77</v>
      </c>
      <c r="G100" t="s">
        <v>110</v>
      </c>
    </row>
    <row r="101" spans="1:8" hidden="1" x14ac:dyDescent="0.2">
      <c r="A101" t="s">
        <v>25</v>
      </c>
      <c r="B101">
        <f>7751.38275436712/35367093.098703/0.5</f>
        <v>4.3833869708966174E-4</v>
      </c>
      <c r="C101" t="s">
        <v>79</v>
      </c>
      <c r="E101" t="s">
        <v>53</v>
      </c>
      <c r="F101" t="s">
        <v>77</v>
      </c>
      <c r="G101" t="s">
        <v>111</v>
      </c>
      <c r="H101" t="s">
        <v>109</v>
      </c>
    </row>
    <row r="102" spans="1:8" hidden="1" x14ac:dyDescent="0.2">
      <c r="A102" t="s">
        <v>115</v>
      </c>
      <c r="B102">
        <f>9467280*0.0014/35367093.098703</f>
        <v>3.7476057087898083E-4</v>
      </c>
      <c r="C102" t="s">
        <v>79</v>
      </c>
      <c r="E102" t="s">
        <v>53</v>
      </c>
      <c r="F102" t="s">
        <v>77</v>
      </c>
      <c r="G102" t="s">
        <v>116</v>
      </c>
      <c r="H102" t="s">
        <v>282</v>
      </c>
    </row>
    <row r="103" spans="1:8" hidden="1" x14ac:dyDescent="0.2">
      <c r="A103" t="s">
        <v>117</v>
      </c>
      <c r="B103">
        <f>157788000*0.0013/35367093.098703</f>
        <v>5.7998659778889898E-3</v>
      </c>
      <c r="C103" t="s">
        <v>79</v>
      </c>
      <c r="E103" t="s">
        <v>53</v>
      </c>
      <c r="F103" t="s">
        <v>77</v>
      </c>
      <c r="G103" t="s">
        <v>118</v>
      </c>
      <c r="H103" t="s">
        <v>281</v>
      </c>
    </row>
    <row r="104" spans="1:8" hidden="1" x14ac:dyDescent="0.2">
      <c r="A104" t="s">
        <v>51</v>
      </c>
      <c r="B104" s="4">
        <f>11045160/35367093.098703/3.6</f>
        <v>8.6750132147912232E-2</v>
      </c>
      <c r="C104" t="s">
        <v>81</v>
      </c>
      <c r="E104" t="s">
        <v>119</v>
      </c>
      <c r="F104" t="s">
        <v>77</v>
      </c>
      <c r="G104" t="s">
        <v>52</v>
      </c>
      <c r="H104" t="s">
        <v>48</v>
      </c>
    </row>
    <row r="105" spans="1:8" hidden="1" x14ac:dyDescent="0.2">
      <c r="A105" t="s">
        <v>113</v>
      </c>
      <c r="B105">
        <f>91744956/35367093.098703</f>
        <v>2.5940768087429986</v>
      </c>
      <c r="C105" t="s">
        <v>79</v>
      </c>
      <c r="E105" t="s">
        <v>92</v>
      </c>
      <c r="F105" t="s">
        <v>77</v>
      </c>
      <c r="G105" t="s">
        <v>120</v>
      </c>
      <c r="H105" t="s">
        <v>210</v>
      </c>
    </row>
    <row r="106" spans="1:8" hidden="1" x14ac:dyDescent="0.2">
      <c r="A106" t="s">
        <v>114</v>
      </c>
      <c r="B106">
        <f>368172/35367093.098703</f>
        <v>1.0410015857749469E-2</v>
      </c>
      <c r="C106" t="s">
        <v>133</v>
      </c>
      <c r="E106" t="s">
        <v>92</v>
      </c>
      <c r="F106" t="s">
        <v>77</v>
      </c>
      <c r="G106" t="s">
        <v>121</v>
      </c>
      <c r="H106" t="s">
        <v>209</v>
      </c>
    </row>
    <row r="107" spans="1:8" hidden="1" x14ac:dyDescent="0.2">
      <c r="A107" t="s">
        <v>122</v>
      </c>
      <c r="B107">
        <f>3000/35367093.098703</f>
        <v>8.4824613423205473E-5</v>
      </c>
      <c r="C107" t="s">
        <v>79</v>
      </c>
      <c r="E107" t="s">
        <v>4</v>
      </c>
      <c r="F107" t="s">
        <v>77</v>
      </c>
      <c r="G107" t="s">
        <v>123</v>
      </c>
    </row>
    <row r="108" spans="1:8" hidden="1" x14ac:dyDescent="0.2">
      <c r="A108" t="s">
        <v>84</v>
      </c>
      <c r="B108">
        <f>5000/35367093.098703</f>
        <v>1.4137435570534245E-4</v>
      </c>
      <c r="C108" t="s">
        <v>79</v>
      </c>
      <c r="E108" t="s">
        <v>4</v>
      </c>
      <c r="F108" t="s">
        <v>77</v>
      </c>
      <c r="G108" t="s">
        <v>124</v>
      </c>
    </row>
    <row r="109" spans="1:8" hidden="1" x14ac:dyDescent="0.2">
      <c r="A109" t="s">
        <v>440</v>
      </c>
      <c r="B109">
        <f>-3000/35367093.098703</f>
        <v>-8.4824613423205473E-5</v>
      </c>
      <c r="C109" t="s">
        <v>79</v>
      </c>
      <c r="E109" t="s">
        <v>54</v>
      </c>
      <c r="F109" t="s">
        <v>77</v>
      </c>
      <c r="G109" t="s">
        <v>125</v>
      </c>
    </row>
    <row r="110" spans="1:8" hidden="1" x14ac:dyDescent="0.2">
      <c r="A110" t="s">
        <v>443</v>
      </c>
      <c r="B110">
        <f>-5000/35367093.098703</f>
        <v>-1.4137435570534245E-4</v>
      </c>
      <c r="C110" t="s">
        <v>79</v>
      </c>
      <c r="E110" t="s">
        <v>54</v>
      </c>
      <c r="F110" t="s">
        <v>77</v>
      </c>
      <c r="G110" t="s">
        <v>126</v>
      </c>
    </row>
    <row r="111" spans="1:8" hidden="1" x14ac:dyDescent="0.2">
      <c r="A111" t="s">
        <v>95</v>
      </c>
      <c r="B111">
        <f>-950/35367093.098703</f>
        <v>-2.6861127584015068E-5</v>
      </c>
      <c r="C111" t="s">
        <v>79</v>
      </c>
      <c r="E111" t="s">
        <v>92</v>
      </c>
      <c r="F111" t="s">
        <v>77</v>
      </c>
      <c r="G111" t="s">
        <v>127</v>
      </c>
    </row>
    <row r="112" spans="1:8" hidden="1" x14ac:dyDescent="0.2">
      <c r="A112" t="s">
        <v>130</v>
      </c>
      <c r="B112">
        <f>-50/35367093.098703</f>
        <v>-1.4137435570534245E-6</v>
      </c>
      <c r="C112" t="s">
        <v>79</v>
      </c>
      <c r="E112" t="s">
        <v>119</v>
      </c>
      <c r="F112" t="s">
        <v>77</v>
      </c>
      <c r="G112" t="s">
        <v>131</v>
      </c>
      <c r="H112" t="s">
        <v>129</v>
      </c>
    </row>
    <row r="113" spans="1:8" hidden="1" x14ac:dyDescent="0.2">
      <c r="A113" t="s">
        <v>389</v>
      </c>
      <c r="B113">
        <f>-43830000/35367093.098703</f>
        <v>-1.2392876021130319</v>
      </c>
      <c r="C113" t="s">
        <v>133</v>
      </c>
      <c r="E113" t="s">
        <v>92</v>
      </c>
      <c r="F113" t="s">
        <v>77</v>
      </c>
      <c r="G113" t="s">
        <v>390</v>
      </c>
      <c r="H113" t="s">
        <v>211</v>
      </c>
    </row>
    <row r="114" spans="1:8" hidden="1" x14ac:dyDescent="0.2">
      <c r="A114" t="s">
        <v>399</v>
      </c>
      <c r="B114">
        <f>-65745000/35367093.098703</f>
        <v>-1.8589314031695481</v>
      </c>
      <c r="C114" t="s">
        <v>133</v>
      </c>
      <c r="E114" t="s">
        <v>92</v>
      </c>
      <c r="F114" t="s">
        <v>77</v>
      </c>
      <c r="G114" t="s">
        <v>400</v>
      </c>
      <c r="H114" t="s">
        <v>211</v>
      </c>
    </row>
    <row r="115" spans="1:8" hidden="1" x14ac:dyDescent="0.2">
      <c r="A115" t="s">
        <v>402</v>
      </c>
      <c r="B115">
        <f>-66621600/35367093.098703</f>
        <v>-1.8837171552118086</v>
      </c>
      <c r="C115" t="s">
        <v>133</v>
      </c>
      <c r="E115" t="s">
        <v>92</v>
      </c>
      <c r="F115" t="s">
        <v>77</v>
      </c>
      <c r="G115" t="s">
        <v>403</v>
      </c>
      <c r="H115" t="s">
        <v>211</v>
      </c>
    </row>
    <row r="116" spans="1:8" hidden="1" x14ac:dyDescent="0.2">
      <c r="A116" t="s">
        <v>132</v>
      </c>
      <c r="B116">
        <f>-(44706.6+2454.48+613.62+41200.2+1227.24)/35367093.098703</f>
        <v>-2.55045388514862E-3</v>
      </c>
      <c r="C116" t="s">
        <v>133</v>
      </c>
      <c r="E116" t="s">
        <v>92</v>
      </c>
      <c r="F116" t="s">
        <v>77</v>
      </c>
      <c r="G116" t="s">
        <v>134</v>
      </c>
      <c r="H116" t="s">
        <v>212</v>
      </c>
    </row>
    <row r="117" spans="1:8" hidden="1" x14ac:dyDescent="0.2"/>
    <row r="118" spans="1:8" hidden="1" x14ac:dyDescent="0.2"/>
    <row r="119" spans="1:8" ht="16" hidden="1" x14ac:dyDescent="0.2">
      <c r="A119" s="2" t="s">
        <v>1</v>
      </c>
      <c r="B119" s="2" t="s">
        <v>141</v>
      </c>
    </row>
    <row r="120" spans="1:8" ht="16" hidden="1" x14ac:dyDescent="0.2">
      <c r="A120" s="5" t="s">
        <v>2</v>
      </c>
      <c r="B120" s="5" t="s">
        <v>140</v>
      </c>
    </row>
    <row r="121" spans="1:8" hidden="1" x14ac:dyDescent="0.2">
      <c r="A121" t="s">
        <v>3</v>
      </c>
      <c r="B121" t="s">
        <v>92</v>
      </c>
    </row>
    <row r="122" spans="1:8" hidden="1" x14ac:dyDescent="0.2">
      <c r="A122" t="s">
        <v>5</v>
      </c>
      <c r="B122">
        <v>1</v>
      </c>
    </row>
    <row r="123" spans="1:8" hidden="1" x14ac:dyDescent="0.2">
      <c r="A123" t="s">
        <v>6</v>
      </c>
      <c r="B123" t="s">
        <v>142</v>
      </c>
    </row>
    <row r="124" spans="1:8" hidden="1" x14ac:dyDescent="0.2">
      <c r="A124" t="s">
        <v>7</v>
      </c>
      <c r="B124" t="s">
        <v>7</v>
      </c>
    </row>
    <row r="125" spans="1:8" hidden="1" x14ac:dyDescent="0.2">
      <c r="A125" t="s">
        <v>8</v>
      </c>
      <c r="B125" t="s">
        <v>16</v>
      </c>
    </row>
    <row r="126" spans="1:8" hidden="1" x14ac:dyDescent="0.2">
      <c r="A126" s="1" t="s">
        <v>9</v>
      </c>
      <c r="B126" s="1"/>
      <c r="C126" s="1"/>
      <c r="D126" s="1"/>
      <c r="E126" s="1"/>
      <c r="F126" s="1"/>
      <c r="G126" s="1"/>
      <c r="H126" s="1"/>
    </row>
    <row r="127" spans="1:8" hidden="1" x14ac:dyDescent="0.2">
      <c r="A127" s="1" t="s">
        <v>10</v>
      </c>
      <c r="B127" s="1" t="s">
        <v>11</v>
      </c>
      <c r="C127" s="1" t="s">
        <v>7</v>
      </c>
      <c r="D127" s="1" t="s">
        <v>12</v>
      </c>
      <c r="E127" s="1" t="s">
        <v>3</v>
      </c>
      <c r="F127" s="1" t="s">
        <v>13</v>
      </c>
      <c r="G127" s="1" t="s">
        <v>6</v>
      </c>
      <c r="H127" s="1" t="s">
        <v>2</v>
      </c>
    </row>
    <row r="128" spans="1:8" hidden="1" x14ac:dyDescent="0.2">
      <c r="A128" t="str">
        <f>B119</f>
        <v>PECVD of thin film layer, for perovskite</v>
      </c>
      <c r="B128" s="3">
        <v>1</v>
      </c>
      <c r="C128" t="s">
        <v>7</v>
      </c>
      <c r="E128" t="str">
        <f>B121</f>
        <v>DE</v>
      </c>
      <c r="F128" t="s">
        <v>14</v>
      </c>
      <c r="G128" t="str">
        <f>B123</f>
        <v>cell, perovskite, to sputter</v>
      </c>
    </row>
    <row r="129" spans="1:8" hidden="1" x14ac:dyDescent="0.2">
      <c r="A129" t="s">
        <v>144</v>
      </c>
      <c r="B129">
        <f>(35367093.098703/35317005.6480545)</f>
        <v>1.0014182247257208</v>
      </c>
      <c r="C129" t="s">
        <v>7</v>
      </c>
      <c r="E129" t="s">
        <v>92</v>
      </c>
      <c r="F129" t="s">
        <v>77</v>
      </c>
      <c r="G129" t="s">
        <v>143</v>
      </c>
      <c r="H129" t="s">
        <v>310</v>
      </c>
    </row>
    <row r="130" spans="1:8" hidden="1" x14ac:dyDescent="0.2">
      <c r="A130" t="s">
        <v>97</v>
      </c>
      <c r="B130">
        <f>(35367093.098703/35317005.6480545)</f>
        <v>1.0014182247257208</v>
      </c>
      <c r="C130" t="s">
        <v>47</v>
      </c>
      <c r="E130" t="s">
        <v>92</v>
      </c>
      <c r="F130" t="s">
        <v>77</v>
      </c>
      <c r="G130" t="s">
        <v>98</v>
      </c>
    </row>
    <row r="131" spans="1:8" hidden="1" x14ac:dyDescent="0.2">
      <c r="A131" t="s">
        <v>145</v>
      </c>
      <c r="B131">
        <f>296957.016*0.0018/35317005.6480545</f>
        <v>1.5134992873594455E-5</v>
      </c>
      <c r="C131" t="s">
        <v>79</v>
      </c>
      <c r="E131" t="s">
        <v>53</v>
      </c>
      <c r="F131" t="s">
        <v>77</v>
      </c>
      <c r="G131" t="s">
        <v>146</v>
      </c>
      <c r="H131" t="s">
        <v>280</v>
      </c>
    </row>
    <row r="132" spans="1:8" hidden="1" x14ac:dyDescent="0.2">
      <c r="A132" t="s">
        <v>117</v>
      </c>
      <c r="B132">
        <f>1009843200*0.0013/35317005.6480545</f>
        <v>3.7171785543838071E-2</v>
      </c>
      <c r="C132" t="s">
        <v>79</v>
      </c>
      <c r="E132" t="s">
        <v>53</v>
      </c>
      <c r="F132" t="s">
        <v>77</v>
      </c>
      <c r="G132" t="s">
        <v>118</v>
      </c>
      <c r="H132" t="s">
        <v>281</v>
      </c>
    </row>
    <row r="133" spans="1:8" hidden="1" x14ac:dyDescent="0.2">
      <c r="A133" t="s">
        <v>51</v>
      </c>
      <c r="B133" s="4">
        <f>49703.22/35317005.6480545/3.6</f>
        <v>3.9092923498627782E-4</v>
      </c>
      <c r="C133" t="s">
        <v>81</v>
      </c>
      <c r="E133" t="s">
        <v>119</v>
      </c>
      <c r="F133" t="s">
        <v>77</v>
      </c>
      <c r="G133" t="s">
        <v>52</v>
      </c>
      <c r="H133" t="s">
        <v>48</v>
      </c>
    </row>
    <row r="134" spans="1:8" hidden="1" x14ac:dyDescent="0.2">
      <c r="A134" t="s">
        <v>147</v>
      </c>
      <c r="B134">
        <f>98854.182/35317005.6480545</f>
        <v>2.7990533225017494E-3</v>
      </c>
      <c r="C134" t="s">
        <v>80</v>
      </c>
      <c r="E134" t="s">
        <v>53</v>
      </c>
      <c r="F134" t="s">
        <v>77</v>
      </c>
      <c r="G134" t="s">
        <v>56</v>
      </c>
    </row>
    <row r="135" spans="1:8" hidden="1" x14ac:dyDescent="0.2">
      <c r="A135" t="s">
        <v>444</v>
      </c>
      <c r="B135">
        <f>46.5001236/35317005.6480545</f>
        <v>1.3166496634337839E-6</v>
      </c>
      <c r="C135" t="s">
        <v>79</v>
      </c>
      <c r="E135" t="s">
        <v>53</v>
      </c>
      <c r="F135" t="s">
        <v>77</v>
      </c>
      <c r="G135" t="s">
        <v>445</v>
      </c>
      <c r="H135" t="s">
        <v>447</v>
      </c>
    </row>
    <row r="136" spans="1:8" hidden="1" x14ac:dyDescent="0.2">
      <c r="A136" t="s">
        <v>148</v>
      </c>
      <c r="B136">
        <f>276.129/35317005.6480545</f>
        <v>7.8185846997255571E-6</v>
      </c>
      <c r="C136" t="s">
        <v>79</v>
      </c>
      <c r="E136" t="s">
        <v>53</v>
      </c>
      <c r="F136" t="s">
        <v>77</v>
      </c>
      <c r="G136" t="s">
        <v>152</v>
      </c>
    </row>
    <row r="137" spans="1:8" hidden="1" x14ac:dyDescent="0.2">
      <c r="A137" t="s">
        <v>117</v>
      </c>
      <c r="B137">
        <f>3429.52218/35317005.6480545</f>
        <v>9.7106821970591406E-5</v>
      </c>
      <c r="C137" t="s">
        <v>79</v>
      </c>
      <c r="E137" t="s">
        <v>53</v>
      </c>
      <c r="F137" t="s">
        <v>77</v>
      </c>
      <c r="G137" t="s">
        <v>118</v>
      </c>
    </row>
    <row r="138" spans="1:8" x14ac:dyDescent="0.2">
      <c r="A138" t="s">
        <v>149</v>
      </c>
      <c r="B138">
        <f>44.9538012/35317005.6480545</f>
        <v>1.2728655891153207E-6</v>
      </c>
      <c r="C138" t="s">
        <v>79</v>
      </c>
      <c r="E138" t="s">
        <v>57</v>
      </c>
      <c r="F138" t="s">
        <v>77</v>
      </c>
      <c r="G138" t="s">
        <v>153</v>
      </c>
    </row>
    <row r="139" spans="1:8" hidden="1" x14ac:dyDescent="0.2">
      <c r="A139" t="s">
        <v>150</v>
      </c>
      <c r="B139">
        <f>552.258/35317005.6480545</f>
        <v>1.5637169399451114E-5</v>
      </c>
      <c r="C139" t="s">
        <v>79</v>
      </c>
      <c r="E139" t="s">
        <v>53</v>
      </c>
      <c r="F139" t="s">
        <v>77</v>
      </c>
      <c r="G139" t="s">
        <v>154</v>
      </c>
    </row>
    <row r="140" spans="1:8" hidden="1" x14ac:dyDescent="0.2">
      <c r="A140" t="s">
        <v>151</v>
      </c>
      <c r="B140">
        <f>0.0000000056882574/35317005.6480545</f>
        <v>1.6106284481434647E-16</v>
      </c>
      <c r="C140" t="s">
        <v>7</v>
      </c>
      <c r="E140" t="s">
        <v>4</v>
      </c>
      <c r="F140" t="s">
        <v>77</v>
      </c>
      <c r="G140" t="s">
        <v>155</v>
      </c>
    </row>
    <row r="141" spans="1:8" hidden="1" x14ac:dyDescent="0.2">
      <c r="A141" t="s">
        <v>94</v>
      </c>
      <c r="B141">
        <f>2606.65776/35317005.6480545</f>
        <v>7.3807439565409252E-5</v>
      </c>
      <c r="C141" t="s">
        <v>96</v>
      </c>
      <c r="E141" t="s">
        <v>53</v>
      </c>
      <c r="F141" t="s">
        <v>77</v>
      </c>
      <c r="G141" t="s">
        <v>156</v>
      </c>
    </row>
    <row r="142" spans="1:8" hidden="1" x14ac:dyDescent="0.2">
      <c r="A142" t="s">
        <v>93</v>
      </c>
      <c r="B142">
        <f>434.627046/35317005.6480545</f>
        <v>1.2306452317368026E-5</v>
      </c>
      <c r="C142" t="s">
        <v>96</v>
      </c>
      <c r="E142" t="s">
        <v>4</v>
      </c>
      <c r="F142" t="s">
        <v>77</v>
      </c>
      <c r="G142" t="s">
        <v>157</v>
      </c>
    </row>
    <row r="143" spans="1:8" hidden="1" x14ac:dyDescent="0.2">
      <c r="A143" t="s">
        <v>60</v>
      </c>
      <c r="B143">
        <f>0.0059643864/35317005.6480545</f>
        <v>1.68881429514072E-10</v>
      </c>
      <c r="C143" t="s">
        <v>79</v>
      </c>
      <c r="D143" t="s">
        <v>61</v>
      </c>
      <c r="F143" t="s">
        <v>78</v>
      </c>
      <c r="H143" t="s">
        <v>158</v>
      </c>
    </row>
    <row r="144" spans="1:8" hidden="1" x14ac:dyDescent="0.2">
      <c r="A144" t="s">
        <v>63</v>
      </c>
      <c r="B144">
        <f>0.043352253/35317005.6480545</f>
        <v>1.2275177978569124E-9</v>
      </c>
      <c r="C144" t="s">
        <v>79</v>
      </c>
      <c r="D144" t="s">
        <v>61</v>
      </c>
      <c r="F144" t="s">
        <v>78</v>
      </c>
      <c r="H144" t="s">
        <v>159</v>
      </c>
    </row>
    <row r="145" spans="1:8" hidden="1" x14ac:dyDescent="0.2">
      <c r="A145" t="s">
        <v>64</v>
      </c>
      <c r="B145">
        <f>0.000522988326/35317005.6480545</f>
        <v>1.4808399421280205E-11</v>
      </c>
      <c r="C145" t="s">
        <v>79</v>
      </c>
      <c r="D145" t="s">
        <v>61</v>
      </c>
      <c r="F145" t="s">
        <v>78</v>
      </c>
      <c r="H145" t="s">
        <v>160</v>
      </c>
    </row>
    <row r="146" spans="1:8" hidden="1" x14ac:dyDescent="0.2">
      <c r="A146" t="s">
        <v>184</v>
      </c>
      <c r="B146">
        <f>21.261933/35317005.6480545</f>
        <v>6.0203102187886783E-7</v>
      </c>
      <c r="C146" t="s">
        <v>79</v>
      </c>
      <c r="D146" t="s">
        <v>61</v>
      </c>
      <c r="F146" t="s">
        <v>78</v>
      </c>
      <c r="H146" t="s">
        <v>161</v>
      </c>
    </row>
    <row r="147" spans="1:8" hidden="1" x14ac:dyDescent="0.2">
      <c r="A147" t="s">
        <v>66</v>
      </c>
      <c r="B147">
        <f>0.000434627046/35317005.6480545</f>
        <v>1.2306452317368027E-11</v>
      </c>
      <c r="C147" t="s">
        <v>79</v>
      </c>
      <c r="D147" t="s">
        <v>61</v>
      </c>
      <c r="F147" t="s">
        <v>78</v>
      </c>
      <c r="H147" t="s">
        <v>162</v>
      </c>
    </row>
    <row r="148" spans="1:8" hidden="1" x14ac:dyDescent="0.2">
      <c r="A148" t="s">
        <v>65</v>
      </c>
      <c r="B148">
        <f>0.487643814/35317005.6480545</f>
        <v>1.3807620579715333E-8</v>
      </c>
      <c r="C148" t="s">
        <v>79</v>
      </c>
      <c r="D148" t="s">
        <v>61</v>
      </c>
      <c r="F148" t="s">
        <v>78</v>
      </c>
      <c r="H148" t="s">
        <v>163</v>
      </c>
    </row>
    <row r="149" spans="1:8" hidden="1" x14ac:dyDescent="0.2">
      <c r="A149" t="s">
        <v>68</v>
      </c>
      <c r="B149">
        <f>0.00037829673/35317005.6480545</f>
        <v>1.0711461038624012E-11</v>
      </c>
      <c r="C149" t="s">
        <v>79</v>
      </c>
      <c r="D149" t="s">
        <v>61</v>
      </c>
      <c r="F149" t="s">
        <v>78</v>
      </c>
      <c r="H149" t="s">
        <v>164</v>
      </c>
    </row>
    <row r="150" spans="1:8" hidden="1" x14ac:dyDescent="0.2">
      <c r="A150" t="s">
        <v>69</v>
      </c>
      <c r="B150">
        <f>0.39486447/35317005.6480545</f>
        <v>1.1180576120607547E-8</v>
      </c>
      <c r="C150" t="s">
        <v>79</v>
      </c>
      <c r="D150" t="s">
        <v>61</v>
      </c>
      <c r="F150" t="s">
        <v>78</v>
      </c>
      <c r="H150" t="s">
        <v>165</v>
      </c>
    </row>
    <row r="151" spans="1:8" hidden="1" x14ac:dyDescent="0.2">
      <c r="A151" t="s">
        <v>185</v>
      </c>
      <c r="B151">
        <f>0.0204887718/35317005.6480545</f>
        <v>5.8013898471963628E-10</v>
      </c>
      <c r="C151" t="s">
        <v>79</v>
      </c>
      <c r="D151" t="s">
        <v>61</v>
      </c>
      <c r="F151" t="s">
        <v>78</v>
      </c>
      <c r="H151" t="s">
        <v>166</v>
      </c>
    </row>
    <row r="152" spans="1:8" hidden="1" x14ac:dyDescent="0.2">
      <c r="A152" t="s">
        <v>186</v>
      </c>
      <c r="B152">
        <f>0.00326936736/35317005.6480545</f>
        <v>9.2572042844750587E-11</v>
      </c>
      <c r="C152" t="s">
        <v>79</v>
      </c>
      <c r="D152" t="s">
        <v>61</v>
      </c>
      <c r="F152" t="s">
        <v>78</v>
      </c>
      <c r="H152" t="s">
        <v>167</v>
      </c>
    </row>
    <row r="153" spans="1:8" hidden="1" x14ac:dyDescent="0.2">
      <c r="A153" t="s">
        <v>70</v>
      </c>
      <c r="B153">
        <f>0.000112660632/35317005.6480545</f>
        <v>3.189982557488027E-12</v>
      </c>
      <c r="C153" t="s">
        <v>79</v>
      </c>
      <c r="D153" t="s">
        <v>61</v>
      </c>
      <c r="F153" t="s">
        <v>78</v>
      </c>
      <c r="H153" t="s">
        <v>168</v>
      </c>
    </row>
    <row r="154" spans="1:8" hidden="1" x14ac:dyDescent="0.2">
      <c r="A154" t="s">
        <v>71</v>
      </c>
      <c r="B154">
        <f>0.00000102719988/35317005.6480545</f>
        <v>2.9085135082979071E-14</v>
      </c>
      <c r="C154" t="s">
        <v>79</v>
      </c>
      <c r="D154" t="s">
        <v>61</v>
      </c>
      <c r="F154" t="s">
        <v>78</v>
      </c>
      <c r="H154" t="s">
        <v>169</v>
      </c>
    </row>
    <row r="155" spans="1:8" hidden="1" x14ac:dyDescent="0.2">
      <c r="A155" t="s">
        <v>72</v>
      </c>
      <c r="B155">
        <f>0.000440701884/35317005.6480545</f>
        <v>1.2478461180761988E-11</v>
      </c>
      <c r="C155" t="s">
        <v>79</v>
      </c>
      <c r="D155" t="s">
        <v>61</v>
      </c>
      <c r="F155" t="s">
        <v>78</v>
      </c>
      <c r="H155" t="s">
        <v>170</v>
      </c>
    </row>
    <row r="156" spans="1:8" hidden="1" x14ac:dyDescent="0.2">
      <c r="A156" t="s">
        <v>73</v>
      </c>
      <c r="B156">
        <f>0.15739353/35317005.6480545</f>
        <v>4.4565932788435671E-9</v>
      </c>
      <c r="C156" t="s">
        <v>79</v>
      </c>
      <c r="D156" t="s">
        <v>61</v>
      </c>
      <c r="F156" t="s">
        <v>78</v>
      </c>
      <c r="H156" t="s">
        <v>171</v>
      </c>
    </row>
    <row r="157" spans="1:8" hidden="1" x14ac:dyDescent="0.2">
      <c r="A157" t="s">
        <v>74</v>
      </c>
      <c r="B157">
        <f>0.0023747094/35317005.6480545</f>
        <v>6.7239828417639791E-11</v>
      </c>
      <c r="C157" t="s">
        <v>79</v>
      </c>
      <c r="D157" t="s">
        <v>61</v>
      </c>
      <c r="F157" t="s">
        <v>78</v>
      </c>
      <c r="H157" t="s">
        <v>172</v>
      </c>
    </row>
    <row r="158" spans="1:8" hidden="1" x14ac:dyDescent="0.2">
      <c r="A158" t="s">
        <v>187</v>
      </c>
      <c r="B158">
        <f>0.00025679997/35317005.6480545</f>
        <v>7.2712837707447679E-12</v>
      </c>
      <c r="C158" t="s">
        <v>79</v>
      </c>
      <c r="D158" t="s">
        <v>61</v>
      </c>
      <c r="F158" t="s">
        <v>78</v>
      </c>
      <c r="H158" t="s">
        <v>173</v>
      </c>
    </row>
    <row r="159" spans="1:8" hidden="1" x14ac:dyDescent="0.2">
      <c r="A159" t="s">
        <v>188</v>
      </c>
      <c r="B159">
        <f>14.910966/35317005.6480545</f>
        <v>4.2220357378518006E-7</v>
      </c>
      <c r="C159" t="s">
        <v>79</v>
      </c>
      <c r="D159" t="s">
        <v>61</v>
      </c>
      <c r="F159" t="s">
        <v>78</v>
      </c>
      <c r="H159" t="s">
        <v>174</v>
      </c>
    </row>
    <row r="160" spans="1:8" hidden="1" x14ac:dyDescent="0.2">
      <c r="A160" t="s">
        <v>189</v>
      </c>
      <c r="B160">
        <f>0.102719988/35317005.6480545</f>
        <v>2.9085135082979072E-9</v>
      </c>
      <c r="C160" t="s">
        <v>79</v>
      </c>
      <c r="D160" t="s">
        <v>61</v>
      </c>
      <c r="F160" t="s">
        <v>78</v>
      </c>
      <c r="H160" t="s">
        <v>175</v>
      </c>
    </row>
    <row r="161" spans="1:8" hidden="1" x14ac:dyDescent="0.2">
      <c r="A161" t="s">
        <v>75</v>
      </c>
      <c r="B161">
        <f>0.39486447/35317005.6480545</f>
        <v>1.1180576120607547E-8</v>
      </c>
      <c r="C161" t="s">
        <v>79</v>
      </c>
      <c r="D161" t="s">
        <v>61</v>
      </c>
      <c r="F161" t="s">
        <v>78</v>
      </c>
      <c r="H161" t="s">
        <v>176</v>
      </c>
    </row>
    <row r="162" spans="1:8" hidden="1" x14ac:dyDescent="0.2">
      <c r="A162" t="s">
        <v>190</v>
      </c>
      <c r="B162">
        <f>49703.22/35317005.6480545</f>
        <v>1.4073452459506001E-3</v>
      </c>
      <c r="C162" t="s">
        <v>80</v>
      </c>
      <c r="D162" t="s">
        <v>62</v>
      </c>
      <c r="F162" t="s">
        <v>78</v>
      </c>
      <c r="H162" t="s">
        <v>177</v>
      </c>
    </row>
    <row r="163" spans="1:8" hidden="1" x14ac:dyDescent="0.2">
      <c r="A163" t="s">
        <v>191</v>
      </c>
      <c r="B163">
        <f>0.00101063214/35317005.6480545</f>
        <v>2.8616020000995535E-11</v>
      </c>
      <c r="C163" t="s">
        <v>79</v>
      </c>
      <c r="D163" t="s">
        <v>61</v>
      </c>
      <c r="F163" t="s">
        <v>78</v>
      </c>
      <c r="H163" t="s">
        <v>178</v>
      </c>
    </row>
    <row r="164" spans="1:8" hidden="1" x14ac:dyDescent="0.2">
      <c r="A164" t="s">
        <v>433</v>
      </c>
      <c r="B164">
        <f>30.6056124/35317005.6480545</f>
        <v>8.665970355752955E-7</v>
      </c>
      <c r="C164" t="s">
        <v>79</v>
      </c>
      <c r="E164" t="s">
        <v>53</v>
      </c>
      <c r="F164" t="s">
        <v>77</v>
      </c>
      <c r="G164" t="s">
        <v>434</v>
      </c>
    </row>
    <row r="165" spans="1:8" hidden="1" x14ac:dyDescent="0.2">
      <c r="A165" t="s">
        <v>179</v>
      </c>
      <c r="B165">
        <f>0.00000004838832/35317005.6480545</f>
        <v>1.3701138902376213E-15</v>
      </c>
      <c r="C165" t="s">
        <v>7</v>
      </c>
      <c r="E165" t="s">
        <v>4</v>
      </c>
      <c r="F165" t="s">
        <v>77</v>
      </c>
      <c r="G165" t="s">
        <v>198</v>
      </c>
    </row>
    <row r="166" spans="1:8" hidden="1" x14ac:dyDescent="0.2">
      <c r="A166" t="s">
        <v>51</v>
      </c>
      <c r="B166" s="4">
        <f>18726.27984/35317005.6480545/3.6</f>
        <v>1.4728724320054427E-4</v>
      </c>
      <c r="C166" t="s">
        <v>81</v>
      </c>
      <c r="E166" t="s">
        <v>119</v>
      </c>
      <c r="F166" t="s">
        <v>77</v>
      </c>
      <c r="G166" t="s">
        <v>52</v>
      </c>
      <c r="H166" t="s">
        <v>112</v>
      </c>
    </row>
    <row r="167" spans="1:8" hidden="1" x14ac:dyDescent="0.2">
      <c r="A167" t="s">
        <v>180</v>
      </c>
      <c r="B167">
        <f>204.440652/35317005.6480545</f>
        <v>5.7887311862539502E-6</v>
      </c>
      <c r="C167" t="s">
        <v>79</v>
      </c>
      <c r="E167" t="s">
        <v>53</v>
      </c>
      <c r="F167" t="s">
        <v>77</v>
      </c>
      <c r="G167" t="s">
        <v>199</v>
      </c>
    </row>
    <row r="168" spans="1:8" hidden="1" x14ac:dyDescent="0.2">
      <c r="A168" t="s">
        <v>147</v>
      </c>
      <c r="B168">
        <f>8.467956/35317005.6480545</f>
        <v>2.3976993079158373E-7</v>
      </c>
      <c r="C168" t="s">
        <v>80</v>
      </c>
      <c r="E168" t="s">
        <v>53</v>
      </c>
      <c r="F168" t="s">
        <v>77</v>
      </c>
      <c r="G168" t="s">
        <v>56</v>
      </c>
    </row>
    <row r="169" spans="1:8" hidden="1" x14ac:dyDescent="0.2">
      <c r="A169" t="s">
        <v>94</v>
      </c>
      <c r="B169">
        <f>141.535836/35317005.6480545</f>
        <v>4.0075831289450425E-6</v>
      </c>
      <c r="C169" t="s">
        <v>96</v>
      </c>
      <c r="E169" t="s">
        <v>53</v>
      </c>
      <c r="F169" t="s">
        <v>77</v>
      </c>
      <c r="G169" t="s">
        <v>156</v>
      </c>
    </row>
    <row r="170" spans="1:8" hidden="1" x14ac:dyDescent="0.2">
      <c r="A170" t="s">
        <v>93</v>
      </c>
      <c r="B170">
        <f>23.589306/35317005.6480545</f>
        <v>6.6793052149084041E-7</v>
      </c>
      <c r="C170" t="s">
        <v>96</v>
      </c>
      <c r="E170" t="s">
        <v>4</v>
      </c>
      <c r="F170" t="s">
        <v>77</v>
      </c>
      <c r="G170" t="s">
        <v>157</v>
      </c>
    </row>
    <row r="171" spans="1:8" hidden="1" x14ac:dyDescent="0.2">
      <c r="A171" t="s">
        <v>194</v>
      </c>
      <c r="B171">
        <f>-1.4516496/35317005.6480545</f>
        <v>-4.1103416707128642E-8</v>
      </c>
      <c r="C171" t="s">
        <v>133</v>
      </c>
      <c r="E171" t="s">
        <v>57</v>
      </c>
      <c r="F171" t="s">
        <v>77</v>
      </c>
      <c r="G171" t="s">
        <v>195</v>
      </c>
    </row>
    <row r="172" spans="1:8" hidden="1" x14ac:dyDescent="0.2">
      <c r="A172" t="s">
        <v>58</v>
      </c>
      <c r="B172">
        <f>2.9032992*1000/35317005.6480545</f>
        <v>8.2206833414257289E-5</v>
      </c>
      <c r="C172" t="s">
        <v>79</v>
      </c>
      <c r="E172" t="s">
        <v>119</v>
      </c>
      <c r="F172" t="s">
        <v>77</v>
      </c>
      <c r="G172" t="s">
        <v>59</v>
      </c>
      <c r="H172" t="s">
        <v>181</v>
      </c>
    </row>
    <row r="173" spans="1:8" hidden="1" x14ac:dyDescent="0.2">
      <c r="A173" t="s">
        <v>58</v>
      </c>
      <c r="B173">
        <f>1.4516496*1000/35317005.6480545</f>
        <v>4.1103416707128645E-5</v>
      </c>
      <c r="C173" t="s">
        <v>79</v>
      </c>
      <c r="E173" t="s">
        <v>119</v>
      </c>
      <c r="F173" t="s">
        <v>77</v>
      </c>
      <c r="G173" t="s">
        <v>59</v>
      </c>
      <c r="H173" t="s">
        <v>181</v>
      </c>
    </row>
    <row r="174" spans="1:8" hidden="1" x14ac:dyDescent="0.2">
      <c r="A174" t="s">
        <v>192</v>
      </c>
      <c r="B174">
        <f>0.0612112248/35317005.6480545</f>
        <v>1.7331940711505909E-9</v>
      </c>
      <c r="C174" t="s">
        <v>79</v>
      </c>
      <c r="D174" t="s">
        <v>62</v>
      </c>
      <c r="F174" t="s">
        <v>78</v>
      </c>
      <c r="H174" t="s">
        <v>182</v>
      </c>
    </row>
    <row r="175" spans="1:8" hidden="1" x14ac:dyDescent="0.2">
      <c r="A175" t="s">
        <v>193</v>
      </c>
      <c r="B175">
        <f>0.410091012/35317005.6480545</f>
        <v>1.161171521976384E-8</v>
      </c>
      <c r="C175" t="s">
        <v>79</v>
      </c>
      <c r="D175" t="s">
        <v>62</v>
      </c>
      <c r="F175" t="s">
        <v>78</v>
      </c>
      <c r="H175" t="s">
        <v>183</v>
      </c>
    </row>
    <row r="176" spans="1:8" hidden="1" x14ac:dyDescent="0.2">
      <c r="A176" t="s">
        <v>190</v>
      </c>
      <c r="B176">
        <f>18750.474/35317005.6480545</f>
        <v>5.3091913246707824E-4</v>
      </c>
      <c r="C176" t="s">
        <v>80</v>
      </c>
      <c r="D176" t="s">
        <v>62</v>
      </c>
      <c r="F176" t="s">
        <v>78</v>
      </c>
      <c r="H176" t="s">
        <v>177</v>
      </c>
    </row>
    <row r="177" spans="1:8" hidden="1" x14ac:dyDescent="0.2">
      <c r="A177" t="s">
        <v>196</v>
      </c>
      <c r="B177">
        <f>536479.2*0.00121/35317005.6480545</f>
        <v>1.8380375688383394E-5</v>
      </c>
      <c r="C177" t="s">
        <v>79</v>
      </c>
      <c r="E177" t="s">
        <v>4</v>
      </c>
      <c r="F177" t="s">
        <v>77</v>
      </c>
      <c r="G177" t="s">
        <v>200</v>
      </c>
      <c r="H177" t="s">
        <v>202</v>
      </c>
    </row>
    <row r="178" spans="1:8" hidden="1" x14ac:dyDescent="0.2">
      <c r="A178" t="s">
        <v>444</v>
      </c>
      <c r="B178">
        <f>312.42024*0.08988/35317005.6480545</f>
        <v>7.9509377015225097E-7</v>
      </c>
      <c r="C178" t="s">
        <v>79</v>
      </c>
      <c r="E178" t="s">
        <v>53</v>
      </c>
      <c r="F178" t="s">
        <v>77</v>
      </c>
      <c r="G178" t="s">
        <v>445</v>
      </c>
      <c r="H178" s="6" t="s">
        <v>204</v>
      </c>
    </row>
    <row r="179" spans="1:8" hidden="1" x14ac:dyDescent="0.2">
      <c r="A179" t="s">
        <v>197</v>
      </c>
      <c r="B179">
        <f>3.15576*1.39/35317005.6480545</f>
        <v>1.2420380265849738E-7</v>
      </c>
      <c r="C179" t="s">
        <v>79</v>
      </c>
      <c r="E179" t="s">
        <v>4</v>
      </c>
      <c r="F179" t="s">
        <v>77</v>
      </c>
      <c r="G179" t="s">
        <v>201</v>
      </c>
      <c r="H179" t="s">
        <v>205</v>
      </c>
    </row>
    <row r="180" spans="1:8" hidden="1" x14ac:dyDescent="0.2">
      <c r="A180" t="s">
        <v>444</v>
      </c>
      <c r="B180">
        <f>5259600*0.07078/35317005.6480545</f>
        <v>1.0540941429458568E-2</v>
      </c>
      <c r="C180" t="s">
        <v>79</v>
      </c>
      <c r="E180" t="s">
        <v>53</v>
      </c>
      <c r="F180" t="s">
        <v>77</v>
      </c>
      <c r="G180" t="s">
        <v>445</v>
      </c>
      <c r="H180" t="s">
        <v>203</v>
      </c>
    </row>
    <row r="181" spans="1:8" hidden="1" x14ac:dyDescent="0.2">
      <c r="A181" t="s">
        <v>51</v>
      </c>
      <c r="B181" s="4">
        <f>3408220.8/35317005.6480545/3.6</f>
        <v>2.6806576113344763E-2</v>
      </c>
      <c r="C181" t="s">
        <v>81</v>
      </c>
      <c r="E181" t="s">
        <v>119</v>
      </c>
      <c r="F181" t="s">
        <v>77</v>
      </c>
      <c r="G181" t="s">
        <v>52</v>
      </c>
    </row>
    <row r="182" spans="1:8" hidden="1" x14ac:dyDescent="0.2">
      <c r="A182" t="s">
        <v>206</v>
      </c>
      <c r="B182">
        <f>376938/35317005.6480545</f>
        <v>1.0672988637720602E-2</v>
      </c>
      <c r="C182" t="s">
        <v>133</v>
      </c>
      <c r="E182" t="s">
        <v>92</v>
      </c>
      <c r="F182" t="s">
        <v>77</v>
      </c>
      <c r="G182" t="s">
        <v>208</v>
      </c>
      <c r="H182" t="s">
        <v>207</v>
      </c>
    </row>
    <row r="183" spans="1:8" hidden="1" x14ac:dyDescent="0.2">
      <c r="A183" t="s">
        <v>51</v>
      </c>
      <c r="B183" s="4">
        <f>3408220.8/35317005.6480545/3.6</f>
        <v>2.6806576113344763E-2</v>
      </c>
      <c r="C183" t="s">
        <v>81</v>
      </c>
      <c r="E183" t="s">
        <v>119</v>
      </c>
      <c r="F183" t="s">
        <v>77</v>
      </c>
      <c r="G183" t="s">
        <v>52</v>
      </c>
    </row>
    <row r="184" spans="1:8" hidden="1" x14ac:dyDescent="0.2">
      <c r="A184" t="s">
        <v>114</v>
      </c>
      <c r="B184">
        <f>568036.8/35317005.6480545</f>
        <v>1.608394566800686E-2</v>
      </c>
      <c r="C184" t="s">
        <v>133</v>
      </c>
      <c r="E184" t="s">
        <v>92</v>
      </c>
      <c r="F184" t="s">
        <v>77</v>
      </c>
      <c r="G184" t="s">
        <v>121</v>
      </c>
      <c r="H184" t="s">
        <v>209</v>
      </c>
    </row>
    <row r="185" spans="1:8" hidden="1" x14ac:dyDescent="0.2">
      <c r="A185" t="s">
        <v>95</v>
      </c>
      <c r="B185">
        <f>-475/35317005.6480545</f>
        <v>-1.3449611349657731E-5</v>
      </c>
      <c r="C185" t="s">
        <v>79</v>
      </c>
      <c r="E185" t="s">
        <v>92</v>
      </c>
      <c r="F185" t="s">
        <v>77</v>
      </c>
      <c r="G185" t="s">
        <v>127</v>
      </c>
    </row>
    <row r="186" spans="1:8" hidden="1" x14ac:dyDescent="0.2">
      <c r="A186" t="s">
        <v>130</v>
      </c>
      <c r="B186">
        <f>-25/35317005.6480545</f>
        <v>-7.0787428156093319E-7</v>
      </c>
      <c r="C186" t="s">
        <v>79</v>
      </c>
      <c r="E186" t="s">
        <v>119</v>
      </c>
      <c r="F186" t="s">
        <v>77</v>
      </c>
      <c r="G186" t="s">
        <v>131</v>
      </c>
    </row>
    <row r="187" spans="1:8" hidden="1" x14ac:dyDescent="0.2">
      <c r="A187" t="s">
        <v>206</v>
      </c>
      <c r="B187">
        <f>-376938/35317005.6480545</f>
        <v>-1.0672988637720602E-2</v>
      </c>
      <c r="C187" t="s">
        <v>133</v>
      </c>
      <c r="E187" t="s">
        <v>92</v>
      </c>
      <c r="F187" t="s">
        <v>77</v>
      </c>
      <c r="G187" t="s">
        <v>213</v>
      </c>
      <c r="H187" t="s">
        <v>207</v>
      </c>
    </row>
    <row r="188" spans="1:8" hidden="1" x14ac:dyDescent="0.2">
      <c r="A188" t="s">
        <v>389</v>
      </c>
      <c r="B188">
        <f>-(20161800+157788)/35317005.6480545</f>
        <v>-0.57534855028456633</v>
      </c>
      <c r="C188" t="s">
        <v>133</v>
      </c>
      <c r="E188" t="s">
        <v>92</v>
      </c>
      <c r="F188" t="s">
        <v>77</v>
      </c>
      <c r="G188" t="s">
        <v>390</v>
      </c>
      <c r="H188" t="s">
        <v>211</v>
      </c>
    </row>
    <row r="189" spans="1:8" ht="16" hidden="1" x14ac:dyDescent="0.2">
      <c r="A189" s="5" t="s">
        <v>375</v>
      </c>
      <c r="B189">
        <f>-(157788)/35317005.6480545</f>
        <v>-4.4677626855574607E-3</v>
      </c>
      <c r="C189" t="s">
        <v>133</v>
      </c>
      <c r="E189" t="s">
        <v>92</v>
      </c>
      <c r="F189" t="s">
        <v>77</v>
      </c>
      <c r="G189" t="s">
        <v>377</v>
      </c>
    </row>
    <row r="190" spans="1:8" hidden="1" x14ac:dyDescent="0.2"/>
    <row r="191" spans="1:8" hidden="1" x14ac:dyDescent="0.2"/>
    <row r="192" spans="1:8" ht="16" hidden="1" x14ac:dyDescent="0.2">
      <c r="A192" s="2" t="s">
        <v>1</v>
      </c>
      <c r="B192" s="2" t="s">
        <v>215</v>
      </c>
    </row>
    <row r="193" spans="1:8" ht="16" hidden="1" x14ac:dyDescent="0.2">
      <c r="A193" s="5" t="s">
        <v>2</v>
      </c>
      <c r="B193" s="5" t="s">
        <v>214</v>
      </c>
    </row>
    <row r="194" spans="1:8" hidden="1" x14ac:dyDescent="0.2">
      <c r="A194" t="s">
        <v>3</v>
      </c>
      <c r="B194" t="s">
        <v>92</v>
      </c>
    </row>
    <row r="195" spans="1:8" hidden="1" x14ac:dyDescent="0.2">
      <c r="A195" t="s">
        <v>5</v>
      </c>
      <c r="B195">
        <v>1</v>
      </c>
    </row>
    <row r="196" spans="1:8" hidden="1" x14ac:dyDescent="0.2">
      <c r="A196" t="s">
        <v>6</v>
      </c>
      <c r="B196" t="s">
        <v>216</v>
      </c>
    </row>
    <row r="197" spans="1:8" hidden="1" x14ac:dyDescent="0.2">
      <c r="A197" t="s">
        <v>7</v>
      </c>
      <c r="B197" t="s">
        <v>7</v>
      </c>
    </row>
    <row r="198" spans="1:8" hidden="1" x14ac:dyDescent="0.2">
      <c r="A198" t="s">
        <v>8</v>
      </c>
      <c r="B198" t="s">
        <v>16</v>
      </c>
    </row>
    <row r="199" spans="1:8" hidden="1" x14ac:dyDescent="0.2">
      <c r="A199" s="1" t="s">
        <v>9</v>
      </c>
      <c r="B199" s="1"/>
      <c r="C199" s="1"/>
      <c r="D199" s="1"/>
      <c r="E199" s="1"/>
      <c r="F199" s="1"/>
      <c r="G199" s="1"/>
    </row>
    <row r="200" spans="1:8" hidden="1" x14ac:dyDescent="0.2">
      <c r="A200" s="1" t="s">
        <v>10</v>
      </c>
      <c r="B200" s="1" t="s">
        <v>11</v>
      </c>
      <c r="C200" s="1" t="s">
        <v>7</v>
      </c>
      <c r="D200" s="1" t="s">
        <v>12</v>
      </c>
      <c r="E200" s="1" t="s">
        <v>3</v>
      </c>
      <c r="F200" s="1" t="s">
        <v>13</v>
      </c>
      <c r="G200" s="1" t="s">
        <v>6</v>
      </c>
      <c r="H200" s="1" t="s">
        <v>2</v>
      </c>
    </row>
    <row r="201" spans="1:8" hidden="1" x14ac:dyDescent="0.2">
      <c r="A201" t="str">
        <f>B192</f>
        <v>sputter process 1, perovskite cell</v>
      </c>
      <c r="B201" s="3">
        <f>35266918.197406/35266918.197406</f>
        <v>1</v>
      </c>
      <c r="C201" t="s">
        <v>7</v>
      </c>
      <c r="E201" t="str">
        <f>B194</f>
        <v>DE</v>
      </c>
      <c r="F201" t="s">
        <v>14</v>
      </c>
      <c r="G201" t="str">
        <f>B196</f>
        <v>perovskite cell, sputtered 1</v>
      </c>
    </row>
    <row r="202" spans="1:8" hidden="1" x14ac:dyDescent="0.2">
      <c r="A202" t="s">
        <v>141</v>
      </c>
      <c r="B202">
        <f>35317005.6480545/35266918.197406</f>
        <v>1.0014202389437075</v>
      </c>
      <c r="C202" t="s">
        <v>7</v>
      </c>
      <c r="E202" t="s">
        <v>92</v>
      </c>
      <c r="F202" t="s">
        <v>77</v>
      </c>
      <c r="G202" t="s">
        <v>142</v>
      </c>
    </row>
    <row r="203" spans="1:8" hidden="1" x14ac:dyDescent="0.2">
      <c r="A203" t="s">
        <v>217</v>
      </c>
      <c r="B203">
        <f>85.8823529411765/35266918.197406</f>
        <v>2.4352100305575732E-6</v>
      </c>
      <c r="C203" t="s">
        <v>79</v>
      </c>
      <c r="E203" t="s">
        <v>53</v>
      </c>
      <c r="F203" t="s">
        <v>77</v>
      </c>
      <c r="G203" t="s">
        <v>218</v>
      </c>
    </row>
    <row r="204" spans="1:8" hidden="1" x14ac:dyDescent="0.2">
      <c r="A204" t="s">
        <v>115</v>
      </c>
      <c r="B204">
        <f>2629.8*0.0014/35266918.197406</f>
        <v>1.0439585277601044E-7</v>
      </c>
      <c r="C204" t="s">
        <v>79</v>
      </c>
      <c r="E204" t="s">
        <v>53</v>
      </c>
      <c r="F204" t="s">
        <v>77</v>
      </c>
      <c r="G204" t="s">
        <v>116</v>
      </c>
      <c r="H204" t="s">
        <v>282</v>
      </c>
    </row>
    <row r="205" spans="1:8" hidden="1" x14ac:dyDescent="0.2">
      <c r="A205" t="s">
        <v>145</v>
      </c>
      <c r="B205">
        <f>105192*0.0018/35266918.197406</f>
        <v>5.3689295713376792E-6</v>
      </c>
      <c r="C205" t="s">
        <v>79</v>
      </c>
      <c r="E205" t="s">
        <v>53</v>
      </c>
      <c r="F205" t="s">
        <v>77</v>
      </c>
      <c r="G205" t="s">
        <v>146</v>
      </c>
      <c r="H205" t="s">
        <v>280</v>
      </c>
    </row>
    <row r="206" spans="1:8" hidden="1" x14ac:dyDescent="0.2">
      <c r="A206" t="s">
        <v>117</v>
      </c>
      <c r="B206">
        <f>31557600*0.0013/35266918.197406</f>
        <v>1.1632680737898304E-3</v>
      </c>
      <c r="C206" t="s">
        <v>79</v>
      </c>
      <c r="E206" t="s">
        <v>53</v>
      </c>
      <c r="F206" t="s">
        <v>77</v>
      </c>
      <c r="G206" t="s">
        <v>118</v>
      </c>
      <c r="H206" t="s">
        <v>281</v>
      </c>
    </row>
    <row r="207" spans="1:8" hidden="1" x14ac:dyDescent="0.2">
      <c r="A207" t="s">
        <v>51</v>
      </c>
      <c r="B207" s="4">
        <f>(757227.206736+631152)/35266918.197406/3.6</f>
        <v>1.093548601557044E-2</v>
      </c>
      <c r="C207" t="s">
        <v>81</v>
      </c>
      <c r="E207" t="s">
        <v>119</v>
      </c>
      <c r="F207" t="s">
        <v>77</v>
      </c>
      <c r="G207" t="s">
        <v>52</v>
      </c>
    </row>
    <row r="208" spans="1:8" hidden="1" x14ac:dyDescent="0.2">
      <c r="A208" t="s">
        <v>206</v>
      </c>
      <c r="B208">
        <f>61362/35266918.197406</f>
        <v>1.7399308796001737E-3</v>
      </c>
      <c r="C208" t="s">
        <v>133</v>
      </c>
      <c r="E208" t="s">
        <v>92</v>
      </c>
      <c r="F208" t="s">
        <v>77</v>
      </c>
      <c r="G208" t="s">
        <v>208</v>
      </c>
      <c r="H208" t="s">
        <v>207</v>
      </c>
    </row>
    <row r="209" spans="1:8" hidden="1" x14ac:dyDescent="0.2">
      <c r="A209" t="s">
        <v>114</v>
      </c>
      <c r="B209">
        <f>31557.6/35266918.197406</f>
        <v>8.9482159522294652E-4</v>
      </c>
      <c r="C209" t="s">
        <v>133</v>
      </c>
      <c r="E209" t="s">
        <v>92</v>
      </c>
      <c r="F209" t="s">
        <v>77</v>
      </c>
      <c r="G209" t="s">
        <v>121</v>
      </c>
    </row>
    <row r="210" spans="1:8" hidden="1" x14ac:dyDescent="0.2">
      <c r="A210" t="s">
        <v>95</v>
      </c>
      <c r="B210">
        <f>-475/35266918.197406</f>
        <v>-1.3468713011474245E-5</v>
      </c>
      <c r="C210" t="s">
        <v>79</v>
      </c>
      <c r="E210" t="s">
        <v>92</v>
      </c>
      <c r="F210" t="s">
        <v>77</v>
      </c>
      <c r="G210" t="s">
        <v>127</v>
      </c>
    </row>
    <row r="211" spans="1:8" hidden="1" x14ac:dyDescent="0.2">
      <c r="A211" t="s">
        <v>130</v>
      </c>
      <c r="B211">
        <f>-25/35266918.197406</f>
        <v>-7.0887963218285495E-7</v>
      </c>
      <c r="C211" t="s">
        <v>79</v>
      </c>
      <c r="E211" t="s">
        <v>119</v>
      </c>
      <c r="F211" t="s">
        <v>77</v>
      </c>
      <c r="G211" t="s">
        <v>131</v>
      </c>
    </row>
    <row r="212" spans="1:8" hidden="1" x14ac:dyDescent="0.2">
      <c r="A212" t="s">
        <v>206</v>
      </c>
      <c r="B212">
        <f>-15340.5/35266918.197406</f>
        <v>-4.3498271990004343E-4</v>
      </c>
      <c r="C212" t="s">
        <v>133</v>
      </c>
      <c r="E212" t="s">
        <v>92</v>
      </c>
      <c r="F212" t="s">
        <v>77</v>
      </c>
      <c r="G212" t="s">
        <v>213</v>
      </c>
      <c r="H212" t="s">
        <v>207</v>
      </c>
    </row>
    <row r="213" spans="1:8" hidden="1" x14ac:dyDescent="0.2">
      <c r="A213" t="s">
        <v>389</v>
      </c>
      <c r="B213">
        <f>-1472688/35266918.197406</f>
        <v>-4.1758341110404169E-2</v>
      </c>
      <c r="C213" t="s">
        <v>133</v>
      </c>
      <c r="E213" t="s">
        <v>92</v>
      </c>
      <c r="F213" t="s">
        <v>77</v>
      </c>
      <c r="G213" t="s">
        <v>390</v>
      </c>
      <c r="H213" t="s">
        <v>211</v>
      </c>
    </row>
    <row r="214" spans="1:8" hidden="1" x14ac:dyDescent="0.2"/>
    <row r="215" spans="1:8" hidden="1" x14ac:dyDescent="0.2"/>
    <row r="216" spans="1:8" ht="16" hidden="1" x14ac:dyDescent="0.2">
      <c r="A216" s="2" t="s">
        <v>1</v>
      </c>
      <c r="B216" s="2" t="s">
        <v>219</v>
      </c>
    </row>
    <row r="217" spans="1:8" ht="16" hidden="1" x14ac:dyDescent="0.2">
      <c r="A217" s="5" t="s">
        <v>2</v>
      </c>
      <c r="B217" s="5" t="s">
        <v>220</v>
      </c>
    </row>
    <row r="218" spans="1:8" hidden="1" x14ac:dyDescent="0.2">
      <c r="A218" t="s">
        <v>3</v>
      </c>
      <c r="B218" t="s">
        <v>92</v>
      </c>
    </row>
    <row r="219" spans="1:8" hidden="1" x14ac:dyDescent="0.2">
      <c r="A219" t="s">
        <v>5</v>
      </c>
      <c r="B219">
        <v>1</v>
      </c>
    </row>
    <row r="220" spans="1:8" hidden="1" x14ac:dyDescent="0.2">
      <c r="A220" t="s">
        <v>6</v>
      </c>
      <c r="B220" t="s">
        <v>221</v>
      </c>
    </row>
    <row r="221" spans="1:8" hidden="1" x14ac:dyDescent="0.2">
      <c r="A221" t="s">
        <v>7</v>
      </c>
      <c r="B221" t="s">
        <v>7</v>
      </c>
    </row>
    <row r="222" spans="1:8" hidden="1" x14ac:dyDescent="0.2">
      <c r="A222" t="s">
        <v>8</v>
      </c>
      <c r="B222" t="s">
        <v>16</v>
      </c>
    </row>
    <row r="223" spans="1:8" hidden="1" x14ac:dyDescent="0.2">
      <c r="A223" s="1" t="s">
        <v>9</v>
      </c>
      <c r="B223" s="1"/>
      <c r="C223" s="1"/>
      <c r="D223" s="1"/>
      <c r="E223" s="1"/>
      <c r="F223" s="1"/>
      <c r="G223" s="1"/>
    </row>
    <row r="224" spans="1:8" hidden="1" x14ac:dyDescent="0.2">
      <c r="A224" s="1" t="s">
        <v>10</v>
      </c>
      <c r="B224" s="1" t="s">
        <v>11</v>
      </c>
      <c r="C224" s="1" t="s">
        <v>7</v>
      </c>
      <c r="D224" s="1" t="s">
        <v>12</v>
      </c>
      <c r="E224" s="1" t="s">
        <v>3</v>
      </c>
      <c r="F224" s="1" t="s">
        <v>13</v>
      </c>
      <c r="G224" s="1" t="s">
        <v>6</v>
      </c>
      <c r="H224" s="1" t="s">
        <v>2</v>
      </c>
    </row>
    <row r="225" spans="1:8" hidden="1" x14ac:dyDescent="0.2">
      <c r="A225" t="str">
        <f>B216</f>
        <v>sputter process 2, perovskite cell</v>
      </c>
      <c r="B225" s="3">
        <f>35216830.7467575/35216830.7467575</f>
        <v>1</v>
      </c>
      <c r="C225" t="s">
        <v>7</v>
      </c>
      <c r="E225" t="str">
        <f>B218</f>
        <v>DE</v>
      </c>
      <c r="F225" t="s">
        <v>14</v>
      </c>
      <c r="G225" t="str">
        <f>B220</f>
        <v>perovskite cell, sputtered 2</v>
      </c>
    </row>
    <row r="226" spans="1:8" hidden="1" x14ac:dyDescent="0.2">
      <c r="A226" t="s">
        <v>215</v>
      </c>
      <c r="B226">
        <f>35266918.197406/35216830.7467575</f>
        <v>1.0014222588911728</v>
      </c>
      <c r="C226" t="s">
        <v>7</v>
      </c>
      <c r="E226" t="s">
        <v>92</v>
      </c>
      <c r="F226" t="s">
        <v>77</v>
      </c>
      <c r="G226" t="s">
        <v>216</v>
      </c>
    </row>
    <row r="227" spans="1:8" hidden="1" x14ac:dyDescent="0.2">
      <c r="A227" t="s">
        <v>217</v>
      </c>
      <c r="B227">
        <f>858.823529411765/35266918.197406</f>
        <v>2.4352100305575732E-5</v>
      </c>
      <c r="C227" t="s">
        <v>79</v>
      </c>
      <c r="E227" t="s">
        <v>53</v>
      </c>
      <c r="F227" t="s">
        <v>77</v>
      </c>
      <c r="G227" t="s">
        <v>218</v>
      </c>
    </row>
    <row r="228" spans="1:8" hidden="1" x14ac:dyDescent="0.2">
      <c r="A228" t="s">
        <v>115</v>
      </c>
      <c r="B228">
        <f>2629.8*0.0014/35266918.197406</f>
        <v>1.0439585277601044E-7</v>
      </c>
      <c r="C228" t="s">
        <v>79</v>
      </c>
      <c r="E228" t="s">
        <v>53</v>
      </c>
      <c r="F228" t="s">
        <v>77</v>
      </c>
      <c r="G228" t="s">
        <v>116</v>
      </c>
      <c r="H228" t="s">
        <v>282</v>
      </c>
    </row>
    <row r="229" spans="1:8" hidden="1" x14ac:dyDescent="0.2">
      <c r="A229" t="s">
        <v>145</v>
      </c>
      <c r="B229">
        <f>105192*0.0018/35266918.197406</f>
        <v>5.3689295713376792E-6</v>
      </c>
      <c r="C229" t="s">
        <v>79</v>
      </c>
      <c r="E229" t="s">
        <v>53</v>
      </c>
      <c r="F229" t="s">
        <v>77</v>
      </c>
      <c r="G229" t="s">
        <v>146</v>
      </c>
      <c r="H229" t="s">
        <v>280</v>
      </c>
    </row>
    <row r="230" spans="1:8" hidden="1" x14ac:dyDescent="0.2">
      <c r="A230" t="s">
        <v>117</v>
      </c>
      <c r="B230">
        <f>31557600*0.0013/35266918.197406</f>
        <v>1.1632680737898304E-3</v>
      </c>
      <c r="C230" t="s">
        <v>79</v>
      </c>
      <c r="E230" t="s">
        <v>53</v>
      </c>
      <c r="F230" t="s">
        <v>77</v>
      </c>
      <c r="G230" t="s">
        <v>118</v>
      </c>
      <c r="H230" t="s">
        <v>281</v>
      </c>
    </row>
    <row r="231" spans="1:8" hidden="1" x14ac:dyDescent="0.2">
      <c r="A231" t="s">
        <v>51</v>
      </c>
      <c r="B231" s="4">
        <f>(757227.206736+631152)/35266918.197406/3.6</f>
        <v>1.093548601557044E-2</v>
      </c>
      <c r="C231" t="s">
        <v>81</v>
      </c>
      <c r="E231" t="s">
        <v>119</v>
      </c>
      <c r="F231" t="s">
        <v>77</v>
      </c>
      <c r="G231" t="s">
        <v>52</v>
      </c>
    </row>
    <row r="232" spans="1:8" hidden="1" x14ac:dyDescent="0.2">
      <c r="A232" t="s">
        <v>206</v>
      </c>
      <c r="B232">
        <f>61362/35266918.197406</f>
        <v>1.7399308796001737E-3</v>
      </c>
      <c r="C232" t="s">
        <v>133</v>
      </c>
      <c r="E232" t="s">
        <v>92</v>
      </c>
      <c r="F232" t="s">
        <v>77</v>
      </c>
      <c r="G232" t="s">
        <v>208</v>
      </c>
      <c r="H232" t="s">
        <v>207</v>
      </c>
    </row>
    <row r="233" spans="1:8" hidden="1" x14ac:dyDescent="0.2">
      <c r="A233" t="s">
        <v>114</v>
      </c>
      <c r="B233">
        <f>31557.6/35266918.197406</f>
        <v>8.9482159522294652E-4</v>
      </c>
      <c r="C233" t="s">
        <v>133</v>
      </c>
      <c r="E233" t="s">
        <v>92</v>
      </c>
      <c r="F233" t="s">
        <v>77</v>
      </c>
      <c r="G233" t="s">
        <v>121</v>
      </c>
    </row>
    <row r="234" spans="1:8" hidden="1" x14ac:dyDescent="0.2">
      <c r="A234" t="s">
        <v>95</v>
      </c>
      <c r="B234">
        <f>-475/35266918.197406</f>
        <v>-1.3468713011474245E-5</v>
      </c>
      <c r="C234" t="s">
        <v>79</v>
      </c>
      <c r="E234" t="s">
        <v>92</v>
      </c>
      <c r="F234" t="s">
        <v>77</v>
      </c>
      <c r="G234" t="s">
        <v>127</v>
      </c>
    </row>
    <row r="235" spans="1:8" hidden="1" x14ac:dyDescent="0.2">
      <c r="A235" t="s">
        <v>130</v>
      </c>
      <c r="B235">
        <f>-25/35266918.197406</f>
        <v>-7.0887963218285495E-7</v>
      </c>
      <c r="C235" t="s">
        <v>79</v>
      </c>
      <c r="E235" t="s">
        <v>119</v>
      </c>
      <c r="F235" t="s">
        <v>77</v>
      </c>
      <c r="G235" t="s">
        <v>131</v>
      </c>
    </row>
    <row r="236" spans="1:8" hidden="1" x14ac:dyDescent="0.2">
      <c r="A236" t="s">
        <v>206</v>
      </c>
      <c r="B236">
        <f>-15340.5/35266918.197406</f>
        <v>-4.3498271990004343E-4</v>
      </c>
      <c r="C236" t="s">
        <v>133</v>
      </c>
      <c r="E236" t="s">
        <v>92</v>
      </c>
      <c r="F236" t="s">
        <v>77</v>
      </c>
      <c r="G236" t="s">
        <v>213</v>
      </c>
      <c r="H236" t="s">
        <v>207</v>
      </c>
    </row>
    <row r="237" spans="1:8" hidden="1" x14ac:dyDescent="0.2">
      <c r="A237" t="s">
        <v>389</v>
      </c>
      <c r="B237">
        <f>-1472688/35266918.197406</f>
        <v>-4.1758341110404169E-2</v>
      </c>
      <c r="C237" t="s">
        <v>133</v>
      </c>
      <c r="E237" t="s">
        <v>92</v>
      </c>
      <c r="F237" t="s">
        <v>77</v>
      </c>
      <c r="G237" t="s">
        <v>390</v>
      </c>
      <c r="H237" t="s">
        <v>211</v>
      </c>
    </row>
    <row r="238" spans="1:8" hidden="1" x14ac:dyDescent="0.2"/>
    <row r="239" spans="1:8" hidden="1" x14ac:dyDescent="0.2"/>
    <row r="240" spans="1:8" ht="16" hidden="1" x14ac:dyDescent="0.2">
      <c r="A240" s="2" t="s">
        <v>1</v>
      </c>
      <c r="B240" s="2" t="s">
        <v>223</v>
      </c>
    </row>
    <row r="241" spans="1:8" ht="16" hidden="1" x14ac:dyDescent="0.2">
      <c r="A241" s="5" t="s">
        <v>2</v>
      </c>
      <c r="B241" s="5" t="s">
        <v>222</v>
      </c>
    </row>
    <row r="242" spans="1:8" hidden="1" x14ac:dyDescent="0.2">
      <c r="A242" t="s">
        <v>3</v>
      </c>
      <c r="B242" t="s">
        <v>92</v>
      </c>
    </row>
    <row r="243" spans="1:8" hidden="1" x14ac:dyDescent="0.2">
      <c r="A243" t="s">
        <v>5</v>
      </c>
      <c r="B243">
        <v>1</v>
      </c>
    </row>
    <row r="244" spans="1:8" hidden="1" x14ac:dyDescent="0.2">
      <c r="A244" t="s">
        <v>6</v>
      </c>
      <c r="B244" t="s">
        <v>224</v>
      </c>
    </row>
    <row r="245" spans="1:8" hidden="1" x14ac:dyDescent="0.2">
      <c r="A245" t="s">
        <v>7</v>
      </c>
      <c r="B245" t="s">
        <v>7</v>
      </c>
    </row>
    <row r="246" spans="1:8" hidden="1" x14ac:dyDescent="0.2">
      <c r="A246" t="s">
        <v>8</v>
      </c>
      <c r="B246" t="s">
        <v>16</v>
      </c>
    </row>
    <row r="247" spans="1:8" hidden="1" x14ac:dyDescent="0.2">
      <c r="A247" s="1" t="s">
        <v>9</v>
      </c>
      <c r="B247" s="1"/>
      <c r="C247" s="1"/>
      <c r="D247" s="1"/>
      <c r="E247" s="1"/>
      <c r="F247" s="1"/>
      <c r="G247" s="1"/>
    </row>
    <row r="248" spans="1:8" hidden="1" x14ac:dyDescent="0.2">
      <c r="A248" s="1" t="s">
        <v>10</v>
      </c>
      <c r="B248" s="1" t="s">
        <v>11</v>
      </c>
      <c r="C248" s="1" t="s">
        <v>7</v>
      </c>
      <c r="D248" s="1" t="s">
        <v>12</v>
      </c>
      <c r="E248" s="1" t="s">
        <v>3</v>
      </c>
      <c r="F248" s="1" t="s">
        <v>13</v>
      </c>
      <c r="G248" s="1" t="s">
        <v>6</v>
      </c>
      <c r="H248" s="1" t="s">
        <v>2</v>
      </c>
    </row>
    <row r="249" spans="1:8" hidden="1" x14ac:dyDescent="0.2">
      <c r="A249" t="str">
        <f>B240</f>
        <v>spiro-OMeTAD deposition of perovskite cell</v>
      </c>
      <c r="B249" s="3">
        <f>35166743.2961089/35166743.2961089</f>
        <v>1</v>
      </c>
      <c r="C249" t="s">
        <v>7</v>
      </c>
      <c r="E249" t="str">
        <f>B242</f>
        <v>DE</v>
      </c>
      <c r="F249" t="s">
        <v>14</v>
      </c>
      <c r="G249" t="str">
        <f>B244</f>
        <v>spiro-OMeTAD deposited perovskite cell</v>
      </c>
    </row>
    <row r="250" spans="1:8" hidden="1" x14ac:dyDescent="0.2">
      <c r="A250" t="s">
        <v>219</v>
      </c>
      <c r="B250" s="3">
        <f>35216830.7467575/35166743.2961089</f>
        <v>1.0014242845926009</v>
      </c>
      <c r="C250" t="s">
        <v>7</v>
      </c>
      <c r="E250" t="s">
        <v>92</v>
      </c>
      <c r="F250" t="s">
        <v>77</v>
      </c>
      <c r="G250" t="s">
        <v>221</v>
      </c>
    </row>
    <row r="251" spans="1:8" hidden="1" x14ac:dyDescent="0.2">
      <c r="A251" t="s">
        <v>17</v>
      </c>
      <c r="B251">
        <f>54.6176044678197/35166743.2961089</f>
        <v>1.5531038517821177E-6</v>
      </c>
      <c r="C251" t="s">
        <v>79</v>
      </c>
      <c r="E251" t="s">
        <v>4</v>
      </c>
      <c r="F251" t="s">
        <v>77</v>
      </c>
      <c r="G251" t="s">
        <v>225</v>
      </c>
    </row>
    <row r="252" spans="1:8" hidden="1" x14ac:dyDescent="0.2">
      <c r="A252" t="s">
        <v>226</v>
      </c>
      <c r="B252">
        <f>9.0423488262031/35166743.2961089</f>
        <v>2.5712784234995138E-7</v>
      </c>
      <c r="C252" t="s">
        <v>79</v>
      </c>
      <c r="E252" t="s">
        <v>53</v>
      </c>
      <c r="F252" t="s">
        <v>77</v>
      </c>
      <c r="G252" t="s">
        <v>410</v>
      </c>
    </row>
    <row r="253" spans="1:8" hidden="1" x14ac:dyDescent="0.2">
      <c r="A253" t="s">
        <v>115</v>
      </c>
      <c r="B253">
        <f>0.926954352032881/35166743.2961089</f>
        <v>2.6358834090145784E-8</v>
      </c>
      <c r="C253" t="s">
        <v>79</v>
      </c>
      <c r="E253" t="s">
        <v>53</v>
      </c>
      <c r="F253" t="s">
        <v>77</v>
      </c>
      <c r="G253" t="s">
        <v>116</v>
      </c>
    </row>
    <row r="254" spans="1:8" hidden="1" x14ac:dyDescent="0.2">
      <c r="A254" t="s">
        <v>227</v>
      </c>
      <c r="B254">
        <f>-1.04509559297825/1000/35166743.2961089</f>
        <v>-2.9718293336929119E-11</v>
      </c>
      <c r="C254" t="s">
        <v>133</v>
      </c>
      <c r="E254" t="s">
        <v>57</v>
      </c>
      <c r="F254" t="s">
        <v>77</v>
      </c>
      <c r="G254" t="s">
        <v>411</v>
      </c>
    </row>
    <row r="255" spans="1:8" hidden="1" x14ac:dyDescent="0.2">
      <c r="A255" t="s">
        <v>228</v>
      </c>
      <c r="B255">
        <f>20.3566445936633/35166743.2961089</f>
        <v>5.7886067021496715E-7</v>
      </c>
      <c r="C255" t="s">
        <v>79</v>
      </c>
      <c r="E255" t="s">
        <v>4</v>
      </c>
      <c r="F255" t="s">
        <v>77</v>
      </c>
      <c r="G255" t="s">
        <v>412</v>
      </c>
    </row>
    <row r="256" spans="1:8" hidden="1" x14ac:dyDescent="0.2">
      <c r="A256" t="s">
        <v>229</v>
      </c>
      <c r="B256">
        <f>8.60613501348175/35166743.2961089</f>
        <v>2.4472368513105941E-7</v>
      </c>
      <c r="C256" t="s">
        <v>79</v>
      </c>
      <c r="E256" t="s">
        <v>53</v>
      </c>
      <c r="F256" t="s">
        <v>77</v>
      </c>
      <c r="G256" t="s">
        <v>413</v>
      </c>
    </row>
    <row r="257" spans="1:7" hidden="1" x14ac:dyDescent="0.2">
      <c r="A257" t="s">
        <v>230</v>
      </c>
      <c r="B257">
        <f>857.887165018666/35166743.2961089</f>
        <v>2.4394842530487852E-5</v>
      </c>
      <c r="C257" t="s">
        <v>79</v>
      </c>
      <c r="E257" t="s">
        <v>53</v>
      </c>
      <c r="F257" t="s">
        <v>77</v>
      </c>
      <c r="G257" t="s">
        <v>414</v>
      </c>
    </row>
    <row r="258" spans="1:7" hidden="1" x14ac:dyDescent="0.2">
      <c r="A258" t="s">
        <v>231</v>
      </c>
      <c r="B258">
        <f>31.6255014222983/35166743.2961089</f>
        <v>8.993013983696798E-7</v>
      </c>
      <c r="C258" t="s">
        <v>79</v>
      </c>
      <c r="E258" t="s">
        <v>53</v>
      </c>
      <c r="F258" t="s">
        <v>77</v>
      </c>
      <c r="G258" t="s">
        <v>404</v>
      </c>
    </row>
    <row r="259" spans="1:7" hidden="1" x14ac:dyDescent="0.2">
      <c r="A259" t="s">
        <v>17</v>
      </c>
      <c r="B259">
        <f>474.382521334474/35166743.2961089</f>
        <v>1.3489520975545184E-5</v>
      </c>
      <c r="C259" t="s">
        <v>79</v>
      </c>
      <c r="E259" t="s">
        <v>4</v>
      </c>
      <c r="F259" t="s">
        <v>77</v>
      </c>
      <c r="G259" t="s">
        <v>225</v>
      </c>
    </row>
    <row r="260" spans="1:7" hidden="1" x14ac:dyDescent="0.2">
      <c r="A260" t="s">
        <v>433</v>
      </c>
      <c r="B260">
        <f>575.256965526288/35166743.2961089</f>
        <v>1.6357982332414003E-5</v>
      </c>
      <c r="C260" t="s">
        <v>79</v>
      </c>
      <c r="E260" t="s">
        <v>53</v>
      </c>
      <c r="F260" t="s">
        <v>77</v>
      </c>
      <c r="G260" t="s">
        <v>434</v>
      </c>
    </row>
    <row r="261" spans="1:7" hidden="1" x14ac:dyDescent="0.2">
      <c r="A261" t="s">
        <v>228</v>
      </c>
      <c r="B261">
        <f>239.008818220243/35166743.2961089</f>
        <v>6.7964444761846522E-6</v>
      </c>
      <c r="C261" t="s">
        <v>79</v>
      </c>
      <c r="E261" t="s">
        <v>4</v>
      </c>
      <c r="F261" t="s">
        <v>77</v>
      </c>
      <c r="G261" t="s">
        <v>412</v>
      </c>
    </row>
    <row r="262" spans="1:7" hidden="1" x14ac:dyDescent="0.2">
      <c r="A262" t="s">
        <v>232</v>
      </c>
      <c r="B262">
        <f>146.313383016955/35166743.2961089</f>
        <v>4.1605610671700765E-6</v>
      </c>
      <c r="C262" t="s">
        <v>79</v>
      </c>
      <c r="E262" t="s">
        <v>53</v>
      </c>
      <c r="F262" t="s">
        <v>77</v>
      </c>
      <c r="G262" t="s">
        <v>415</v>
      </c>
    </row>
    <row r="263" spans="1:7" hidden="1" x14ac:dyDescent="0.2">
      <c r="A263" t="s">
        <v>233</v>
      </c>
      <c r="B263">
        <f>10269.2001744819/35166743.2961089</f>
        <v>2.9201453452808521E-4</v>
      </c>
      <c r="C263" t="s">
        <v>79</v>
      </c>
      <c r="E263" t="s">
        <v>57</v>
      </c>
      <c r="F263" t="s">
        <v>77</v>
      </c>
      <c r="G263" t="s">
        <v>416</v>
      </c>
    </row>
    <row r="264" spans="1:7" hidden="1" x14ac:dyDescent="0.2">
      <c r="A264" t="s">
        <v>104</v>
      </c>
      <c r="B264">
        <f>0.261728287632813/35166743.2961089</f>
        <v>7.442494331335266E-9</v>
      </c>
      <c r="C264" t="s">
        <v>79</v>
      </c>
      <c r="E264" t="s">
        <v>53</v>
      </c>
      <c r="F264" t="s">
        <v>77</v>
      </c>
      <c r="G264" t="s">
        <v>105</v>
      </c>
    </row>
    <row r="265" spans="1:7" hidden="1" x14ac:dyDescent="0.2">
      <c r="A265" t="s">
        <v>364</v>
      </c>
      <c r="B265">
        <f>2.87174093374893/35166743.2961089</f>
        <v>8.1660701691040004E-8</v>
      </c>
      <c r="C265" t="s">
        <v>79</v>
      </c>
      <c r="E265" t="s">
        <v>4</v>
      </c>
      <c r="F265" t="s">
        <v>77</v>
      </c>
      <c r="G265" t="s">
        <v>367</v>
      </c>
    </row>
    <row r="266" spans="1:7" hidden="1" x14ac:dyDescent="0.2">
      <c r="A266" t="s">
        <v>234</v>
      </c>
      <c r="B266">
        <f>89787.3431184791/35166743.2961089</f>
        <v>2.5531890275552983E-3</v>
      </c>
      <c r="C266" t="s">
        <v>79</v>
      </c>
      <c r="E266" t="s">
        <v>4</v>
      </c>
      <c r="F266" t="s">
        <v>77</v>
      </c>
      <c r="G266" t="s">
        <v>417</v>
      </c>
    </row>
    <row r="267" spans="1:7" hidden="1" x14ac:dyDescent="0.2">
      <c r="A267" t="s">
        <v>100</v>
      </c>
      <c r="B267">
        <f>36532.9068154135/35166743.2961089</f>
        <v>1.038848167082215E-3</v>
      </c>
      <c r="C267" t="s">
        <v>79</v>
      </c>
      <c r="E267" t="s">
        <v>53</v>
      </c>
      <c r="F267" t="s">
        <v>77</v>
      </c>
      <c r="G267" t="s">
        <v>101</v>
      </c>
    </row>
    <row r="268" spans="1:7" hidden="1" x14ac:dyDescent="0.2">
      <c r="A268" t="s">
        <v>235</v>
      </c>
      <c r="B268">
        <f>16176.2622217503/35166743.2961089</f>
        <v>4.599874968672506E-4</v>
      </c>
      <c r="C268" t="s">
        <v>79</v>
      </c>
      <c r="E268" t="s">
        <v>53</v>
      </c>
      <c r="F268" t="s">
        <v>77</v>
      </c>
      <c r="G268" t="s">
        <v>418</v>
      </c>
    </row>
    <row r="269" spans="1:7" hidden="1" x14ac:dyDescent="0.2">
      <c r="A269" t="s">
        <v>228</v>
      </c>
      <c r="B269">
        <f>13722.5595251926/35166743.2961089</f>
        <v>3.902141125109803E-4</v>
      </c>
      <c r="C269" t="s">
        <v>79</v>
      </c>
      <c r="E269" t="s">
        <v>4</v>
      </c>
      <c r="F269" t="s">
        <v>77</v>
      </c>
      <c r="G269" t="s">
        <v>412</v>
      </c>
    </row>
    <row r="270" spans="1:7" hidden="1" x14ac:dyDescent="0.2">
      <c r="A270" t="s">
        <v>236</v>
      </c>
      <c r="B270">
        <f>133590.480145915/35166743.2961089</f>
        <v>3.7987731482857102E-3</v>
      </c>
      <c r="C270" t="s">
        <v>79</v>
      </c>
      <c r="E270" t="s">
        <v>53</v>
      </c>
      <c r="F270" t="s">
        <v>77</v>
      </c>
      <c r="G270" t="s">
        <v>419</v>
      </c>
    </row>
    <row r="271" spans="1:7" hidden="1" x14ac:dyDescent="0.2">
      <c r="A271" t="s">
        <v>235</v>
      </c>
      <c r="B271">
        <f>17902.9418971056/35166743.2961089</f>
        <v>5.0908728585869671E-4</v>
      </c>
      <c r="C271" t="s">
        <v>79</v>
      </c>
      <c r="E271" t="s">
        <v>53</v>
      </c>
      <c r="F271" t="s">
        <v>77</v>
      </c>
      <c r="G271" t="s">
        <v>418</v>
      </c>
    </row>
    <row r="272" spans="1:7" hidden="1" x14ac:dyDescent="0.2">
      <c r="A272" t="s">
        <v>236</v>
      </c>
      <c r="B272">
        <f>10.632711685083/35166743.2961089</f>
        <v>3.0235133221049443E-7</v>
      </c>
      <c r="C272" t="s">
        <v>79</v>
      </c>
      <c r="E272" t="s">
        <v>53</v>
      </c>
      <c r="F272" t="s">
        <v>77</v>
      </c>
      <c r="G272" t="s">
        <v>419</v>
      </c>
    </row>
    <row r="273" spans="1:7" hidden="1" x14ac:dyDescent="0.2">
      <c r="A273" t="s">
        <v>237</v>
      </c>
      <c r="B273">
        <f>38.8957316343209/35166743.2961089</f>
        <v>1.1060373520178822E-6</v>
      </c>
      <c r="C273" t="s">
        <v>79</v>
      </c>
      <c r="E273" t="s">
        <v>53</v>
      </c>
      <c r="F273" t="s">
        <v>77</v>
      </c>
      <c r="G273" t="s">
        <v>420</v>
      </c>
    </row>
    <row r="274" spans="1:7" hidden="1" x14ac:dyDescent="0.2">
      <c r="A274" t="s">
        <v>108</v>
      </c>
      <c r="B274">
        <f>463.47717601644/35166743.2961089</f>
        <v>1.3179417045072877E-5</v>
      </c>
      <c r="C274" t="s">
        <v>79</v>
      </c>
      <c r="E274" t="s">
        <v>53</v>
      </c>
      <c r="F274" t="s">
        <v>77</v>
      </c>
      <c r="G274" t="s">
        <v>110</v>
      </c>
    </row>
    <row r="275" spans="1:7" hidden="1" x14ac:dyDescent="0.2">
      <c r="A275" t="s">
        <v>238</v>
      </c>
      <c r="B275">
        <f>29.3535544810412/35166743.2961089</f>
        <v>8.3469641285461562E-7</v>
      </c>
      <c r="C275" t="s">
        <v>79</v>
      </c>
      <c r="E275" t="s">
        <v>4</v>
      </c>
      <c r="F275" t="s">
        <v>77</v>
      </c>
      <c r="G275" t="s">
        <v>421</v>
      </c>
    </row>
    <row r="276" spans="1:7" hidden="1" x14ac:dyDescent="0.2">
      <c r="A276" t="s">
        <v>25</v>
      </c>
      <c r="B276">
        <f>73.4293251414282/35166743.2961089</f>
        <v>2.0880331318468417E-6</v>
      </c>
      <c r="C276" t="s">
        <v>79</v>
      </c>
      <c r="E276" t="s">
        <v>53</v>
      </c>
      <c r="F276" t="s">
        <v>77</v>
      </c>
      <c r="G276" t="s">
        <v>111</v>
      </c>
    </row>
    <row r="277" spans="1:7" hidden="1" x14ac:dyDescent="0.2">
      <c r="A277" t="s">
        <v>239</v>
      </c>
      <c r="B277">
        <f>0.137225595251926/35166743.2961089</f>
        <v>3.9021411251098031E-9</v>
      </c>
      <c r="C277" t="s">
        <v>79</v>
      </c>
      <c r="E277" t="s">
        <v>4</v>
      </c>
      <c r="F277" t="s">
        <v>77</v>
      </c>
      <c r="G277" t="s">
        <v>422</v>
      </c>
    </row>
    <row r="278" spans="1:7" hidden="1" x14ac:dyDescent="0.2">
      <c r="A278" t="s">
        <v>100</v>
      </c>
      <c r="B278">
        <f>1962.9621572461/35166743.2961089</f>
        <v>5.5818707485014576E-5</v>
      </c>
      <c r="C278" t="s">
        <v>79</v>
      </c>
      <c r="E278" t="s">
        <v>53</v>
      </c>
      <c r="F278" t="s">
        <v>77</v>
      </c>
      <c r="G278" t="s">
        <v>101</v>
      </c>
    </row>
    <row r="279" spans="1:7" hidden="1" x14ac:dyDescent="0.2">
      <c r="A279" t="s">
        <v>240</v>
      </c>
      <c r="B279">
        <f>1617.62622217503/35166743.2961089</f>
        <v>4.5998749686725062E-5</v>
      </c>
      <c r="C279" t="s">
        <v>79</v>
      </c>
      <c r="E279" t="s">
        <v>4</v>
      </c>
      <c r="F279" t="s">
        <v>77</v>
      </c>
      <c r="G279" t="s">
        <v>416</v>
      </c>
    </row>
    <row r="280" spans="1:7" hidden="1" x14ac:dyDescent="0.2">
      <c r="A280" t="s">
        <v>238</v>
      </c>
      <c r="B280">
        <f>16176.2622217503/35166743.2961089</f>
        <v>4.599874968672506E-4</v>
      </c>
      <c r="C280" t="s">
        <v>79</v>
      </c>
      <c r="E280" t="s">
        <v>4</v>
      </c>
      <c r="F280" t="s">
        <v>77</v>
      </c>
      <c r="G280" t="s">
        <v>421</v>
      </c>
    </row>
    <row r="281" spans="1:7" hidden="1" x14ac:dyDescent="0.2">
      <c r="A281" t="s">
        <v>241</v>
      </c>
      <c r="B281">
        <f>28808.2872151395/35166743.2961089</f>
        <v>8.1919121633100024E-4</v>
      </c>
      <c r="C281" t="s">
        <v>79</v>
      </c>
      <c r="E281" t="s">
        <v>4</v>
      </c>
      <c r="F281" t="s">
        <v>77</v>
      </c>
      <c r="G281" t="s">
        <v>423</v>
      </c>
    </row>
    <row r="282" spans="1:7" hidden="1" x14ac:dyDescent="0.2">
      <c r="A282" t="s">
        <v>242</v>
      </c>
      <c r="B282">
        <f>1581.27507111491/35166743.2961089</f>
        <v>4.4965069918483845E-5</v>
      </c>
      <c r="C282" t="s">
        <v>79</v>
      </c>
      <c r="E282" t="s">
        <v>53</v>
      </c>
      <c r="F282" t="s">
        <v>77</v>
      </c>
      <c r="G282" t="s">
        <v>424</v>
      </c>
    </row>
    <row r="283" spans="1:7" hidden="1" x14ac:dyDescent="0.2">
      <c r="A283" t="s">
        <v>117</v>
      </c>
      <c r="B283">
        <f>168124.073653022/35166743.2961089</f>
        <v>4.780768928114661E-3</v>
      </c>
      <c r="C283" t="s">
        <v>79</v>
      </c>
      <c r="E283" t="s">
        <v>53</v>
      </c>
      <c r="F283" t="s">
        <v>77</v>
      </c>
      <c r="G283" t="s">
        <v>118</v>
      </c>
    </row>
    <row r="284" spans="1:7" hidden="1" x14ac:dyDescent="0.2">
      <c r="A284" t="s">
        <v>104</v>
      </c>
      <c r="B284">
        <f>3.83504643684192/35166743.2961089</f>
        <v>1.0905321554942669E-7</v>
      </c>
      <c r="C284" t="s">
        <v>79</v>
      </c>
      <c r="E284" t="s">
        <v>53</v>
      </c>
      <c r="F284" t="s">
        <v>77</v>
      </c>
      <c r="G284" t="s">
        <v>105</v>
      </c>
    </row>
    <row r="285" spans="1:7" hidden="1" x14ac:dyDescent="0.2">
      <c r="A285" t="s">
        <v>243</v>
      </c>
      <c r="B285">
        <f>1.28137807486898/35166743.2961089</f>
        <v>3.643721183049557E-8</v>
      </c>
      <c r="C285" t="s">
        <v>79</v>
      </c>
      <c r="E285" t="s">
        <v>435</v>
      </c>
      <c r="F285" t="s">
        <v>77</v>
      </c>
      <c r="G285" t="s">
        <v>273</v>
      </c>
    </row>
    <row r="286" spans="1:7" hidden="1" x14ac:dyDescent="0.2">
      <c r="A286" t="s">
        <v>244</v>
      </c>
      <c r="B286">
        <f>8.88785643419762/35166743.2961089</f>
        <v>2.5273470333492707E-7</v>
      </c>
      <c r="C286" t="s">
        <v>79</v>
      </c>
      <c r="E286" t="s">
        <v>4</v>
      </c>
      <c r="F286" t="s">
        <v>77</v>
      </c>
      <c r="G286" t="s">
        <v>425</v>
      </c>
    </row>
    <row r="287" spans="1:7" hidden="1" x14ac:dyDescent="0.2">
      <c r="A287" t="s">
        <v>17</v>
      </c>
      <c r="B287">
        <f>38.0778307354683/35166743.2961089</f>
        <v>1.0827795572324577E-6</v>
      </c>
      <c r="C287" t="s">
        <v>79</v>
      </c>
      <c r="E287" t="s">
        <v>4</v>
      </c>
      <c r="F287" t="s">
        <v>77</v>
      </c>
      <c r="G287" t="s">
        <v>225</v>
      </c>
    </row>
    <row r="288" spans="1:7" hidden="1" x14ac:dyDescent="0.2">
      <c r="A288" t="s">
        <v>25</v>
      </c>
      <c r="B288">
        <f>25.3549278644288/35166743.2961089</f>
        <v>7.2099163834810514E-7</v>
      </c>
      <c r="C288" t="s">
        <v>79</v>
      </c>
      <c r="E288" t="s">
        <v>53</v>
      </c>
      <c r="F288" t="s">
        <v>77</v>
      </c>
      <c r="G288" t="s">
        <v>111</v>
      </c>
    </row>
    <row r="289" spans="1:8" hidden="1" x14ac:dyDescent="0.2">
      <c r="A289" t="s">
        <v>245</v>
      </c>
      <c r="B289">
        <f>11.4506125839356/35166743.2961089</f>
        <v>3.2560912699591881E-7</v>
      </c>
      <c r="C289" t="s">
        <v>79</v>
      </c>
      <c r="E289" t="s">
        <v>4</v>
      </c>
      <c r="F289" t="s">
        <v>77</v>
      </c>
      <c r="G289" t="s">
        <v>59</v>
      </c>
    </row>
    <row r="290" spans="1:8" hidden="1" x14ac:dyDescent="0.2">
      <c r="A290" t="s">
        <v>246</v>
      </c>
      <c r="B290">
        <f>16176.2622217503/35166743.2961089</f>
        <v>4.599874968672506E-4</v>
      </c>
      <c r="C290" t="s">
        <v>79</v>
      </c>
      <c r="E290" t="s">
        <v>4</v>
      </c>
      <c r="F290" t="s">
        <v>77</v>
      </c>
      <c r="G290" t="s">
        <v>426</v>
      </c>
    </row>
    <row r="291" spans="1:8" hidden="1" x14ac:dyDescent="0.2">
      <c r="A291" t="s">
        <v>247</v>
      </c>
      <c r="B291">
        <f>4780.17636440486/35166743.2961089</f>
        <v>1.3592888952369304E-4</v>
      </c>
      <c r="C291" t="s">
        <v>79</v>
      </c>
      <c r="E291" t="s">
        <v>4</v>
      </c>
      <c r="F291" t="s">
        <v>77</v>
      </c>
      <c r="G291" t="s">
        <v>427</v>
      </c>
    </row>
    <row r="292" spans="1:8" hidden="1" x14ac:dyDescent="0.2">
      <c r="A292" t="s">
        <v>248</v>
      </c>
      <c r="B292">
        <f>-1599450.64664497/35166743.2961089</f>
        <v>-4.5481909802604456E-2</v>
      </c>
      <c r="C292" t="s">
        <v>79</v>
      </c>
      <c r="E292" t="s">
        <v>119</v>
      </c>
      <c r="F292" t="s">
        <v>77</v>
      </c>
      <c r="G292" t="s">
        <v>428</v>
      </c>
    </row>
    <row r="293" spans="1:8" hidden="1" x14ac:dyDescent="0.2">
      <c r="A293" t="s">
        <v>245</v>
      </c>
      <c r="B293">
        <f>133590.480145915/35166743.2961089</f>
        <v>3.7987731482857102E-3</v>
      </c>
      <c r="C293" t="s">
        <v>79</v>
      </c>
      <c r="E293" t="s">
        <v>4</v>
      </c>
      <c r="F293" t="s">
        <v>77</v>
      </c>
      <c r="G293" t="s">
        <v>59</v>
      </c>
    </row>
    <row r="294" spans="1:8" hidden="1" x14ac:dyDescent="0.2">
      <c r="A294" t="s">
        <v>249</v>
      </c>
      <c r="B294">
        <f>18993.476428909/35166743.2961089</f>
        <v>5.4009767890592748E-4</v>
      </c>
      <c r="C294" t="s">
        <v>79</v>
      </c>
      <c r="E294" t="s">
        <v>53</v>
      </c>
      <c r="F294" t="s">
        <v>77</v>
      </c>
      <c r="G294" t="s">
        <v>429</v>
      </c>
    </row>
    <row r="295" spans="1:8" hidden="1" x14ac:dyDescent="0.2">
      <c r="A295" t="s">
        <v>441</v>
      </c>
      <c r="B295">
        <f>2381.0003944374/35166743.2961089</f>
        <v>6.7706024819786219E-5</v>
      </c>
      <c r="C295" t="s">
        <v>79</v>
      </c>
      <c r="E295" t="s">
        <v>53</v>
      </c>
      <c r="F295" t="s">
        <v>77</v>
      </c>
      <c r="G295" t="s">
        <v>442</v>
      </c>
    </row>
    <row r="296" spans="1:8" hidden="1" x14ac:dyDescent="0.2">
      <c r="A296" t="s">
        <v>250</v>
      </c>
      <c r="B296">
        <f>13359.0480145915/35166743.2961089</f>
        <v>3.7987731482857102E-4</v>
      </c>
      <c r="C296" t="s">
        <v>79</v>
      </c>
      <c r="E296" t="s">
        <v>4</v>
      </c>
      <c r="F296" t="s">
        <v>77</v>
      </c>
      <c r="G296" t="s">
        <v>299</v>
      </c>
    </row>
    <row r="297" spans="1:8" hidden="1" x14ac:dyDescent="0.2">
      <c r="A297" t="s">
        <v>438</v>
      </c>
      <c r="B297">
        <f>-127.229028710395/35166743.2961089</f>
        <v>-3.6178791888435267E-6</v>
      </c>
      <c r="C297" t="s">
        <v>79</v>
      </c>
      <c r="E297" t="s">
        <v>4</v>
      </c>
      <c r="F297" t="s">
        <v>77</v>
      </c>
      <c r="G297" t="s">
        <v>439</v>
      </c>
    </row>
    <row r="298" spans="1:8" hidden="1" x14ac:dyDescent="0.2">
      <c r="A298" t="s">
        <v>197</v>
      </c>
      <c r="B298">
        <f>192.661100618599/35166743.2961089</f>
        <v>5.4785027716773648E-6</v>
      </c>
      <c r="C298" t="s">
        <v>79</v>
      </c>
      <c r="E298" t="s">
        <v>4</v>
      </c>
      <c r="F298" t="s">
        <v>77</v>
      </c>
      <c r="G298" t="s">
        <v>201</v>
      </c>
    </row>
    <row r="299" spans="1:8" hidden="1" x14ac:dyDescent="0.2">
      <c r="A299" t="s">
        <v>433</v>
      </c>
      <c r="B299">
        <f>413.494343308785/35166743.2961089</f>
        <v>1.1758107363741497E-5</v>
      </c>
      <c r="C299" t="s">
        <v>79</v>
      </c>
      <c r="E299" t="s">
        <v>57</v>
      </c>
      <c r="F299" t="s">
        <v>77</v>
      </c>
      <c r="G299" t="s">
        <v>434</v>
      </c>
    </row>
    <row r="300" spans="1:8" hidden="1" x14ac:dyDescent="0.2">
      <c r="A300" t="s">
        <v>256</v>
      </c>
      <c r="B300">
        <f>4.72564963781469/35166743.2961089</f>
        <v>1.3437836987133152E-7</v>
      </c>
      <c r="C300" t="s">
        <v>79</v>
      </c>
      <c r="D300" t="s">
        <v>62</v>
      </c>
      <c r="F300" t="s">
        <v>78</v>
      </c>
      <c r="H300" t="s">
        <v>251</v>
      </c>
    </row>
    <row r="301" spans="1:8" hidden="1" x14ac:dyDescent="0.2">
      <c r="A301" t="s">
        <v>252</v>
      </c>
      <c r="B301">
        <f>-189.93476428909/35166743.2961089</f>
        <v>-5.4009767890592737E-6</v>
      </c>
      <c r="C301" t="s">
        <v>133</v>
      </c>
      <c r="E301" t="s">
        <v>119</v>
      </c>
      <c r="F301" t="s">
        <v>77</v>
      </c>
      <c r="G301" t="s">
        <v>253</v>
      </c>
    </row>
    <row r="302" spans="1:8" hidden="1" x14ac:dyDescent="0.2">
      <c r="A302" t="s">
        <v>254</v>
      </c>
      <c r="B302">
        <f>359876.395495118/35166743.2961089</f>
        <v>1.0233429705585995E-2</v>
      </c>
      <c r="C302" t="s">
        <v>79</v>
      </c>
      <c r="E302" t="s">
        <v>119</v>
      </c>
      <c r="F302" t="s">
        <v>77</v>
      </c>
      <c r="G302" t="s">
        <v>255</v>
      </c>
    </row>
    <row r="303" spans="1:8" hidden="1" x14ac:dyDescent="0.2">
      <c r="A303" t="s">
        <v>238</v>
      </c>
      <c r="B303">
        <f>15358.3613228977/35166743.2961089</f>
        <v>4.3672970208182617E-4</v>
      </c>
      <c r="C303" t="s">
        <v>79</v>
      </c>
      <c r="E303" t="s">
        <v>4</v>
      </c>
      <c r="F303" t="s">
        <v>77</v>
      </c>
      <c r="G303" t="s">
        <v>421</v>
      </c>
    </row>
    <row r="304" spans="1:8" hidden="1" x14ac:dyDescent="0.2">
      <c r="A304" t="s">
        <v>241</v>
      </c>
      <c r="B304">
        <f>27354.241172735/35166743.2961089</f>
        <v>7.7784402560136042E-4</v>
      </c>
      <c r="C304" t="s">
        <v>79</v>
      </c>
      <c r="E304" t="s">
        <v>4</v>
      </c>
      <c r="F304" t="s">
        <v>77</v>
      </c>
      <c r="G304" t="s">
        <v>423</v>
      </c>
    </row>
    <row r="305" spans="1:8" hidden="1" x14ac:dyDescent="0.2">
      <c r="A305" t="s">
        <v>117</v>
      </c>
      <c r="B305">
        <f>159945.064664497/35166743.2961089</f>
        <v>4.5481909802604463E-3</v>
      </c>
      <c r="C305" t="s">
        <v>79</v>
      </c>
      <c r="E305" t="s">
        <v>53</v>
      </c>
      <c r="F305" t="s">
        <v>77</v>
      </c>
      <c r="G305" t="s">
        <v>118</v>
      </c>
    </row>
    <row r="306" spans="1:8" hidden="1" x14ac:dyDescent="0.2">
      <c r="A306" t="s">
        <v>246</v>
      </c>
      <c r="B306">
        <f>7773.00911954234/35166743.2961089</f>
        <v>2.2103295304010711E-4</v>
      </c>
      <c r="C306" t="s">
        <v>79</v>
      </c>
      <c r="E306" t="s">
        <v>4</v>
      </c>
      <c r="F306" t="s">
        <v>77</v>
      </c>
      <c r="G306" t="s">
        <v>426</v>
      </c>
    </row>
    <row r="307" spans="1:8" hidden="1" x14ac:dyDescent="0.2">
      <c r="A307" t="s">
        <v>247</v>
      </c>
      <c r="B307">
        <f>2296.96786341532/35166743.2961089</f>
        <v>6.5316479381514773E-5</v>
      </c>
      <c r="C307" t="s">
        <v>79</v>
      </c>
      <c r="E307" t="s">
        <v>4</v>
      </c>
      <c r="F307" t="s">
        <v>77</v>
      </c>
      <c r="G307" t="s">
        <v>427</v>
      </c>
    </row>
    <row r="308" spans="1:8" hidden="1" x14ac:dyDescent="0.2">
      <c r="A308" t="s">
        <v>249</v>
      </c>
      <c r="B308">
        <f>19084.3543065593/35166743.2961089</f>
        <v>5.4268187832653047E-4</v>
      </c>
      <c r="C308" t="s">
        <v>79</v>
      </c>
      <c r="E308" t="s">
        <v>53</v>
      </c>
      <c r="F308" t="s">
        <v>77</v>
      </c>
      <c r="G308" t="s">
        <v>429</v>
      </c>
    </row>
    <row r="309" spans="1:8" hidden="1" x14ac:dyDescent="0.2">
      <c r="A309" t="s">
        <v>250</v>
      </c>
      <c r="B309">
        <f>13449.9258922418/35166743.2961089</f>
        <v>3.8246151424917402E-4</v>
      </c>
      <c r="C309" t="s">
        <v>79</v>
      </c>
      <c r="E309" t="s">
        <v>4</v>
      </c>
      <c r="F309" t="s">
        <v>77</v>
      </c>
      <c r="G309" t="s">
        <v>299</v>
      </c>
    </row>
    <row r="310" spans="1:8" hidden="1" x14ac:dyDescent="0.2">
      <c r="A310" t="s">
        <v>438</v>
      </c>
      <c r="B310">
        <f>-127.960230024823/35166743.2961089</f>
        <v>-3.6386715979748242E-6</v>
      </c>
      <c r="C310" t="s">
        <v>79</v>
      </c>
      <c r="E310" t="s">
        <v>4</v>
      </c>
      <c r="F310" t="s">
        <v>77</v>
      </c>
      <c r="G310" t="s">
        <v>439</v>
      </c>
    </row>
    <row r="311" spans="1:8" hidden="1" x14ac:dyDescent="0.2">
      <c r="A311" t="s">
        <v>197</v>
      </c>
      <c r="B311">
        <f>193.768348323303/35166743.2961089</f>
        <v>5.5099884197904361E-6</v>
      </c>
      <c r="C311" t="s">
        <v>79</v>
      </c>
      <c r="E311" t="s">
        <v>4</v>
      </c>
      <c r="F311" t="s">
        <v>77</v>
      </c>
      <c r="G311" t="s">
        <v>201</v>
      </c>
    </row>
    <row r="312" spans="1:8" hidden="1" x14ac:dyDescent="0.2">
      <c r="A312" t="s">
        <v>433</v>
      </c>
      <c r="B312">
        <f>415.870747580675/35166743.2961089</f>
        <v>1.1825682693418184E-5</v>
      </c>
      <c r="C312" t="s">
        <v>79</v>
      </c>
      <c r="E312" t="s">
        <v>57</v>
      </c>
      <c r="F312" t="s">
        <v>77</v>
      </c>
      <c r="G312" t="s">
        <v>434</v>
      </c>
    </row>
    <row r="313" spans="1:8" hidden="1" x14ac:dyDescent="0.2">
      <c r="A313" t="s">
        <v>256</v>
      </c>
      <c r="B313">
        <f>4.75280854377914/35166743.2961089</f>
        <v>1.3515065935335059E-7</v>
      </c>
      <c r="C313" t="s">
        <v>79</v>
      </c>
      <c r="D313" t="s">
        <v>62</v>
      </c>
      <c r="F313" t="s">
        <v>78</v>
      </c>
    </row>
    <row r="314" spans="1:8" hidden="1" x14ac:dyDescent="0.2">
      <c r="A314" t="s">
        <v>254</v>
      </c>
      <c r="B314">
        <f>341700.819965062/35166743.2961089</f>
        <v>9.7165898214655044E-3</v>
      </c>
      <c r="C314" t="s">
        <v>79</v>
      </c>
      <c r="E314" t="s">
        <v>119</v>
      </c>
      <c r="F314" t="s">
        <v>77</v>
      </c>
      <c r="G314" t="s">
        <v>255</v>
      </c>
    </row>
    <row r="315" spans="1:8" hidden="1" x14ac:dyDescent="0.2">
      <c r="A315" t="s">
        <v>117</v>
      </c>
      <c r="B315">
        <f>4109062.5*1.2349/35266918.197406</f>
        <v>0.14388218592979385</v>
      </c>
      <c r="C315" t="s">
        <v>79</v>
      </c>
      <c r="E315" t="s">
        <v>53</v>
      </c>
      <c r="F315" t="s">
        <v>77</v>
      </c>
      <c r="G315" t="s">
        <v>118</v>
      </c>
      <c r="H315" t="s">
        <v>128</v>
      </c>
    </row>
    <row r="316" spans="1:8" hidden="1" x14ac:dyDescent="0.2">
      <c r="A316" t="s">
        <v>206</v>
      </c>
      <c r="B316">
        <f>5752.6875/35166743.2961089</f>
        <v>1.6358317435201679E-4</v>
      </c>
      <c r="C316" t="s">
        <v>133</v>
      </c>
      <c r="E316" t="s">
        <v>92</v>
      </c>
      <c r="F316" t="s">
        <v>77</v>
      </c>
      <c r="G316" t="s">
        <v>208</v>
      </c>
      <c r="H316" t="s">
        <v>207</v>
      </c>
    </row>
    <row r="317" spans="1:8" hidden="1" x14ac:dyDescent="0.2">
      <c r="A317" t="s">
        <v>51</v>
      </c>
      <c r="B317" s="4">
        <f>(11.581476727752+70012.3169417776+0.880061367165335+349047.387594311+70.0123169417776+85388.8538402054+147926.25+48161.49975)/3.6/35166743.2961089</f>
        <v>5.5341015427402716E-3</v>
      </c>
      <c r="C317" t="s">
        <v>81</v>
      </c>
      <c r="E317" t="s">
        <v>119</v>
      </c>
      <c r="F317" t="s">
        <v>77</v>
      </c>
      <c r="G317" t="s">
        <v>52</v>
      </c>
    </row>
    <row r="318" spans="1:8" hidden="1" x14ac:dyDescent="0.2">
      <c r="A318" t="s">
        <v>114</v>
      </c>
      <c r="B318">
        <f>36817.2/35166743.2961089</f>
        <v>1.0469323158529074E-3</v>
      </c>
      <c r="C318" t="s">
        <v>133</v>
      </c>
      <c r="E318" t="s">
        <v>92</v>
      </c>
      <c r="F318" t="s">
        <v>77</v>
      </c>
      <c r="G318" t="s">
        <v>121</v>
      </c>
      <c r="H318" t="s">
        <v>209</v>
      </c>
    </row>
    <row r="319" spans="1:8" hidden="1" x14ac:dyDescent="0.2">
      <c r="A319" t="s">
        <v>95</v>
      </c>
      <c r="B319">
        <f>-475/35166743.2961089</f>
        <v>-1.3507079572323019E-5</v>
      </c>
      <c r="C319" t="s">
        <v>79</v>
      </c>
      <c r="E319" t="s">
        <v>92</v>
      </c>
      <c r="F319" t="s">
        <v>77</v>
      </c>
      <c r="G319" t="s">
        <v>127</v>
      </c>
    </row>
    <row r="320" spans="1:8" hidden="1" x14ac:dyDescent="0.2">
      <c r="A320" t="s">
        <v>130</v>
      </c>
      <c r="B320">
        <f>-25/35166743.2961089</f>
        <v>-7.1089892485910619E-7</v>
      </c>
      <c r="C320" t="s">
        <v>79</v>
      </c>
      <c r="E320" t="s">
        <v>119</v>
      </c>
      <c r="F320" t="s">
        <v>77</v>
      </c>
      <c r="G320" t="s">
        <v>131</v>
      </c>
    </row>
    <row r="321" spans="1:8" hidden="1" x14ac:dyDescent="0.2">
      <c r="A321" t="s">
        <v>389</v>
      </c>
      <c r="B321">
        <f>-14025600/35166743.2961089</f>
        <v>-0.39883135842015521</v>
      </c>
      <c r="C321" t="s">
        <v>133</v>
      </c>
      <c r="E321" t="s">
        <v>92</v>
      </c>
      <c r="F321" t="s">
        <v>77</v>
      </c>
      <c r="G321" t="s">
        <v>390</v>
      </c>
      <c r="H321" t="s">
        <v>211</v>
      </c>
    </row>
    <row r="322" spans="1:8" hidden="1" x14ac:dyDescent="0.2">
      <c r="A322" t="s">
        <v>206</v>
      </c>
      <c r="B322">
        <f>-1438.171875/35166743.2961089</f>
        <v>-4.0895793588004197E-5</v>
      </c>
      <c r="C322" t="s">
        <v>133</v>
      </c>
      <c r="E322" t="s">
        <v>92</v>
      </c>
      <c r="F322" t="s">
        <v>77</v>
      </c>
      <c r="G322" t="s">
        <v>213</v>
      </c>
      <c r="H322" t="s">
        <v>207</v>
      </c>
    </row>
    <row r="323" spans="1:8" hidden="1" x14ac:dyDescent="0.2"/>
    <row r="324" spans="1:8" hidden="1" x14ac:dyDescent="0.2"/>
    <row r="325" spans="1:8" ht="16" hidden="1" x14ac:dyDescent="0.2">
      <c r="A325" s="2" t="s">
        <v>1</v>
      </c>
      <c r="B325" s="2" t="s">
        <v>258</v>
      </c>
    </row>
    <row r="326" spans="1:8" ht="16" hidden="1" x14ac:dyDescent="0.2">
      <c r="A326" s="5" t="s">
        <v>2</v>
      </c>
      <c r="B326" s="5" t="s">
        <v>257</v>
      </c>
    </row>
    <row r="327" spans="1:8" hidden="1" x14ac:dyDescent="0.2">
      <c r="A327" t="s">
        <v>3</v>
      </c>
      <c r="B327" t="s">
        <v>92</v>
      </c>
    </row>
    <row r="328" spans="1:8" hidden="1" x14ac:dyDescent="0.2">
      <c r="A328" t="s">
        <v>5</v>
      </c>
      <c r="B328">
        <v>1</v>
      </c>
    </row>
    <row r="329" spans="1:8" hidden="1" x14ac:dyDescent="0.2">
      <c r="A329" t="s">
        <v>6</v>
      </c>
      <c r="B329" t="s">
        <v>259</v>
      </c>
    </row>
    <row r="330" spans="1:8" hidden="1" x14ac:dyDescent="0.2">
      <c r="A330" t="s">
        <v>7</v>
      </c>
      <c r="B330" t="s">
        <v>7</v>
      </c>
    </row>
    <row r="331" spans="1:8" hidden="1" x14ac:dyDescent="0.2">
      <c r="A331" t="s">
        <v>8</v>
      </c>
      <c r="B331" t="s">
        <v>16</v>
      </c>
    </row>
    <row r="332" spans="1:8" hidden="1" x14ac:dyDescent="0.2">
      <c r="A332" s="1" t="s">
        <v>9</v>
      </c>
      <c r="B332" s="1"/>
      <c r="C332" s="1"/>
      <c r="D332" s="1"/>
      <c r="E332" s="1"/>
      <c r="F332" s="1"/>
      <c r="G332" s="1"/>
    </row>
    <row r="333" spans="1:8" hidden="1" x14ac:dyDescent="0.2">
      <c r="A333" s="1" t="s">
        <v>10</v>
      </c>
      <c r="B333" s="1" t="s">
        <v>11</v>
      </c>
      <c r="C333" s="1" t="s">
        <v>7</v>
      </c>
      <c r="D333" s="1" t="s">
        <v>12</v>
      </c>
      <c r="E333" s="1" t="s">
        <v>3</v>
      </c>
      <c r="F333" s="1" t="s">
        <v>13</v>
      </c>
      <c r="G333" s="1" t="s">
        <v>6</v>
      </c>
      <c r="H333" s="1" t="s">
        <v>2</v>
      </c>
    </row>
    <row r="334" spans="1:8" hidden="1" x14ac:dyDescent="0.2">
      <c r="A334" t="str">
        <f>B325</f>
        <v>perovskite cell deposition</v>
      </c>
      <c r="B334" s="3">
        <f>35116655.8454604/35116655.8454604</f>
        <v>1</v>
      </c>
      <c r="C334" t="s">
        <v>7</v>
      </c>
      <c r="E334" t="str">
        <f>B327</f>
        <v>DE</v>
      </c>
      <c r="F334" t="s">
        <v>14</v>
      </c>
      <c r="G334" t="str">
        <f>B329</f>
        <v>deposited perovskite cell</v>
      </c>
    </row>
    <row r="335" spans="1:8" hidden="1" x14ac:dyDescent="0.2">
      <c r="A335" t="s">
        <v>223</v>
      </c>
      <c r="B335">
        <f>35166743.2961089/35116655.8454604</f>
        <v>1.0014263160726045</v>
      </c>
      <c r="C335" t="s">
        <v>7</v>
      </c>
      <c r="E335" t="s">
        <v>92</v>
      </c>
      <c r="F335" t="s">
        <v>77</v>
      </c>
      <c r="G335" t="s">
        <v>224</v>
      </c>
    </row>
    <row r="336" spans="1:8" hidden="1" x14ac:dyDescent="0.2">
      <c r="A336" t="s">
        <v>51</v>
      </c>
      <c r="B336">
        <f>(2455.35780869117+8584.98952143617+6703.96680735238+6720.27828744311+7766128.125+7585436.210625)/35116655.8454604/3.6</f>
        <v>0.12162659125278495</v>
      </c>
      <c r="C336" t="s">
        <v>81</v>
      </c>
      <c r="E336" t="s">
        <v>119</v>
      </c>
      <c r="F336" t="s">
        <v>77</v>
      </c>
      <c r="G336" t="s">
        <v>52</v>
      </c>
    </row>
    <row r="337" spans="1:8" hidden="1" x14ac:dyDescent="0.2">
      <c r="A337" t="s">
        <v>444</v>
      </c>
      <c r="B337">
        <f>4.17324674571931/35116655.8454604</f>
        <v>1.1883952629443769E-7</v>
      </c>
      <c r="C337" t="s">
        <v>79</v>
      </c>
      <c r="E337" t="s">
        <v>53</v>
      </c>
      <c r="F337" t="s">
        <v>77</v>
      </c>
      <c r="G337" t="s">
        <v>445</v>
      </c>
      <c r="H337" t="s">
        <v>446</v>
      </c>
    </row>
    <row r="338" spans="1:8" hidden="1" x14ac:dyDescent="0.2">
      <c r="A338" t="s">
        <v>266</v>
      </c>
      <c r="B338">
        <f>-344611.622272445/35116655.8454604</f>
        <v>-9.8133382571789964E-3</v>
      </c>
      <c r="C338" t="s">
        <v>133</v>
      </c>
      <c r="E338" t="s">
        <v>119</v>
      </c>
      <c r="F338" t="s">
        <v>77</v>
      </c>
      <c r="G338" t="s">
        <v>253</v>
      </c>
    </row>
    <row r="339" spans="1:8" hidden="1" x14ac:dyDescent="0.2">
      <c r="A339" t="s">
        <v>260</v>
      </c>
      <c r="B339">
        <f>525.84373595458/35116655.8454604</f>
        <v>1.4974197379975089E-5</v>
      </c>
      <c r="C339" t="s">
        <v>79</v>
      </c>
      <c r="E339" t="s">
        <v>4</v>
      </c>
      <c r="F339" t="s">
        <v>77</v>
      </c>
      <c r="G339" t="s">
        <v>267</v>
      </c>
    </row>
    <row r="340" spans="1:8" hidden="1" x14ac:dyDescent="0.2">
      <c r="A340" t="s">
        <v>117</v>
      </c>
      <c r="B340">
        <f>(198.151682806656+541.021882698613+692.823715765025+258870937.5*0.0013+542.338247758567)/35116655.8454604</f>
        <v>9.6394871928782554E-3</v>
      </c>
      <c r="C340" t="s">
        <v>79</v>
      </c>
      <c r="E340" t="s">
        <v>53</v>
      </c>
      <c r="F340" t="s">
        <v>77</v>
      </c>
      <c r="G340" t="s">
        <v>118</v>
      </c>
      <c r="H340" t="s">
        <v>265</v>
      </c>
    </row>
    <row r="341" spans="1:8" hidden="1" x14ac:dyDescent="0.2">
      <c r="A341" t="s">
        <v>261</v>
      </c>
      <c r="B341">
        <f>3833.80429778095/35116655.8454604</f>
        <v>1.0917338811111633E-4</v>
      </c>
      <c r="C341" t="s">
        <v>79</v>
      </c>
      <c r="E341" t="s">
        <v>53</v>
      </c>
      <c r="F341" t="s">
        <v>77</v>
      </c>
      <c r="G341" t="s">
        <v>268</v>
      </c>
    </row>
    <row r="342" spans="1:8" hidden="1" x14ac:dyDescent="0.2">
      <c r="A342" t="s">
        <v>269</v>
      </c>
      <c r="B342">
        <f>402.670926863851/35116655.8454604</f>
        <v>1.1466664953402875E-5</v>
      </c>
      <c r="C342" t="s">
        <v>79</v>
      </c>
      <c r="E342" t="s">
        <v>119</v>
      </c>
      <c r="F342" t="s">
        <v>77</v>
      </c>
      <c r="G342" t="s">
        <v>255</v>
      </c>
    </row>
    <row r="343" spans="1:8" hidden="1" x14ac:dyDescent="0.2">
      <c r="A343" t="s">
        <v>252</v>
      </c>
      <c r="B343">
        <f>-71.1588538830372/1000/35116655.8454604</f>
        <v>-2.0263562167248918E-9</v>
      </c>
      <c r="C343" t="s">
        <v>133</v>
      </c>
      <c r="E343" t="s">
        <v>119</v>
      </c>
      <c r="F343" t="s">
        <v>77</v>
      </c>
      <c r="G343" t="s">
        <v>253</v>
      </c>
    </row>
    <row r="344" spans="1:8" hidden="1" x14ac:dyDescent="0.2">
      <c r="A344" t="s">
        <v>242</v>
      </c>
      <c r="B344">
        <f>48.1344226584729/35116655.8454604</f>
        <v>1.3707006404681706E-6</v>
      </c>
      <c r="C344" t="s">
        <v>79</v>
      </c>
      <c r="E344" t="s">
        <v>53</v>
      </c>
      <c r="F344" t="s">
        <v>77</v>
      </c>
      <c r="G344" t="s">
        <v>270</v>
      </c>
    </row>
    <row r="345" spans="1:8" hidden="1" x14ac:dyDescent="0.2">
      <c r="A345" t="s">
        <v>262</v>
      </c>
      <c r="B345">
        <f>202.550980112262/35116655.8454604</f>
        <v>5.7679461564802215E-6</v>
      </c>
      <c r="C345" t="s">
        <v>79</v>
      </c>
      <c r="E345" t="s">
        <v>53</v>
      </c>
      <c r="F345" t="s">
        <v>77</v>
      </c>
      <c r="G345" t="s">
        <v>271</v>
      </c>
    </row>
    <row r="346" spans="1:8" hidden="1" x14ac:dyDescent="0.2">
      <c r="A346" t="s">
        <v>252</v>
      </c>
      <c r="B346">
        <f>-972.244704538856/1000/35116655.8454604</f>
        <v>-2.7686141551105016E-8</v>
      </c>
      <c r="C346" t="s">
        <v>133</v>
      </c>
      <c r="E346" t="s">
        <v>119</v>
      </c>
      <c r="F346" t="s">
        <v>77</v>
      </c>
      <c r="G346" t="s">
        <v>253</v>
      </c>
    </row>
    <row r="347" spans="1:8" hidden="1" x14ac:dyDescent="0.2">
      <c r="A347" t="s">
        <v>266</v>
      </c>
      <c r="B347">
        <f>-1204910.81002613/35116655.8454604</f>
        <v>-3.4311661546835223E-2</v>
      </c>
      <c r="C347" t="s">
        <v>133</v>
      </c>
      <c r="E347" t="s">
        <v>119</v>
      </c>
      <c r="F347" t="s">
        <v>77</v>
      </c>
      <c r="G347" t="s">
        <v>253</v>
      </c>
    </row>
    <row r="348" spans="1:8" hidden="1" x14ac:dyDescent="0.2">
      <c r="A348" t="s">
        <v>266</v>
      </c>
      <c r="B348">
        <f>-940.907622084545/35116655.8454604</f>
        <v>-2.679377063195435E-5</v>
      </c>
      <c r="C348" t="s">
        <v>133</v>
      </c>
      <c r="E348" t="s">
        <v>119</v>
      </c>
      <c r="F348" t="s">
        <v>77</v>
      </c>
      <c r="G348" t="s">
        <v>253</v>
      </c>
    </row>
    <row r="349" spans="1:8" hidden="1" x14ac:dyDescent="0.2">
      <c r="A349" t="s">
        <v>263</v>
      </c>
      <c r="B349">
        <f>1599.55236661995/35116655.8454604</f>
        <v>4.5549678012028791E-5</v>
      </c>
      <c r="C349" t="s">
        <v>79</v>
      </c>
      <c r="E349" t="s">
        <v>4</v>
      </c>
      <c r="F349" t="s">
        <v>77</v>
      </c>
      <c r="G349" t="s">
        <v>272</v>
      </c>
    </row>
    <row r="350" spans="1:8" hidden="1" x14ac:dyDescent="0.2">
      <c r="A350" t="s">
        <v>264</v>
      </c>
      <c r="B350">
        <f>1621.42611656436/35116655.8454604</f>
        <v>4.6172566194795141E-5</v>
      </c>
      <c r="C350" t="s">
        <v>79</v>
      </c>
      <c r="E350" t="s">
        <v>435</v>
      </c>
      <c r="F350" t="s">
        <v>77</v>
      </c>
      <c r="G350" t="s">
        <v>273</v>
      </c>
    </row>
    <row r="351" spans="1:8" hidden="1" x14ac:dyDescent="0.2">
      <c r="A351" t="s">
        <v>261</v>
      </c>
      <c r="B351">
        <f>10467.5972956905/35116655.8454604</f>
        <v>2.9808069828049039E-4</v>
      </c>
      <c r="C351" t="s">
        <v>79</v>
      </c>
      <c r="E351" t="s">
        <v>53</v>
      </c>
      <c r="F351" t="s">
        <v>77</v>
      </c>
      <c r="G351" t="s">
        <v>268</v>
      </c>
    </row>
    <row r="352" spans="1:8" hidden="1" x14ac:dyDescent="0.2">
      <c r="A352" t="s">
        <v>252</v>
      </c>
      <c r="B352">
        <f>-868.709427972942/1000/35116655.8454604</f>
        <v>-2.4737817626937895E-8</v>
      </c>
      <c r="C352" t="s">
        <v>133</v>
      </c>
      <c r="E352" t="s">
        <v>119</v>
      </c>
      <c r="F352" t="s">
        <v>77</v>
      </c>
      <c r="G352" t="s">
        <v>253</v>
      </c>
    </row>
    <row r="353" spans="1:8" hidden="1" x14ac:dyDescent="0.2">
      <c r="A353" t="s">
        <v>266</v>
      </c>
      <c r="B353">
        <f>-943.196952623594/35116655.8454604</f>
        <v>-2.6858962788893322E-5</v>
      </c>
      <c r="C353" t="s">
        <v>133</v>
      </c>
      <c r="E353" t="s">
        <v>119</v>
      </c>
      <c r="F353" t="s">
        <v>77</v>
      </c>
      <c r="G353" t="s">
        <v>253</v>
      </c>
    </row>
    <row r="354" spans="1:8" hidden="1" x14ac:dyDescent="0.2">
      <c r="A354" t="s">
        <v>260</v>
      </c>
      <c r="B354">
        <f>2351.15891963723/35116655.8454604</f>
        <v>6.6952813786827861E-5</v>
      </c>
      <c r="C354" t="s">
        <v>79</v>
      </c>
      <c r="E354" t="s">
        <v>4</v>
      </c>
      <c r="F354" t="s">
        <v>77</v>
      </c>
      <c r="G354" t="s">
        <v>267</v>
      </c>
    </row>
    <row r="355" spans="1:8" hidden="1" x14ac:dyDescent="0.2">
      <c r="A355" t="s">
        <v>106</v>
      </c>
      <c r="B355">
        <f>1039.50443546361/35116655.8454604</f>
        <v>2.9601464331860312E-5</v>
      </c>
      <c r="C355" t="s">
        <v>79</v>
      </c>
      <c r="E355" t="s">
        <v>4</v>
      </c>
      <c r="F355" t="s">
        <v>77</v>
      </c>
      <c r="G355" t="s">
        <v>107</v>
      </c>
    </row>
    <row r="356" spans="1:8" hidden="1" x14ac:dyDescent="0.2">
      <c r="A356" t="s">
        <v>261</v>
      </c>
      <c r="B356">
        <f>10493.0660979375/35116655.8454604</f>
        <v>2.9880596102643868E-4</v>
      </c>
      <c r="C356" t="s">
        <v>79</v>
      </c>
      <c r="E356" t="s">
        <v>53</v>
      </c>
      <c r="F356" t="s">
        <v>77</v>
      </c>
      <c r="G356" t="s">
        <v>268</v>
      </c>
    </row>
    <row r="357" spans="1:8" hidden="1" x14ac:dyDescent="0.2">
      <c r="A357" t="s">
        <v>252</v>
      </c>
      <c r="B357">
        <f>-1032.67097354185/1000/35116655.8454604</f>
        <v>-2.9406871146454715E-8</v>
      </c>
      <c r="C357" t="s">
        <v>133</v>
      </c>
      <c r="E357" t="s">
        <v>119</v>
      </c>
      <c r="F357" t="s">
        <v>77</v>
      </c>
      <c r="G357" t="s">
        <v>253</v>
      </c>
    </row>
    <row r="358" spans="1:8" hidden="1" x14ac:dyDescent="0.2">
      <c r="A358" t="s">
        <v>261</v>
      </c>
      <c r="B358">
        <f>13404.6327615407/35116655.8454604</f>
        <v>3.8171723470854199E-4</v>
      </c>
      <c r="C358" t="s">
        <v>79</v>
      </c>
      <c r="E358" t="s">
        <v>53</v>
      </c>
      <c r="F358" t="s">
        <v>77</v>
      </c>
      <c r="G358" t="s">
        <v>268</v>
      </c>
    </row>
    <row r="359" spans="1:8" hidden="1" x14ac:dyDescent="0.2">
      <c r="A359" t="s">
        <v>266</v>
      </c>
      <c r="B359">
        <f>-1697.98441170502/35116655.8454604</f>
        <v>-4.835267968503105E-5</v>
      </c>
      <c r="C359" t="s">
        <v>133</v>
      </c>
      <c r="E359" t="s">
        <v>119</v>
      </c>
      <c r="F359" t="s">
        <v>77</v>
      </c>
      <c r="G359" t="s">
        <v>253</v>
      </c>
    </row>
    <row r="360" spans="1:8" hidden="1" x14ac:dyDescent="0.2">
      <c r="A360" t="s">
        <v>114</v>
      </c>
      <c r="B360">
        <f>105192/35116655.8454604</f>
        <v>2.9955016349769645E-3</v>
      </c>
      <c r="C360" t="s">
        <v>133</v>
      </c>
      <c r="E360" t="s">
        <v>92</v>
      </c>
      <c r="F360" t="s">
        <v>77</v>
      </c>
      <c r="G360" t="s">
        <v>121</v>
      </c>
      <c r="H360" t="s">
        <v>209</v>
      </c>
    </row>
    <row r="361" spans="1:8" hidden="1" x14ac:dyDescent="0.2">
      <c r="A361" t="s">
        <v>95</v>
      </c>
      <c r="B361">
        <f>-475/35116655.8454604</f>
        <v>-1.352634493701097E-5</v>
      </c>
      <c r="C361" t="s">
        <v>79</v>
      </c>
      <c r="E361" t="s">
        <v>92</v>
      </c>
      <c r="F361" t="s">
        <v>77</v>
      </c>
      <c r="G361" t="s">
        <v>127</v>
      </c>
    </row>
    <row r="362" spans="1:8" hidden="1" x14ac:dyDescent="0.2">
      <c r="A362" t="s">
        <v>130</v>
      </c>
      <c r="B362">
        <f>-25/35116655.8454604</f>
        <v>-7.1191289142163E-7</v>
      </c>
      <c r="C362" t="s">
        <v>79</v>
      </c>
      <c r="E362" t="s">
        <v>119</v>
      </c>
      <c r="F362" t="s">
        <v>77</v>
      </c>
      <c r="G362" t="s">
        <v>131</v>
      </c>
    </row>
    <row r="363" spans="1:8" hidden="1" x14ac:dyDescent="0.2">
      <c r="A363" t="s">
        <v>389</v>
      </c>
      <c r="B363">
        <f>-(16594290.8653846+438300)/35116655.8454604</f>
        <v>-0.4850288404551038</v>
      </c>
      <c r="C363" t="s">
        <v>133</v>
      </c>
      <c r="E363" t="s">
        <v>92</v>
      </c>
      <c r="F363" t="s">
        <v>77</v>
      </c>
      <c r="G363" t="s">
        <v>390</v>
      </c>
      <c r="H363" t="s">
        <v>211</v>
      </c>
    </row>
    <row r="364" spans="1:8" hidden="1" x14ac:dyDescent="0.2">
      <c r="A364" t="s">
        <v>206</v>
      </c>
      <c r="B364">
        <f>-90604.828125/35116655.8454604</f>
        <v>-2.5801098066891431E-3</v>
      </c>
      <c r="C364" t="s">
        <v>133</v>
      </c>
      <c r="E364" t="s">
        <v>92</v>
      </c>
      <c r="F364" t="s">
        <v>77</v>
      </c>
      <c r="G364" t="s">
        <v>213</v>
      </c>
      <c r="H364" t="s">
        <v>207</v>
      </c>
    </row>
    <row r="365" spans="1:8" hidden="1" x14ac:dyDescent="0.2">
      <c r="A365" t="s">
        <v>206</v>
      </c>
      <c r="B365">
        <f>362419.3125/35116655.8454604</f>
        <v>1.0320439226756573E-2</v>
      </c>
      <c r="C365" t="s">
        <v>133</v>
      </c>
      <c r="E365" t="s">
        <v>92</v>
      </c>
      <c r="F365" t="s">
        <v>77</v>
      </c>
      <c r="G365" t="s">
        <v>208</v>
      </c>
      <c r="H365" t="s">
        <v>207</v>
      </c>
    </row>
    <row r="366" spans="1:8" hidden="1" x14ac:dyDescent="0.2"/>
    <row r="367" spans="1:8" hidden="1" x14ac:dyDescent="0.2"/>
    <row r="368" spans="1:8" ht="16" hidden="1" x14ac:dyDescent="0.2">
      <c r="A368" s="2" t="s">
        <v>1</v>
      </c>
      <c r="B368" s="2" t="s">
        <v>286</v>
      </c>
    </row>
    <row r="369" spans="1:8" ht="16" hidden="1" x14ac:dyDescent="0.2">
      <c r="A369" s="5" t="s">
        <v>2</v>
      </c>
      <c r="B369" s="5" t="s">
        <v>274</v>
      </c>
    </row>
    <row r="370" spans="1:8" hidden="1" x14ac:dyDescent="0.2">
      <c r="A370" t="s">
        <v>3</v>
      </c>
      <c r="B370" t="s">
        <v>92</v>
      </c>
    </row>
    <row r="371" spans="1:8" hidden="1" x14ac:dyDescent="0.2">
      <c r="A371" t="s">
        <v>5</v>
      </c>
      <c r="B371">
        <v>1</v>
      </c>
    </row>
    <row r="372" spans="1:8" hidden="1" x14ac:dyDescent="0.2">
      <c r="A372" t="s">
        <v>6</v>
      </c>
      <c r="B372" t="s">
        <v>287</v>
      </c>
    </row>
    <row r="373" spans="1:8" hidden="1" x14ac:dyDescent="0.2">
      <c r="A373" t="s">
        <v>7</v>
      </c>
      <c r="B373" t="s">
        <v>7</v>
      </c>
    </row>
    <row r="374" spans="1:8" hidden="1" x14ac:dyDescent="0.2">
      <c r="A374" t="s">
        <v>8</v>
      </c>
      <c r="B374" t="s">
        <v>16</v>
      </c>
    </row>
    <row r="375" spans="1:8" hidden="1" x14ac:dyDescent="0.2">
      <c r="A375" s="1" t="s">
        <v>9</v>
      </c>
      <c r="B375" s="1"/>
      <c r="C375" s="1"/>
      <c r="D375" s="1"/>
      <c r="E375" s="1"/>
      <c r="F375" s="1"/>
      <c r="G375" s="1"/>
    </row>
    <row r="376" spans="1:8" hidden="1" x14ac:dyDescent="0.2">
      <c r="A376" s="1" t="s">
        <v>10</v>
      </c>
      <c r="B376" s="1" t="s">
        <v>11</v>
      </c>
      <c r="C376" s="1" t="s">
        <v>7</v>
      </c>
      <c r="D376" s="1" t="s">
        <v>12</v>
      </c>
      <c r="E376" s="1" t="s">
        <v>3</v>
      </c>
      <c r="F376" s="1" t="s">
        <v>13</v>
      </c>
      <c r="G376" s="1" t="s">
        <v>6</v>
      </c>
      <c r="H376" s="1" t="s">
        <v>2</v>
      </c>
    </row>
    <row r="377" spans="1:8" hidden="1" x14ac:dyDescent="0.2">
      <c r="A377" t="str">
        <f>B368</f>
        <v>perovskite cell curing 1</v>
      </c>
      <c r="B377" s="3">
        <f>35066568.3948119/35066568.3948119</f>
        <v>1</v>
      </c>
      <c r="C377" t="s">
        <v>7</v>
      </c>
      <c r="E377" t="str">
        <f>B370</f>
        <v>DE</v>
      </c>
      <c r="F377" t="s">
        <v>14</v>
      </c>
      <c r="G377" t="str">
        <f>B372</f>
        <v>cured perovskite cell 1</v>
      </c>
    </row>
    <row r="378" spans="1:8" hidden="1" x14ac:dyDescent="0.2">
      <c r="A378" t="s">
        <v>258</v>
      </c>
      <c r="B378">
        <f>35116655.8454604/35066568.3948119</f>
        <v>1.0014283533559534</v>
      </c>
      <c r="C378" t="s">
        <v>7</v>
      </c>
      <c r="E378" t="s">
        <v>92</v>
      </c>
      <c r="F378" t="s">
        <v>77</v>
      </c>
      <c r="G378" t="s">
        <v>259</v>
      </c>
    </row>
    <row r="379" spans="1:8" hidden="1" x14ac:dyDescent="0.2">
      <c r="A379" t="s">
        <v>51</v>
      </c>
      <c r="B379">
        <f>(1262304+946717.4808)/3.6/35066568.3948119</f>
        <v>1.7498634913212227E-2</v>
      </c>
      <c r="C379" t="s">
        <v>81</v>
      </c>
      <c r="E379" t="s">
        <v>119</v>
      </c>
      <c r="F379" t="s">
        <v>77</v>
      </c>
      <c r="G379" t="s">
        <v>52</v>
      </c>
    </row>
    <row r="380" spans="1:8" hidden="1" x14ac:dyDescent="0.2">
      <c r="A380" t="s">
        <v>206</v>
      </c>
      <c r="B380">
        <f>52596/35066568.3948119</f>
        <v>1.499890134895024E-3</v>
      </c>
      <c r="C380" t="s">
        <v>133</v>
      </c>
      <c r="E380" t="s">
        <v>92</v>
      </c>
      <c r="F380" t="s">
        <v>77</v>
      </c>
      <c r="G380" t="s">
        <v>208</v>
      </c>
      <c r="H380" t="s">
        <v>207</v>
      </c>
    </row>
    <row r="381" spans="1:8" hidden="1" x14ac:dyDescent="0.2">
      <c r="A381" t="s">
        <v>114</v>
      </c>
      <c r="B381">
        <f>210384/35066568.3948119</f>
        <v>5.999560539580096E-3</v>
      </c>
      <c r="C381" t="s">
        <v>133</v>
      </c>
      <c r="E381" t="s">
        <v>92</v>
      </c>
      <c r="F381" t="s">
        <v>77</v>
      </c>
      <c r="G381" t="s">
        <v>121</v>
      </c>
      <c r="H381" t="s">
        <v>209</v>
      </c>
    </row>
    <row r="382" spans="1:8" hidden="1" x14ac:dyDescent="0.2">
      <c r="A382" t="s">
        <v>95</v>
      </c>
      <c r="B382">
        <f>-475/35066568.3948119</f>
        <v>-1.3545665337195535E-5</v>
      </c>
      <c r="C382" t="s">
        <v>79</v>
      </c>
      <c r="E382" t="s">
        <v>92</v>
      </c>
      <c r="F382" t="s">
        <v>77</v>
      </c>
      <c r="G382" t="s">
        <v>127</v>
      </c>
    </row>
    <row r="383" spans="1:8" hidden="1" x14ac:dyDescent="0.2">
      <c r="A383" t="s">
        <v>130</v>
      </c>
      <c r="B383">
        <f>-25/35066568.3948119</f>
        <v>-7.1292975458923871E-7</v>
      </c>
      <c r="C383" t="s">
        <v>79</v>
      </c>
      <c r="E383" t="s">
        <v>119</v>
      </c>
      <c r="F383" t="s">
        <v>77</v>
      </c>
      <c r="G383" t="s">
        <v>131</v>
      </c>
    </row>
    <row r="384" spans="1:8" hidden="1" x14ac:dyDescent="0.2">
      <c r="A384" t="s">
        <v>206</v>
      </c>
      <c r="B384">
        <f>-13149/35066568.3948119</f>
        <v>-3.74972533723756E-4</v>
      </c>
      <c r="C384" t="s">
        <v>133</v>
      </c>
      <c r="E384" t="s">
        <v>92</v>
      </c>
      <c r="F384" t="s">
        <v>77</v>
      </c>
      <c r="G384" t="s">
        <v>213</v>
      </c>
      <c r="H384" t="s">
        <v>207</v>
      </c>
    </row>
    <row r="385" spans="1:8" hidden="1" x14ac:dyDescent="0.2">
      <c r="A385" t="s">
        <v>389</v>
      </c>
      <c r="B385">
        <f>-87660/35066568.3948119</f>
        <v>-2.4998168914917066E-3</v>
      </c>
      <c r="C385" t="s">
        <v>133</v>
      </c>
      <c r="E385" t="s">
        <v>92</v>
      </c>
      <c r="F385" t="s">
        <v>77</v>
      </c>
      <c r="G385" t="s">
        <v>390</v>
      </c>
      <c r="H385" t="s">
        <v>211</v>
      </c>
    </row>
    <row r="386" spans="1:8" hidden="1" x14ac:dyDescent="0.2"/>
    <row r="387" spans="1:8" hidden="1" x14ac:dyDescent="0.2"/>
    <row r="388" spans="1:8" ht="16" hidden="1" x14ac:dyDescent="0.2">
      <c r="A388" s="2" t="s">
        <v>1</v>
      </c>
      <c r="B388" s="2" t="s">
        <v>276</v>
      </c>
    </row>
    <row r="389" spans="1:8" ht="16" hidden="1" x14ac:dyDescent="0.2">
      <c r="A389" s="5" t="s">
        <v>2</v>
      </c>
      <c r="B389" s="5" t="s">
        <v>275</v>
      </c>
    </row>
    <row r="390" spans="1:8" hidden="1" x14ac:dyDescent="0.2">
      <c r="A390" t="s">
        <v>3</v>
      </c>
      <c r="B390" t="s">
        <v>92</v>
      </c>
    </row>
    <row r="391" spans="1:8" hidden="1" x14ac:dyDescent="0.2">
      <c r="A391" t="s">
        <v>5</v>
      </c>
      <c r="B391">
        <v>1</v>
      </c>
    </row>
    <row r="392" spans="1:8" hidden="1" x14ac:dyDescent="0.2">
      <c r="A392" t="s">
        <v>6</v>
      </c>
      <c r="B392" t="s">
        <v>277</v>
      </c>
    </row>
    <row r="393" spans="1:8" hidden="1" x14ac:dyDescent="0.2">
      <c r="A393" t="s">
        <v>7</v>
      </c>
      <c r="B393" t="s">
        <v>7</v>
      </c>
    </row>
    <row r="394" spans="1:8" hidden="1" x14ac:dyDescent="0.2">
      <c r="A394" t="s">
        <v>8</v>
      </c>
      <c r="B394" t="s">
        <v>16</v>
      </c>
    </row>
    <row r="395" spans="1:8" hidden="1" x14ac:dyDescent="0.2">
      <c r="A395" s="1" t="s">
        <v>9</v>
      </c>
      <c r="B395" s="1"/>
      <c r="C395" s="1"/>
      <c r="D395" s="1"/>
      <c r="E395" s="1"/>
      <c r="F395" s="1"/>
      <c r="G395" s="1"/>
    </row>
    <row r="396" spans="1:8" hidden="1" x14ac:dyDescent="0.2">
      <c r="A396" s="1" t="s">
        <v>10</v>
      </c>
      <c r="B396" s="1" t="s">
        <v>11</v>
      </c>
      <c r="C396" s="1" t="s">
        <v>7</v>
      </c>
      <c r="D396" s="1" t="s">
        <v>12</v>
      </c>
      <c r="E396" s="1" t="s">
        <v>3</v>
      </c>
      <c r="F396" s="1" t="s">
        <v>13</v>
      </c>
      <c r="G396" s="1" t="s">
        <v>6</v>
      </c>
      <c r="H396" s="1" t="s">
        <v>2</v>
      </c>
    </row>
    <row r="397" spans="1:8" hidden="1" x14ac:dyDescent="0.2">
      <c r="A397" t="str">
        <f>B388</f>
        <v>perovskite cell zinc oxide deposition</v>
      </c>
      <c r="B397" s="3">
        <f>35016480.9441634/35016480.9441634</f>
        <v>1</v>
      </c>
      <c r="C397" t="s">
        <v>7</v>
      </c>
      <c r="E397" t="str">
        <f>B390</f>
        <v>DE</v>
      </c>
      <c r="F397" t="s">
        <v>14</v>
      </c>
      <c r="G397" t="str">
        <f>B392</f>
        <v>zinc oxide deposited perovskite cell</v>
      </c>
    </row>
    <row r="398" spans="1:8" hidden="1" x14ac:dyDescent="0.2">
      <c r="A398" t="s">
        <v>286</v>
      </c>
      <c r="B398">
        <f>35066568.3948119/35016480.9441634</f>
        <v>1.0014303964675482</v>
      </c>
      <c r="C398" t="s">
        <v>7</v>
      </c>
      <c r="E398" t="s">
        <v>92</v>
      </c>
      <c r="F398" t="s">
        <v>77</v>
      </c>
      <c r="G398" t="s">
        <v>287</v>
      </c>
    </row>
    <row r="399" spans="1:8" hidden="1" x14ac:dyDescent="0.2">
      <c r="A399" t="s">
        <v>278</v>
      </c>
      <c r="B399">
        <f>70/35016480.9441634</f>
        <v>1.9990586750170768E-6</v>
      </c>
      <c r="C399" t="s">
        <v>79</v>
      </c>
      <c r="E399" t="s">
        <v>4</v>
      </c>
      <c r="F399" t="s">
        <v>77</v>
      </c>
      <c r="G399" t="s">
        <v>279</v>
      </c>
    </row>
    <row r="400" spans="1:8" hidden="1" x14ac:dyDescent="0.2">
      <c r="A400" t="s">
        <v>115</v>
      </c>
      <c r="B400">
        <f>525.96*0.0014/35016480.9441634</f>
        <v>2.1028498014239634E-8</v>
      </c>
      <c r="C400" t="s">
        <v>79</v>
      </c>
      <c r="E400" t="s">
        <v>53</v>
      </c>
      <c r="F400" t="s">
        <v>77</v>
      </c>
      <c r="G400" t="s">
        <v>116</v>
      </c>
      <c r="H400" t="s">
        <v>282</v>
      </c>
    </row>
    <row r="401" spans="1:8" hidden="1" x14ac:dyDescent="0.2">
      <c r="A401" t="s">
        <v>145</v>
      </c>
      <c r="B401">
        <f>52596*0.0018/35016480.9441634</f>
        <v>2.7036640304022388E-6</v>
      </c>
      <c r="C401" t="s">
        <v>79</v>
      </c>
      <c r="E401" t="s">
        <v>53</v>
      </c>
      <c r="F401" t="s">
        <v>77</v>
      </c>
      <c r="G401" t="s">
        <v>146</v>
      </c>
      <c r="H401" t="s">
        <v>280</v>
      </c>
    </row>
    <row r="402" spans="1:8" hidden="1" x14ac:dyDescent="0.2">
      <c r="A402" t="s">
        <v>117</v>
      </c>
      <c r="B402">
        <f>13149000*0.0013/35016480.9441634</f>
        <v>4.8816156104484869E-4</v>
      </c>
      <c r="C402" t="s">
        <v>79</v>
      </c>
      <c r="E402" t="s">
        <v>53</v>
      </c>
      <c r="F402" t="s">
        <v>77</v>
      </c>
      <c r="G402" t="s">
        <v>118</v>
      </c>
      <c r="H402" t="s">
        <v>281</v>
      </c>
    </row>
    <row r="403" spans="1:8" hidden="1" x14ac:dyDescent="0.2">
      <c r="A403" t="s">
        <v>51</v>
      </c>
      <c r="B403">
        <f>(315576+315576)/3.6/35016480.9441634</f>
        <v>5.0067852414856272E-3</v>
      </c>
      <c r="C403" t="s">
        <v>81</v>
      </c>
      <c r="E403" t="s">
        <v>119</v>
      </c>
      <c r="F403" t="s">
        <v>77</v>
      </c>
      <c r="G403" t="s">
        <v>52</v>
      </c>
    </row>
    <row r="404" spans="1:8" hidden="1" x14ac:dyDescent="0.2">
      <c r="A404" t="s">
        <v>206</v>
      </c>
      <c r="B404">
        <f>30681/35016480.9441634</f>
        <v>8.7618741725998476E-4</v>
      </c>
      <c r="C404" t="s">
        <v>133</v>
      </c>
      <c r="E404" t="s">
        <v>92</v>
      </c>
      <c r="F404" t="s">
        <v>77</v>
      </c>
      <c r="G404" t="s">
        <v>208</v>
      </c>
      <c r="H404" t="s">
        <v>207</v>
      </c>
    </row>
    <row r="405" spans="1:8" hidden="1" x14ac:dyDescent="0.2">
      <c r="A405" t="s">
        <v>114</v>
      </c>
      <c r="B405">
        <f>15778.8/35016480.9441634</f>
        <v>4.5061067173370642E-4</v>
      </c>
      <c r="C405" t="s">
        <v>133</v>
      </c>
      <c r="E405" t="s">
        <v>92</v>
      </c>
      <c r="F405" t="s">
        <v>77</v>
      </c>
      <c r="G405" t="s">
        <v>121</v>
      </c>
      <c r="H405" t="s">
        <v>209</v>
      </c>
    </row>
    <row r="406" spans="1:8" hidden="1" x14ac:dyDescent="0.2">
      <c r="A406" t="s">
        <v>95</v>
      </c>
      <c r="B406">
        <f>-475/35016480.9441634</f>
        <v>-1.356504100904445E-5</v>
      </c>
      <c r="C406" t="s">
        <v>79</v>
      </c>
      <c r="E406" t="s">
        <v>92</v>
      </c>
      <c r="F406" t="s">
        <v>77</v>
      </c>
      <c r="G406" t="s">
        <v>127</v>
      </c>
    </row>
    <row r="407" spans="1:8" hidden="1" x14ac:dyDescent="0.2">
      <c r="A407" t="s">
        <v>130</v>
      </c>
      <c r="B407">
        <f>-25/35016480.9441634</f>
        <v>-7.1394952679181311E-7</v>
      </c>
      <c r="C407" t="s">
        <v>79</v>
      </c>
      <c r="E407" t="s">
        <v>119</v>
      </c>
      <c r="F407" t="s">
        <v>77</v>
      </c>
      <c r="G407" t="s">
        <v>131</v>
      </c>
    </row>
    <row r="408" spans="1:8" hidden="1" x14ac:dyDescent="0.2">
      <c r="A408" t="s">
        <v>389</v>
      </c>
      <c r="B408">
        <f>-438300/35016480.9441634</f>
        <v>-1.2516963103714068E-2</v>
      </c>
      <c r="C408" t="s">
        <v>133</v>
      </c>
      <c r="E408" t="s">
        <v>92</v>
      </c>
      <c r="F408" t="s">
        <v>77</v>
      </c>
      <c r="G408" t="s">
        <v>390</v>
      </c>
      <c r="H408" t="s">
        <v>211</v>
      </c>
    </row>
    <row r="409" spans="1:8" hidden="1" x14ac:dyDescent="0.2">
      <c r="A409" t="s">
        <v>206</v>
      </c>
      <c r="B409">
        <f>-7670.25/35016480.9441634</f>
        <v>-2.1904685431499619E-4</v>
      </c>
      <c r="C409" t="s">
        <v>133</v>
      </c>
      <c r="E409" t="s">
        <v>92</v>
      </c>
      <c r="F409" t="s">
        <v>77</v>
      </c>
      <c r="G409" t="s">
        <v>213</v>
      </c>
      <c r="H409" t="s">
        <v>207</v>
      </c>
    </row>
    <row r="410" spans="1:8" hidden="1" x14ac:dyDescent="0.2"/>
    <row r="411" spans="1:8" hidden="1" x14ac:dyDescent="0.2"/>
    <row r="412" spans="1:8" ht="16" hidden="1" x14ac:dyDescent="0.2">
      <c r="A412" s="2" t="s">
        <v>1</v>
      </c>
      <c r="B412" s="2" t="s">
        <v>283</v>
      </c>
    </row>
    <row r="413" spans="1:8" ht="16" hidden="1" x14ac:dyDescent="0.2">
      <c r="A413" s="5" t="s">
        <v>2</v>
      </c>
      <c r="B413" s="5" t="s">
        <v>285</v>
      </c>
    </row>
    <row r="414" spans="1:8" hidden="1" x14ac:dyDescent="0.2">
      <c r="A414" t="s">
        <v>3</v>
      </c>
      <c r="B414" t="s">
        <v>92</v>
      </c>
    </row>
    <row r="415" spans="1:8" hidden="1" x14ac:dyDescent="0.2">
      <c r="A415" t="s">
        <v>5</v>
      </c>
      <c r="B415">
        <v>1</v>
      </c>
    </row>
    <row r="416" spans="1:8" hidden="1" x14ac:dyDescent="0.2">
      <c r="A416" t="s">
        <v>6</v>
      </c>
      <c r="B416" t="s">
        <v>284</v>
      </c>
    </row>
    <row r="417" spans="1:8" hidden="1" x14ac:dyDescent="0.2">
      <c r="A417" t="s">
        <v>7</v>
      </c>
      <c r="B417" t="s">
        <v>7</v>
      </c>
    </row>
    <row r="418" spans="1:8" hidden="1" x14ac:dyDescent="0.2">
      <c r="A418" t="s">
        <v>8</v>
      </c>
      <c r="B418" t="s">
        <v>16</v>
      </c>
    </row>
    <row r="419" spans="1:8" hidden="1" x14ac:dyDescent="0.2">
      <c r="A419" s="1" t="s">
        <v>9</v>
      </c>
      <c r="B419" s="1"/>
      <c r="C419" s="1"/>
      <c r="D419" s="1"/>
      <c r="E419" s="1"/>
      <c r="F419" s="1"/>
      <c r="G419" s="1"/>
    </row>
    <row r="420" spans="1:8" hidden="1" x14ac:dyDescent="0.2">
      <c r="A420" s="1" t="s">
        <v>10</v>
      </c>
      <c r="B420" s="1" t="s">
        <v>11</v>
      </c>
      <c r="C420" s="1" t="s">
        <v>7</v>
      </c>
      <c r="D420" s="1" t="s">
        <v>12</v>
      </c>
      <c r="E420" s="1" t="s">
        <v>3</v>
      </c>
      <c r="F420" s="1" t="s">
        <v>13</v>
      </c>
      <c r="G420" s="1" t="s">
        <v>6</v>
      </c>
      <c r="H420" s="1" t="s">
        <v>2</v>
      </c>
    </row>
    <row r="421" spans="1:8" hidden="1" x14ac:dyDescent="0.2">
      <c r="A421" t="str">
        <f>B412</f>
        <v>sputter process 3, perovskite cell</v>
      </c>
      <c r="B421" s="3">
        <f>34966393.4935149/34966393.4935149</f>
        <v>1</v>
      </c>
      <c r="C421" t="s">
        <v>7</v>
      </c>
      <c r="E421" t="str">
        <f>B414</f>
        <v>DE</v>
      </c>
      <c r="F421" t="s">
        <v>14</v>
      </c>
      <c r="G421" t="str">
        <f>B416</f>
        <v>perovskite cell, sputtered 3</v>
      </c>
    </row>
    <row r="422" spans="1:8" hidden="1" x14ac:dyDescent="0.2">
      <c r="A422" t="s">
        <v>276</v>
      </c>
      <c r="B422" s="3">
        <f>35016480.9441634/34966393.4935149</f>
        <v>1.0014324454324346</v>
      </c>
      <c r="C422" t="s">
        <v>7</v>
      </c>
      <c r="E422" t="s">
        <v>92</v>
      </c>
      <c r="F422" t="s">
        <v>77</v>
      </c>
      <c r="G422" t="s">
        <v>277</v>
      </c>
    </row>
    <row r="423" spans="1:8" hidden="1" x14ac:dyDescent="0.2">
      <c r="A423" t="s">
        <v>217</v>
      </c>
      <c r="B423">
        <f>515.294117647059/34966393.4935149</f>
        <v>1.473683918081597E-5</v>
      </c>
      <c r="C423" t="s">
        <v>79</v>
      </c>
      <c r="E423" t="s">
        <v>53</v>
      </c>
      <c r="F423" t="s">
        <v>77</v>
      </c>
      <c r="G423" t="s">
        <v>218</v>
      </c>
    </row>
    <row r="424" spans="1:8" hidden="1" x14ac:dyDescent="0.2">
      <c r="A424" t="s">
        <v>115</v>
      </c>
      <c r="B424">
        <f>7889.4*0.0014/34966393.4935149</f>
        <v>3.1587930285256635E-7</v>
      </c>
      <c r="C424" t="s">
        <v>79</v>
      </c>
      <c r="E424" t="s">
        <v>53</v>
      </c>
      <c r="F424" t="s">
        <v>77</v>
      </c>
      <c r="G424" t="s">
        <v>116</v>
      </c>
      <c r="H424" t="s">
        <v>282</v>
      </c>
    </row>
    <row r="425" spans="1:8" hidden="1" x14ac:dyDescent="0.2">
      <c r="A425" t="s">
        <v>145</v>
      </c>
      <c r="B425">
        <f>368172*0.0018/34966393.4935149</f>
        <v>1.8952758171153982E-5</v>
      </c>
      <c r="C425" t="s">
        <v>79</v>
      </c>
      <c r="E425" t="s">
        <v>53</v>
      </c>
      <c r="F425" t="s">
        <v>77</v>
      </c>
      <c r="G425" t="s">
        <v>146</v>
      </c>
      <c r="H425" t="s">
        <v>280</v>
      </c>
    </row>
    <row r="426" spans="1:8" hidden="1" x14ac:dyDescent="0.2">
      <c r="A426" t="s">
        <v>117</v>
      </c>
      <c r="B426">
        <f>115711200*0.0013/34966393.4935149</f>
        <v>4.3019752674206659E-3</v>
      </c>
      <c r="C426" t="s">
        <v>79</v>
      </c>
      <c r="E426" t="s">
        <v>53</v>
      </c>
      <c r="F426" t="s">
        <v>77</v>
      </c>
      <c r="G426" t="s">
        <v>118</v>
      </c>
      <c r="H426" t="s">
        <v>281</v>
      </c>
    </row>
    <row r="427" spans="1:8" hidden="1" x14ac:dyDescent="0.2">
      <c r="A427" t="s">
        <v>51</v>
      </c>
      <c r="B427" s="4">
        <f>(1893456+2524608)/3.6/34966393.4935149</f>
        <v>3.5097700316951821E-2</v>
      </c>
      <c r="C427" t="s">
        <v>81</v>
      </c>
      <c r="E427" t="s">
        <v>119</v>
      </c>
      <c r="F427" t="s">
        <v>77</v>
      </c>
      <c r="G427" t="s">
        <v>52</v>
      </c>
    </row>
    <row r="428" spans="1:8" hidden="1" x14ac:dyDescent="0.2">
      <c r="A428" t="s">
        <v>206</v>
      </c>
      <c r="B428">
        <f>219150/34966393.4935149</f>
        <v>6.2674464851699679E-3</v>
      </c>
      <c r="C428" t="s">
        <v>133</v>
      </c>
      <c r="E428" t="s">
        <v>92</v>
      </c>
      <c r="F428" t="s">
        <v>77</v>
      </c>
      <c r="G428" t="s">
        <v>208</v>
      </c>
      <c r="H428" t="s">
        <v>207</v>
      </c>
    </row>
    <row r="429" spans="1:8" hidden="1" x14ac:dyDescent="0.2">
      <c r="A429" t="s">
        <v>114</v>
      </c>
      <c r="B429">
        <f>105192/34966393.4935149</f>
        <v>3.0083743128815842E-3</v>
      </c>
      <c r="C429" t="s">
        <v>133</v>
      </c>
      <c r="E429" t="s">
        <v>92</v>
      </c>
      <c r="F429" t="s">
        <v>77</v>
      </c>
      <c r="G429" t="s">
        <v>121</v>
      </c>
      <c r="H429" t="s">
        <v>209</v>
      </c>
    </row>
    <row r="430" spans="1:8" hidden="1" x14ac:dyDescent="0.2">
      <c r="A430" t="s">
        <v>95</v>
      </c>
      <c r="B430">
        <f>-475/34966393.4935149</f>
        <v>-1.3584472190078642E-5</v>
      </c>
      <c r="C430" t="s">
        <v>79</v>
      </c>
      <c r="E430" t="s">
        <v>92</v>
      </c>
      <c r="F430" t="s">
        <v>77</v>
      </c>
      <c r="G430" t="s">
        <v>127</v>
      </c>
    </row>
    <row r="431" spans="1:8" hidden="1" x14ac:dyDescent="0.2">
      <c r="A431" t="s">
        <v>130</v>
      </c>
      <c r="B431">
        <f>-25/34966393.4935149</f>
        <v>-7.1497222053045487E-7</v>
      </c>
      <c r="C431" t="s">
        <v>79</v>
      </c>
      <c r="E431" t="s">
        <v>119</v>
      </c>
      <c r="F431" t="s">
        <v>77</v>
      </c>
      <c r="G431" t="s">
        <v>131</v>
      </c>
    </row>
    <row r="432" spans="1:8" hidden="1" x14ac:dyDescent="0.2">
      <c r="A432" t="s">
        <v>206</v>
      </c>
      <c r="B432">
        <f>-54787.5/34966393.4935149</f>
        <v>-1.566861621292492E-3</v>
      </c>
      <c r="C432" t="s">
        <v>133</v>
      </c>
      <c r="E432" t="s">
        <v>92</v>
      </c>
      <c r="F432" t="s">
        <v>77</v>
      </c>
      <c r="G432" t="s">
        <v>213</v>
      </c>
      <c r="H432" t="s">
        <v>207</v>
      </c>
    </row>
    <row r="433" spans="1:8" hidden="1" x14ac:dyDescent="0.2">
      <c r="A433" t="s">
        <v>389</v>
      </c>
      <c r="B433">
        <f>-2629800/34966393.4935149</f>
        <v>-7.5209357822039608E-2</v>
      </c>
      <c r="C433" t="s">
        <v>133</v>
      </c>
      <c r="E433" t="s">
        <v>92</v>
      </c>
      <c r="F433" t="s">
        <v>77</v>
      </c>
      <c r="G433" t="s">
        <v>390</v>
      </c>
      <c r="H433" t="s">
        <v>211</v>
      </c>
    </row>
    <row r="434" spans="1:8" hidden="1" x14ac:dyDescent="0.2"/>
    <row r="435" spans="1:8" hidden="1" x14ac:dyDescent="0.2"/>
    <row r="436" spans="1:8" ht="16" hidden="1" x14ac:dyDescent="0.2">
      <c r="A436" s="2" t="s">
        <v>1</v>
      </c>
      <c r="B436" s="2" t="s">
        <v>289</v>
      </c>
    </row>
    <row r="437" spans="1:8" ht="16" hidden="1" x14ac:dyDescent="0.2">
      <c r="A437" s="5" t="s">
        <v>2</v>
      </c>
      <c r="B437" s="5" t="s">
        <v>288</v>
      </c>
    </row>
    <row r="438" spans="1:8" hidden="1" x14ac:dyDescent="0.2">
      <c r="A438" t="s">
        <v>3</v>
      </c>
      <c r="B438" t="s">
        <v>92</v>
      </c>
    </row>
    <row r="439" spans="1:8" hidden="1" x14ac:dyDescent="0.2">
      <c r="A439" t="s">
        <v>5</v>
      </c>
      <c r="B439">
        <v>1</v>
      </c>
    </row>
    <row r="440" spans="1:8" hidden="1" x14ac:dyDescent="0.2">
      <c r="A440" t="s">
        <v>6</v>
      </c>
      <c r="B440" t="s">
        <v>290</v>
      </c>
    </row>
    <row r="441" spans="1:8" hidden="1" x14ac:dyDescent="0.2">
      <c r="A441" t="s">
        <v>7</v>
      </c>
      <c r="B441" t="s">
        <v>7</v>
      </c>
    </row>
    <row r="442" spans="1:8" hidden="1" x14ac:dyDescent="0.2">
      <c r="A442" t="s">
        <v>8</v>
      </c>
      <c r="B442" t="s">
        <v>16</v>
      </c>
    </row>
    <row r="443" spans="1:8" hidden="1" x14ac:dyDescent="0.2">
      <c r="A443" s="1" t="s">
        <v>9</v>
      </c>
      <c r="B443" s="1"/>
      <c r="C443" s="1"/>
      <c r="D443" s="1"/>
      <c r="E443" s="1"/>
      <c r="F443" s="1"/>
      <c r="G443" s="1"/>
    </row>
    <row r="444" spans="1:8" hidden="1" x14ac:dyDescent="0.2">
      <c r="A444" s="1" t="s">
        <v>10</v>
      </c>
      <c r="B444" s="1" t="s">
        <v>11</v>
      </c>
      <c r="C444" s="1" t="s">
        <v>7</v>
      </c>
      <c r="D444" s="1" t="s">
        <v>12</v>
      </c>
      <c r="E444" s="1" t="s">
        <v>3</v>
      </c>
      <c r="F444" s="1" t="s">
        <v>13</v>
      </c>
      <c r="G444" s="1" t="s">
        <v>6</v>
      </c>
      <c r="H444" s="1" t="s">
        <v>2</v>
      </c>
    </row>
    <row r="445" spans="1:8" hidden="1" x14ac:dyDescent="0.2">
      <c r="A445" t="str">
        <f>B436</f>
        <v>perovskite cell contact formation</v>
      </c>
      <c r="B445" s="3">
        <f>34916306.0428664/34916306.0428664</f>
        <v>1</v>
      </c>
      <c r="C445" t="s">
        <v>7</v>
      </c>
      <c r="E445" t="str">
        <f>B438</f>
        <v>DE</v>
      </c>
      <c r="F445" t="s">
        <v>14</v>
      </c>
      <c r="G445" t="str">
        <f>B440</f>
        <v>metallized perovskite cell</v>
      </c>
    </row>
    <row r="446" spans="1:8" hidden="1" x14ac:dyDescent="0.2">
      <c r="A446" t="s">
        <v>283</v>
      </c>
      <c r="B446">
        <f>34966393.4935149/34916306.0428664</f>
        <v>1.0014345002758027</v>
      </c>
      <c r="C446" t="s">
        <v>7</v>
      </c>
      <c r="E446" t="s">
        <v>92</v>
      </c>
      <c r="F446" t="s">
        <v>77</v>
      </c>
      <c r="G446" t="s">
        <v>284</v>
      </c>
    </row>
    <row r="447" spans="1:8" hidden="1" x14ac:dyDescent="0.2">
      <c r="A447" t="s">
        <v>250</v>
      </c>
      <c r="B447">
        <f>100.025/34916306.0428664</f>
        <v>2.8647073913603665E-6</v>
      </c>
      <c r="C447" t="s">
        <v>79</v>
      </c>
      <c r="E447" t="s">
        <v>4</v>
      </c>
      <c r="F447" t="s">
        <v>77</v>
      </c>
      <c r="G447" t="s">
        <v>299</v>
      </c>
    </row>
    <row r="448" spans="1:8" hidden="1" x14ac:dyDescent="0.2">
      <c r="A448" t="s">
        <v>291</v>
      </c>
      <c r="B448">
        <f>3800.95/34916306.0428664</f>
        <v>1.0885888087169391E-4</v>
      </c>
      <c r="C448" t="s">
        <v>79</v>
      </c>
      <c r="E448" t="s">
        <v>4</v>
      </c>
      <c r="F448" t="s">
        <v>77</v>
      </c>
      <c r="G448" t="s">
        <v>300</v>
      </c>
    </row>
    <row r="449" spans="1:8" hidden="1" x14ac:dyDescent="0.2">
      <c r="A449" t="s">
        <v>51</v>
      </c>
      <c r="B449" s="4">
        <f>(3600.9+3786912)/3.6/34916306.0428664</f>
        <v>3.0155545340544911E-2</v>
      </c>
      <c r="C449" t="s">
        <v>81</v>
      </c>
      <c r="E449" t="s">
        <v>119</v>
      </c>
      <c r="F449" t="s">
        <v>77</v>
      </c>
      <c r="G449" t="s">
        <v>52</v>
      </c>
    </row>
    <row r="450" spans="1:8" hidden="1" x14ac:dyDescent="0.2">
      <c r="A450" t="s">
        <v>147</v>
      </c>
      <c r="B450">
        <f>2981.5452/34916306.0428664</f>
        <v>8.5391197921669799E-5</v>
      </c>
      <c r="C450" t="s">
        <v>80</v>
      </c>
      <c r="E450" t="s">
        <v>53</v>
      </c>
      <c r="F450" t="s">
        <v>77</v>
      </c>
      <c r="G450" t="s">
        <v>56</v>
      </c>
    </row>
    <row r="451" spans="1:8" hidden="1" x14ac:dyDescent="0.2">
      <c r="A451" t="s">
        <v>292</v>
      </c>
      <c r="B451">
        <f>0.0000008002/34916306.0428664</f>
        <v>2.291765913088293E-14</v>
      </c>
      <c r="C451" t="s">
        <v>7</v>
      </c>
      <c r="E451" t="s">
        <v>4</v>
      </c>
      <c r="F451" t="s">
        <v>77</v>
      </c>
      <c r="G451" t="s">
        <v>301</v>
      </c>
    </row>
    <row r="452" spans="1:8" hidden="1" x14ac:dyDescent="0.2">
      <c r="A452" t="s">
        <v>293</v>
      </c>
      <c r="B452">
        <f>100.025/34916306.0428664</f>
        <v>2.8647073913603665E-6</v>
      </c>
      <c r="C452" t="s">
        <v>79</v>
      </c>
      <c r="E452" t="s">
        <v>4</v>
      </c>
      <c r="F452" t="s">
        <v>77</v>
      </c>
      <c r="G452" t="s">
        <v>302</v>
      </c>
    </row>
    <row r="453" spans="1:8" hidden="1" x14ac:dyDescent="0.2">
      <c r="A453" t="s">
        <v>94</v>
      </c>
      <c r="B453">
        <f>175.2438/34916306.0428664</f>
        <v>5.0189673496633612E-6</v>
      </c>
      <c r="C453" t="s">
        <v>96</v>
      </c>
      <c r="E453" t="s">
        <v>53</v>
      </c>
      <c r="F453" t="s">
        <v>77</v>
      </c>
      <c r="G453" t="s">
        <v>156</v>
      </c>
    </row>
    <row r="454" spans="1:8" hidden="1" x14ac:dyDescent="0.2">
      <c r="A454" t="s">
        <v>294</v>
      </c>
      <c r="B454">
        <f>87.6219/34916306.0428664</f>
        <v>2.5094836748316806E-6</v>
      </c>
      <c r="C454" t="s">
        <v>96</v>
      </c>
      <c r="E454" t="s">
        <v>53</v>
      </c>
      <c r="F454" t="s">
        <v>77</v>
      </c>
      <c r="G454" t="s">
        <v>303</v>
      </c>
    </row>
    <row r="455" spans="1:8" hidden="1" x14ac:dyDescent="0.2">
      <c r="A455" t="s">
        <v>295</v>
      </c>
      <c r="B455">
        <f>685.3713/34916306.0428664</f>
        <v>1.9628975045601231E-5</v>
      </c>
      <c r="C455" t="s">
        <v>96</v>
      </c>
      <c r="E455" t="s">
        <v>53</v>
      </c>
      <c r="F455" t="s">
        <v>77</v>
      </c>
      <c r="G455" t="s">
        <v>157</v>
      </c>
    </row>
    <row r="456" spans="1:8" hidden="1" x14ac:dyDescent="0.2">
      <c r="A456" t="s">
        <v>307</v>
      </c>
      <c r="B456">
        <f>3500/50.7/34916306.0428664</f>
        <v>1.9771143742193209E-6</v>
      </c>
      <c r="C456" t="s">
        <v>47</v>
      </c>
      <c r="E456" t="s">
        <v>53</v>
      </c>
      <c r="F456" t="s">
        <v>77</v>
      </c>
      <c r="G456" t="s">
        <v>306</v>
      </c>
    </row>
    <row r="457" spans="1:8" hidden="1" x14ac:dyDescent="0.2">
      <c r="A457" t="s">
        <v>296</v>
      </c>
      <c r="B457">
        <f>24500/34916306.0428664</f>
        <v>7.0167789141043716E-4</v>
      </c>
      <c r="C457" t="s">
        <v>79</v>
      </c>
      <c r="E457" t="s">
        <v>53</v>
      </c>
      <c r="F457" t="s">
        <v>77</v>
      </c>
      <c r="G457" t="s">
        <v>304</v>
      </c>
    </row>
    <row r="458" spans="1:8" hidden="1" x14ac:dyDescent="0.2">
      <c r="A458" t="s">
        <v>297</v>
      </c>
      <c r="B458">
        <f>70000/34916306.0428664</f>
        <v>2.004793975458392E-3</v>
      </c>
      <c r="C458" t="s">
        <v>79</v>
      </c>
      <c r="E458" t="s">
        <v>53</v>
      </c>
      <c r="F458" t="s">
        <v>77</v>
      </c>
      <c r="G458" t="s">
        <v>305</v>
      </c>
    </row>
    <row r="459" spans="1:8" hidden="1" x14ac:dyDescent="0.2">
      <c r="A459" t="s">
        <v>114</v>
      </c>
      <c r="B459">
        <f>983545.2/34916306.0428664</f>
        <v>2.8168649879300272E-2</v>
      </c>
      <c r="C459" t="s">
        <v>133</v>
      </c>
      <c r="E459" t="s">
        <v>92</v>
      </c>
      <c r="F459" t="s">
        <v>77</v>
      </c>
      <c r="G459" t="s">
        <v>121</v>
      </c>
      <c r="H459" t="s">
        <v>209</v>
      </c>
    </row>
    <row r="460" spans="1:8" hidden="1" x14ac:dyDescent="0.2">
      <c r="A460" t="s">
        <v>95</v>
      </c>
      <c r="B460">
        <f>-0.475/34916306.0428664</f>
        <v>-1.3603959119181944E-8</v>
      </c>
      <c r="C460" t="s">
        <v>79</v>
      </c>
      <c r="E460" t="s">
        <v>92</v>
      </c>
      <c r="F460" t="s">
        <v>77</v>
      </c>
      <c r="G460" t="s">
        <v>127</v>
      </c>
    </row>
    <row r="461" spans="1:8" hidden="1" x14ac:dyDescent="0.2">
      <c r="A461" t="s">
        <v>130</v>
      </c>
      <c r="B461">
        <f>-0.025/34916306.0428664</f>
        <v>-7.1599784837799709E-10</v>
      </c>
      <c r="C461" t="s">
        <v>79</v>
      </c>
      <c r="E461" t="s">
        <v>119</v>
      </c>
      <c r="F461" t="s">
        <v>77</v>
      </c>
      <c r="G461" t="s">
        <v>131</v>
      </c>
    </row>
    <row r="462" spans="1:8" hidden="1" x14ac:dyDescent="0.2">
      <c r="A462" t="s">
        <v>436</v>
      </c>
      <c r="B462">
        <f>-200/34916306.0428664</f>
        <v>-5.7279827870239765E-6</v>
      </c>
      <c r="C462" t="s">
        <v>79</v>
      </c>
      <c r="E462" t="s">
        <v>4</v>
      </c>
      <c r="F462" t="s">
        <v>77</v>
      </c>
      <c r="G462" t="s">
        <v>437</v>
      </c>
    </row>
    <row r="463" spans="1:8" hidden="1" x14ac:dyDescent="0.2">
      <c r="A463" t="s">
        <v>298</v>
      </c>
      <c r="B463">
        <f>-1391.66666666667/34916306.0428664</f>
        <v>-3.9857213559708595E-5</v>
      </c>
      <c r="C463" t="s">
        <v>79</v>
      </c>
      <c r="E463" t="s">
        <v>57</v>
      </c>
      <c r="F463" t="s">
        <v>77</v>
      </c>
      <c r="G463" t="s">
        <v>430</v>
      </c>
    </row>
    <row r="464" spans="1:8" hidden="1" x14ac:dyDescent="0.2">
      <c r="A464" t="s">
        <v>389</v>
      </c>
      <c r="B464">
        <f>-28489500/34916306.0428664</f>
        <v>-0.81593682805459788</v>
      </c>
      <c r="C464" t="s">
        <v>133</v>
      </c>
      <c r="E464" t="s">
        <v>92</v>
      </c>
      <c r="F464" t="s">
        <v>77</v>
      </c>
      <c r="G464" t="s">
        <v>390</v>
      </c>
      <c r="H464" t="s">
        <v>211</v>
      </c>
    </row>
    <row r="465" spans="1:8" hidden="1" x14ac:dyDescent="0.2"/>
    <row r="466" spans="1:8" hidden="1" x14ac:dyDescent="0.2"/>
    <row r="467" spans="1:8" ht="16" hidden="1" x14ac:dyDescent="0.2">
      <c r="A467" s="2" t="s">
        <v>1</v>
      </c>
      <c r="B467" s="2" t="s">
        <v>308</v>
      </c>
    </row>
    <row r="468" spans="1:8" ht="16" hidden="1" x14ac:dyDescent="0.2">
      <c r="A468" s="5" t="s">
        <v>2</v>
      </c>
      <c r="B468" s="5" t="s">
        <v>311</v>
      </c>
    </row>
    <row r="469" spans="1:8" hidden="1" x14ac:dyDescent="0.2">
      <c r="A469" t="s">
        <v>3</v>
      </c>
      <c r="B469" t="s">
        <v>92</v>
      </c>
    </row>
    <row r="470" spans="1:8" hidden="1" x14ac:dyDescent="0.2">
      <c r="A470" t="s">
        <v>5</v>
      </c>
      <c r="B470">
        <v>1</v>
      </c>
    </row>
    <row r="471" spans="1:8" hidden="1" x14ac:dyDescent="0.2">
      <c r="A471" t="s">
        <v>6</v>
      </c>
      <c r="B471" t="s">
        <v>309</v>
      </c>
    </row>
    <row r="472" spans="1:8" hidden="1" x14ac:dyDescent="0.2">
      <c r="A472" t="s">
        <v>7</v>
      </c>
      <c r="B472" t="s">
        <v>7</v>
      </c>
    </row>
    <row r="473" spans="1:8" hidden="1" x14ac:dyDescent="0.2">
      <c r="A473" t="s">
        <v>8</v>
      </c>
      <c r="B473" t="s">
        <v>16</v>
      </c>
    </row>
    <row r="474" spans="1:8" hidden="1" x14ac:dyDescent="0.2">
      <c r="A474" s="1" t="s">
        <v>9</v>
      </c>
      <c r="B474" s="1"/>
      <c r="C474" s="1"/>
      <c r="D474" s="1"/>
      <c r="E474" s="1"/>
      <c r="F474" s="1"/>
      <c r="G474" s="1"/>
    </row>
    <row r="475" spans="1:8" hidden="1" x14ac:dyDescent="0.2">
      <c r="A475" s="1" t="s">
        <v>10</v>
      </c>
      <c r="B475" s="1" t="s">
        <v>11</v>
      </c>
      <c r="C475" s="1" t="s">
        <v>7</v>
      </c>
      <c r="D475" s="1" t="s">
        <v>12</v>
      </c>
      <c r="E475" s="1" t="s">
        <v>3</v>
      </c>
      <c r="F475" s="1" t="s">
        <v>13</v>
      </c>
      <c r="G475" s="1" t="s">
        <v>6</v>
      </c>
      <c r="H475" s="1" t="s">
        <v>2</v>
      </c>
    </row>
    <row r="476" spans="1:8" hidden="1" x14ac:dyDescent="0.2">
      <c r="A476" t="str">
        <f>B467</f>
        <v>perovskite cell curing 2</v>
      </c>
      <c r="B476" s="3">
        <f>34866218.5922179/34866218.5922179</f>
        <v>1</v>
      </c>
      <c r="C476" t="s">
        <v>7</v>
      </c>
      <c r="E476" t="str">
        <f>B469</f>
        <v>DE</v>
      </c>
      <c r="F476" t="s">
        <v>14</v>
      </c>
      <c r="G476" t="str">
        <f>B471</f>
        <v>cured perovskite cell 2</v>
      </c>
    </row>
    <row r="477" spans="1:8" hidden="1" x14ac:dyDescent="0.2">
      <c r="A477" t="s">
        <v>289</v>
      </c>
      <c r="B477">
        <f>34916306.0428664/34866218.5922179</f>
        <v>1.0014365610229863</v>
      </c>
      <c r="C477" t="s">
        <v>7</v>
      </c>
      <c r="E477" t="s">
        <v>92</v>
      </c>
      <c r="F477" t="s">
        <v>77</v>
      </c>
      <c r="G477" t="s">
        <v>290</v>
      </c>
    </row>
    <row r="478" spans="1:8" hidden="1" x14ac:dyDescent="0.2">
      <c r="A478" t="s">
        <v>51</v>
      </c>
      <c r="B478" s="4">
        <f>(946728)/3.6/34866218.5922179</f>
        <v>7.5425443486061561E-3</v>
      </c>
      <c r="C478" t="s">
        <v>81</v>
      </c>
      <c r="E478" t="s">
        <v>119</v>
      </c>
      <c r="F478" t="s">
        <v>77</v>
      </c>
      <c r="G478" t="s">
        <v>52</v>
      </c>
    </row>
    <row r="479" spans="1:8" hidden="1" x14ac:dyDescent="0.2">
      <c r="A479" t="s">
        <v>114</v>
      </c>
      <c r="B479">
        <f>1193929.2/34866218.5922179</f>
        <v>3.4243151342671946E-2</v>
      </c>
      <c r="C479" t="s">
        <v>133</v>
      </c>
      <c r="E479" t="s">
        <v>92</v>
      </c>
      <c r="F479" t="s">
        <v>77</v>
      </c>
      <c r="G479" t="s">
        <v>121</v>
      </c>
      <c r="H479" t="s">
        <v>209</v>
      </c>
    </row>
    <row r="480" spans="1:8" hidden="1" x14ac:dyDescent="0.2">
      <c r="A480" t="s">
        <v>95</v>
      </c>
      <c r="B480">
        <f>-0.475/34866218.5922179</f>
        <v>-1.362350203661086E-8</v>
      </c>
      <c r="C480" t="s">
        <v>79</v>
      </c>
      <c r="E480" t="s">
        <v>92</v>
      </c>
      <c r="F480" t="s">
        <v>77</v>
      </c>
      <c r="G480" t="s">
        <v>127</v>
      </c>
    </row>
    <row r="481" spans="1:8" hidden="1" x14ac:dyDescent="0.2">
      <c r="A481" t="s">
        <v>130</v>
      </c>
      <c r="B481">
        <f>-0.025/34866218.5922179</f>
        <v>-7.1702642297951897E-10</v>
      </c>
      <c r="C481" t="s">
        <v>79</v>
      </c>
      <c r="E481" t="s">
        <v>119</v>
      </c>
      <c r="F481" t="s">
        <v>77</v>
      </c>
      <c r="G481" t="s">
        <v>131</v>
      </c>
    </row>
    <row r="482" spans="1:8" hidden="1" x14ac:dyDescent="0.2">
      <c r="A482" t="s">
        <v>389</v>
      </c>
      <c r="B482">
        <f>-(43830000+5697900)/34866218.5922179</f>
        <v>-1.4205125189874928</v>
      </c>
      <c r="C482" t="s">
        <v>133</v>
      </c>
      <c r="E482" t="s">
        <v>92</v>
      </c>
      <c r="F482" t="s">
        <v>77</v>
      </c>
      <c r="G482" t="s">
        <v>390</v>
      </c>
      <c r="H482" t="s">
        <v>211</v>
      </c>
    </row>
    <row r="483" spans="1:8" hidden="1" x14ac:dyDescent="0.2">
      <c r="A483" t="s">
        <v>144</v>
      </c>
      <c r="B483">
        <f>34866218.5922179/34866218.5922179</f>
        <v>1</v>
      </c>
      <c r="C483" t="s">
        <v>7</v>
      </c>
      <c r="E483" t="s">
        <v>92</v>
      </c>
      <c r="F483" t="s">
        <v>77</v>
      </c>
      <c r="G483" t="s">
        <v>143</v>
      </c>
      <c r="H483" t="s">
        <v>310</v>
      </c>
    </row>
    <row r="484" spans="1:8" hidden="1" x14ac:dyDescent="0.2"/>
    <row r="485" spans="1:8" hidden="1" x14ac:dyDescent="0.2"/>
    <row r="486" spans="1:8" ht="16" hidden="1" x14ac:dyDescent="0.2">
      <c r="A486" s="2" t="s">
        <v>1</v>
      </c>
      <c r="B486" s="2" t="s">
        <v>345</v>
      </c>
    </row>
    <row r="487" spans="1:8" ht="16" hidden="1" x14ac:dyDescent="0.2">
      <c r="A487" s="5" t="s">
        <v>2</v>
      </c>
      <c r="B487" s="5" t="s">
        <v>347</v>
      </c>
    </row>
    <row r="488" spans="1:8" hidden="1" x14ac:dyDescent="0.2">
      <c r="A488" t="s">
        <v>3</v>
      </c>
      <c r="B488" t="s">
        <v>92</v>
      </c>
    </row>
    <row r="489" spans="1:8" hidden="1" x14ac:dyDescent="0.2">
      <c r="A489" t="s">
        <v>5</v>
      </c>
      <c r="B489">
        <v>1</v>
      </c>
    </row>
    <row r="490" spans="1:8" hidden="1" x14ac:dyDescent="0.2">
      <c r="A490" t="s">
        <v>6</v>
      </c>
      <c r="B490" t="s">
        <v>346</v>
      </c>
    </row>
    <row r="491" spans="1:8" hidden="1" x14ac:dyDescent="0.2">
      <c r="A491" t="s">
        <v>7</v>
      </c>
      <c r="B491" t="s">
        <v>7</v>
      </c>
    </row>
    <row r="492" spans="1:8" hidden="1" x14ac:dyDescent="0.2">
      <c r="A492" t="s">
        <v>8</v>
      </c>
      <c r="B492" t="s">
        <v>16</v>
      </c>
    </row>
    <row r="493" spans="1:8" hidden="1" x14ac:dyDescent="0.2">
      <c r="A493" s="1" t="s">
        <v>9</v>
      </c>
      <c r="B493" s="1"/>
      <c r="C493" s="1"/>
      <c r="D493" s="1"/>
      <c r="E493" s="1"/>
      <c r="F493" s="1"/>
      <c r="G493" s="1"/>
    </row>
    <row r="494" spans="1:8" hidden="1" x14ac:dyDescent="0.2">
      <c r="A494" s="1" t="s">
        <v>10</v>
      </c>
      <c r="B494" s="1" t="s">
        <v>11</v>
      </c>
      <c r="C494" s="1" t="s">
        <v>7</v>
      </c>
      <c r="D494" s="1" t="s">
        <v>12</v>
      </c>
      <c r="E494" s="1" t="s">
        <v>3</v>
      </c>
      <c r="F494" s="1" t="s">
        <v>13</v>
      </c>
      <c r="G494" s="1" t="s">
        <v>6</v>
      </c>
      <c r="H494" s="1" t="s">
        <v>2</v>
      </c>
    </row>
    <row r="495" spans="1:8" hidden="1" x14ac:dyDescent="0.2">
      <c r="A495" t="str">
        <f>B486</f>
        <v>photovoltaic cell production, perovskite</v>
      </c>
      <c r="B495" s="3">
        <f>34816131.1415694/34816131.1415694</f>
        <v>1</v>
      </c>
      <c r="C495" t="s">
        <v>7</v>
      </c>
      <c r="E495" t="str">
        <f>B488</f>
        <v>DE</v>
      </c>
      <c r="F495" t="s">
        <v>14</v>
      </c>
      <c r="G495" t="str">
        <f>B490</f>
        <v>photovoltaic cell, perovskite</v>
      </c>
    </row>
    <row r="496" spans="1:8" hidden="1" x14ac:dyDescent="0.2">
      <c r="A496" t="s">
        <v>308</v>
      </c>
      <c r="B496">
        <f>34866218.5922179/34816131.1415694</f>
        <v>1.001438627699466</v>
      </c>
      <c r="C496" t="s">
        <v>7</v>
      </c>
      <c r="E496" t="s">
        <v>92</v>
      </c>
      <c r="F496" t="s">
        <v>77</v>
      </c>
      <c r="G496" t="s">
        <v>309</v>
      </c>
    </row>
    <row r="497" spans="1:8" hidden="1" x14ac:dyDescent="0.2">
      <c r="A497" t="s">
        <v>51</v>
      </c>
      <c r="B497" s="4">
        <f>(1088737.2)/3.6/34816131.1415694</f>
        <v>8.6864045511050886E-3</v>
      </c>
      <c r="C497" t="s">
        <v>81</v>
      </c>
      <c r="E497" t="s">
        <v>119</v>
      </c>
      <c r="F497" t="s">
        <v>77</v>
      </c>
      <c r="G497" t="s">
        <v>52</v>
      </c>
    </row>
    <row r="498" spans="1:8" hidden="1" x14ac:dyDescent="0.2">
      <c r="A498" t="s">
        <v>114</v>
      </c>
      <c r="B498">
        <f>16567.74/34816131.1415694</f>
        <v>4.7586390149532227E-4</v>
      </c>
      <c r="C498" t="s">
        <v>133</v>
      </c>
      <c r="E498" t="s">
        <v>92</v>
      </c>
      <c r="F498" t="s">
        <v>77</v>
      </c>
      <c r="G498" t="s">
        <v>121</v>
      </c>
      <c r="H498" t="s">
        <v>209</v>
      </c>
    </row>
    <row r="499" spans="1:8" hidden="1" x14ac:dyDescent="0.2">
      <c r="A499" t="s">
        <v>95</v>
      </c>
      <c r="B499">
        <f>-0.475/34816131.1415694</f>
        <v>-1.3643101184004459E-8</v>
      </c>
      <c r="C499" t="s">
        <v>79</v>
      </c>
      <c r="E499" t="s">
        <v>92</v>
      </c>
      <c r="F499" t="s">
        <v>77</v>
      </c>
      <c r="G499" t="s">
        <v>127</v>
      </c>
    </row>
    <row r="500" spans="1:8" hidden="1" x14ac:dyDescent="0.2">
      <c r="A500" t="s">
        <v>130</v>
      </c>
      <c r="B500">
        <f>-0.025/34816131.1415694</f>
        <v>-7.1805795705286633E-10</v>
      </c>
      <c r="C500" t="s">
        <v>79</v>
      </c>
      <c r="E500" t="s">
        <v>119</v>
      </c>
      <c r="F500" t="s">
        <v>77</v>
      </c>
      <c r="G500" t="s">
        <v>131</v>
      </c>
    </row>
    <row r="501" spans="1:8" hidden="1" x14ac:dyDescent="0.2"/>
    <row r="502" spans="1:8" ht="16" hidden="1" x14ac:dyDescent="0.2">
      <c r="A502" s="2" t="s">
        <v>1</v>
      </c>
      <c r="B502" s="2" t="s">
        <v>457</v>
      </c>
    </row>
    <row r="503" spans="1:8" ht="16" hidden="1" x14ac:dyDescent="0.2">
      <c r="A503" s="5" t="s">
        <v>2</v>
      </c>
      <c r="B503" s="5" t="s">
        <v>314</v>
      </c>
    </row>
    <row r="504" spans="1:8" hidden="1" x14ac:dyDescent="0.2">
      <c r="A504" t="s">
        <v>3</v>
      </c>
      <c r="B504" t="s">
        <v>92</v>
      </c>
    </row>
    <row r="505" spans="1:8" hidden="1" x14ac:dyDescent="0.2">
      <c r="A505" t="s">
        <v>5</v>
      </c>
      <c r="B505">
        <v>1</v>
      </c>
    </row>
    <row r="506" spans="1:8" hidden="1" x14ac:dyDescent="0.2">
      <c r="A506" t="s">
        <v>6</v>
      </c>
      <c r="B506" t="s">
        <v>458</v>
      </c>
    </row>
    <row r="507" spans="1:8" hidden="1" x14ac:dyDescent="0.2">
      <c r="A507" t="s">
        <v>7</v>
      </c>
      <c r="B507" t="s">
        <v>47</v>
      </c>
    </row>
    <row r="508" spans="1:8" hidden="1" x14ac:dyDescent="0.2">
      <c r="A508" t="s">
        <v>8</v>
      </c>
      <c r="B508" t="s">
        <v>16</v>
      </c>
    </row>
    <row r="509" spans="1:8" hidden="1" x14ac:dyDescent="0.2">
      <c r="A509" s="1" t="s">
        <v>9</v>
      </c>
      <c r="B509" s="1"/>
      <c r="C509" s="1"/>
      <c r="D509" s="1"/>
      <c r="E509" s="1"/>
      <c r="F509" s="1"/>
      <c r="G509" s="1"/>
    </row>
    <row r="510" spans="1:8" hidden="1" x14ac:dyDescent="0.2">
      <c r="A510" s="1" t="s">
        <v>10</v>
      </c>
      <c r="B510" s="1" t="s">
        <v>11</v>
      </c>
      <c r="C510" s="1" t="s">
        <v>7</v>
      </c>
      <c r="D510" s="1" t="s">
        <v>12</v>
      </c>
      <c r="E510" s="1" t="s">
        <v>3</v>
      </c>
      <c r="F510" s="1" t="s">
        <v>13</v>
      </c>
      <c r="G510" s="1" t="s">
        <v>6</v>
      </c>
      <c r="H510" s="1" t="s">
        <v>2</v>
      </c>
    </row>
    <row r="511" spans="1:8" hidden="1" x14ac:dyDescent="0.2">
      <c r="A511" t="str">
        <f>B502</f>
        <v>perovskite photovoltaic module assembly</v>
      </c>
      <c r="B511" s="3">
        <f>483538.053104108/483538.053104108</f>
        <v>1</v>
      </c>
      <c r="C511" t="s">
        <v>47</v>
      </c>
      <c r="E511" t="str">
        <f>B504</f>
        <v>DE</v>
      </c>
      <c r="F511" t="s">
        <v>14</v>
      </c>
      <c r="G511" t="s">
        <v>458</v>
      </c>
    </row>
    <row r="512" spans="1:8" hidden="1" x14ac:dyDescent="0.2">
      <c r="A512" t="s">
        <v>345</v>
      </c>
      <c r="B512" s="3">
        <v>36.001438685192085</v>
      </c>
      <c r="C512" t="s">
        <v>7</v>
      </c>
      <c r="E512" t="s">
        <v>92</v>
      </c>
      <c r="F512" t="s">
        <v>77</v>
      </c>
      <c r="G512" t="s">
        <v>346</v>
      </c>
    </row>
    <row r="513" spans="1:8" hidden="1" x14ac:dyDescent="0.2">
      <c r="A513" t="s">
        <v>307</v>
      </c>
      <c r="B513">
        <v>3.3530571992109896E-2</v>
      </c>
      <c r="C513" t="s">
        <v>47</v>
      </c>
      <c r="E513" t="s">
        <v>53</v>
      </c>
      <c r="F513" t="s">
        <v>77</v>
      </c>
      <c r="G513" t="s">
        <v>306</v>
      </c>
      <c r="H513" t="s">
        <v>312</v>
      </c>
    </row>
    <row r="514" spans="1:8" hidden="1" x14ac:dyDescent="0.2">
      <c r="A514" t="s">
        <v>329</v>
      </c>
      <c r="B514">
        <v>7.7655547329470845E-2</v>
      </c>
      <c r="C514" t="s">
        <v>79</v>
      </c>
      <c r="E514" t="s">
        <v>53</v>
      </c>
      <c r="F514" t="s">
        <v>77</v>
      </c>
      <c r="G514" t="s">
        <v>329</v>
      </c>
      <c r="H514" t="s">
        <v>313</v>
      </c>
    </row>
    <row r="515" spans="1:8" hidden="1" x14ac:dyDescent="0.2">
      <c r="A515" t="s">
        <v>330</v>
      </c>
      <c r="B515">
        <v>7.7655547329470845E-2</v>
      </c>
      <c r="C515" t="s">
        <v>79</v>
      </c>
      <c r="E515" t="s">
        <v>4</v>
      </c>
      <c r="F515" t="s">
        <v>77</v>
      </c>
      <c r="G515" t="s">
        <v>331</v>
      </c>
      <c r="H515" t="s">
        <v>313</v>
      </c>
    </row>
    <row r="516" spans="1:8" hidden="1" x14ac:dyDescent="0.2">
      <c r="A516" t="s">
        <v>332</v>
      </c>
      <c r="B516">
        <v>4.9975384243020806E-3</v>
      </c>
      <c r="C516" t="s">
        <v>79</v>
      </c>
      <c r="E516" t="s">
        <v>4</v>
      </c>
      <c r="F516" t="s">
        <v>77</v>
      </c>
      <c r="G516" t="s">
        <v>333</v>
      </c>
      <c r="H516" t="s">
        <v>315</v>
      </c>
    </row>
    <row r="517" spans="1:8" hidden="1" x14ac:dyDescent="0.2">
      <c r="A517" t="s">
        <v>334</v>
      </c>
      <c r="B517">
        <v>4.9975384243020806E-3</v>
      </c>
      <c r="C517" t="s">
        <v>79</v>
      </c>
      <c r="E517" t="s">
        <v>4</v>
      </c>
      <c r="F517" t="s">
        <v>77</v>
      </c>
      <c r="G517" t="s">
        <v>335</v>
      </c>
      <c r="H517" t="s">
        <v>316</v>
      </c>
    </row>
    <row r="518" spans="1:8" hidden="1" x14ac:dyDescent="0.2">
      <c r="A518" t="s">
        <v>317</v>
      </c>
      <c r="B518">
        <v>11.374492585831344</v>
      </c>
      <c r="C518" t="s">
        <v>79</v>
      </c>
      <c r="E518" t="s">
        <v>4</v>
      </c>
      <c r="F518" t="s">
        <v>77</v>
      </c>
      <c r="G518" t="s">
        <v>318</v>
      </c>
    </row>
    <row r="519" spans="1:8" hidden="1" x14ac:dyDescent="0.2">
      <c r="A519" t="s">
        <v>330</v>
      </c>
      <c r="B519">
        <v>3.9086892704038624E-2</v>
      </c>
      <c r="C519" t="s">
        <v>79</v>
      </c>
      <c r="E519" t="s">
        <v>4</v>
      </c>
      <c r="F519" t="s">
        <v>77</v>
      </c>
      <c r="G519" t="s">
        <v>331</v>
      </c>
      <c r="H519" t="s">
        <v>319</v>
      </c>
    </row>
    <row r="520" spans="1:8" hidden="1" x14ac:dyDescent="0.2">
      <c r="A520" t="s">
        <v>51</v>
      </c>
      <c r="B520">
        <v>2.5199581608474818E-2</v>
      </c>
      <c r="C520" t="s">
        <v>81</v>
      </c>
      <c r="E520" t="s">
        <v>119</v>
      </c>
      <c r="F520" t="s">
        <v>77</v>
      </c>
      <c r="G520" t="s">
        <v>52</v>
      </c>
      <c r="H520" t="s">
        <v>320</v>
      </c>
    </row>
    <row r="521" spans="1:8" hidden="1" x14ac:dyDescent="0.2">
      <c r="A521" t="s">
        <v>55</v>
      </c>
      <c r="B521">
        <v>8.7925965137734883E-4</v>
      </c>
      <c r="C521" t="s">
        <v>80</v>
      </c>
      <c r="E521" t="s">
        <v>119</v>
      </c>
      <c r="F521" t="s">
        <v>77</v>
      </c>
      <c r="G521" t="s">
        <v>56</v>
      </c>
      <c r="H521" t="s">
        <v>321</v>
      </c>
    </row>
    <row r="522" spans="1:8" hidden="1" x14ac:dyDescent="0.2">
      <c r="A522" t="s">
        <v>336</v>
      </c>
      <c r="B522">
        <v>3.4743904625812109E-4</v>
      </c>
      <c r="C522" t="s">
        <v>79</v>
      </c>
      <c r="E522" t="s">
        <v>92</v>
      </c>
      <c r="F522" t="s">
        <v>77</v>
      </c>
      <c r="G522" t="s">
        <v>337</v>
      </c>
      <c r="H522" t="s">
        <v>322</v>
      </c>
    </row>
    <row r="523" spans="1:8" hidden="1" x14ac:dyDescent="0.2">
      <c r="A523" t="s">
        <v>323</v>
      </c>
      <c r="B523">
        <v>0.25851119513253057</v>
      </c>
      <c r="C523" t="s">
        <v>79</v>
      </c>
      <c r="E523" t="s">
        <v>53</v>
      </c>
      <c r="F523" t="s">
        <v>77</v>
      </c>
      <c r="G523" t="s">
        <v>323</v>
      </c>
    </row>
    <row r="524" spans="1:8" hidden="1" x14ac:dyDescent="0.2">
      <c r="A524" t="s">
        <v>324</v>
      </c>
      <c r="B524">
        <v>0.1835429485440967</v>
      </c>
      <c r="C524" t="s">
        <v>79</v>
      </c>
      <c r="E524" t="s">
        <v>4</v>
      </c>
      <c r="F524" t="s">
        <v>77</v>
      </c>
      <c r="G524" t="s">
        <v>338</v>
      </c>
    </row>
    <row r="525" spans="1:8" hidden="1" x14ac:dyDescent="0.2">
      <c r="A525" t="s">
        <v>325</v>
      </c>
      <c r="B525">
        <v>2.8436231464578365E-2</v>
      </c>
      <c r="C525" t="s">
        <v>79</v>
      </c>
      <c r="E525" t="s">
        <v>4</v>
      </c>
      <c r="F525" t="s">
        <v>77</v>
      </c>
      <c r="G525" t="s">
        <v>339</v>
      </c>
    </row>
    <row r="526" spans="1:8" hidden="1" x14ac:dyDescent="0.2">
      <c r="A526" t="s">
        <v>326</v>
      </c>
      <c r="B526">
        <v>4.6532015123855505E-2</v>
      </c>
      <c r="C526" t="s">
        <v>79</v>
      </c>
      <c r="E526" t="s">
        <v>4</v>
      </c>
      <c r="F526" t="s">
        <v>77</v>
      </c>
      <c r="G526" t="s">
        <v>340</v>
      </c>
    </row>
    <row r="527" spans="1:8" hidden="1" x14ac:dyDescent="0.2">
      <c r="A527" t="s">
        <v>327</v>
      </c>
      <c r="B527">
        <v>1.5510671707951835E-3</v>
      </c>
      <c r="C527" t="s">
        <v>79</v>
      </c>
      <c r="E527" t="s">
        <v>53</v>
      </c>
      <c r="F527" t="s">
        <v>77</v>
      </c>
      <c r="G527" t="s">
        <v>341</v>
      </c>
    </row>
    <row r="528" spans="1:8" hidden="1" x14ac:dyDescent="0.2">
      <c r="A528" t="s">
        <v>84</v>
      </c>
      <c r="B528">
        <v>1.3442582146891589E-2</v>
      </c>
      <c r="C528" t="s">
        <v>79</v>
      </c>
      <c r="E528" t="s">
        <v>4</v>
      </c>
      <c r="F528" t="s">
        <v>77</v>
      </c>
      <c r="G528" t="s">
        <v>124</v>
      </c>
    </row>
    <row r="529" spans="1:8" hidden="1" x14ac:dyDescent="0.2">
      <c r="A529" t="s">
        <v>330</v>
      </c>
      <c r="B529">
        <v>7.7656763017812186E-2</v>
      </c>
      <c r="C529" t="s">
        <v>79</v>
      </c>
      <c r="E529" t="s">
        <v>4</v>
      </c>
      <c r="F529" t="s">
        <v>77</v>
      </c>
      <c r="G529" t="s">
        <v>331</v>
      </c>
      <c r="H529" t="s">
        <v>319</v>
      </c>
    </row>
    <row r="530" spans="1:8" hidden="1" x14ac:dyDescent="0.2">
      <c r="A530" t="s">
        <v>51</v>
      </c>
      <c r="B530">
        <v>0.11128125115451562</v>
      </c>
      <c r="C530" t="s">
        <v>81</v>
      </c>
      <c r="E530" t="s">
        <v>119</v>
      </c>
      <c r="F530" t="s">
        <v>77</v>
      </c>
      <c r="G530" t="s">
        <v>52</v>
      </c>
      <c r="H530" t="s">
        <v>320</v>
      </c>
    </row>
    <row r="531" spans="1:8" hidden="1" x14ac:dyDescent="0.2">
      <c r="A531" t="s">
        <v>55</v>
      </c>
      <c r="B531">
        <v>3.882838150890609E-3</v>
      </c>
      <c r="C531" t="s">
        <v>80</v>
      </c>
      <c r="E531" t="s">
        <v>119</v>
      </c>
      <c r="F531" t="s">
        <v>77</v>
      </c>
      <c r="G531" t="s">
        <v>56</v>
      </c>
      <c r="H531" t="s">
        <v>321</v>
      </c>
    </row>
    <row r="532" spans="1:8" hidden="1" x14ac:dyDescent="0.2">
      <c r="A532" t="s">
        <v>51</v>
      </c>
      <c r="B532">
        <v>21.15186268038747</v>
      </c>
      <c r="C532" t="s">
        <v>81</v>
      </c>
      <c r="E532" t="s">
        <v>119</v>
      </c>
      <c r="F532" t="s">
        <v>77</v>
      </c>
      <c r="G532" t="s">
        <v>52</v>
      </c>
      <c r="H532" t="s">
        <v>320</v>
      </c>
    </row>
    <row r="533" spans="1:8" hidden="1" x14ac:dyDescent="0.2">
      <c r="A533" t="s">
        <v>206</v>
      </c>
      <c r="B533">
        <v>9.0947411259618052E-3</v>
      </c>
      <c r="C533" t="s">
        <v>133</v>
      </c>
      <c r="E533" t="s">
        <v>92</v>
      </c>
      <c r="F533" t="s">
        <v>77</v>
      </c>
      <c r="G533" t="s">
        <v>208</v>
      </c>
      <c r="H533" t="s">
        <v>207</v>
      </c>
    </row>
    <row r="534" spans="1:8" hidden="1" x14ac:dyDescent="0.2">
      <c r="A534" t="s">
        <v>114</v>
      </c>
      <c r="B534">
        <v>1.5601692661898398E-2</v>
      </c>
      <c r="C534" t="s">
        <v>133</v>
      </c>
      <c r="E534" t="s">
        <v>92</v>
      </c>
      <c r="F534" t="s">
        <v>77</v>
      </c>
      <c r="G534" t="s">
        <v>121</v>
      </c>
      <c r="H534" t="s">
        <v>209</v>
      </c>
    </row>
    <row r="535" spans="1:8" hidden="1" x14ac:dyDescent="0.2">
      <c r="A535" t="s">
        <v>449</v>
      </c>
      <c r="B535">
        <v>5.1702239026506112E-3</v>
      </c>
      <c r="C535" t="s">
        <v>79</v>
      </c>
      <c r="E535" t="s">
        <v>4</v>
      </c>
      <c r="F535" t="s">
        <v>77</v>
      </c>
      <c r="G535" t="s">
        <v>343</v>
      </c>
    </row>
    <row r="536" spans="1:8" hidden="1" x14ac:dyDescent="0.2">
      <c r="A536" t="s">
        <v>328</v>
      </c>
      <c r="B536">
        <v>-5.1702239026506112E-3</v>
      </c>
      <c r="C536" t="s">
        <v>79</v>
      </c>
      <c r="E536" t="s">
        <v>4</v>
      </c>
      <c r="F536" t="s">
        <v>77</v>
      </c>
      <c r="G536" t="s">
        <v>342</v>
      </c>
    </row>
    <row r="537" spans="1:8" hidden="1" x14ac:dyDescent="0.2">
      <c r="A537" t="s">
        <v>95</v>
      </c>
      <c r="B537">
        <v>-9.8234254150361623E-4</v>
      </c>
      <c r="C537" t="s">
        <v>79</v>
      </c>
      <c r="E537" t="s">
        <v>92</v>
      </c>
      <c r="F537" t="s">
        <v>77</v>
      </c>
      <c r="G537" t="s">
        <v>127</v>
      </c>
    </row>
    <row r="538" spans="1:8" hidden="1" x14ac:dyDescent="0.2">
      <c r="A538" t="s">
        <v>130</v>
      </c>
      <c r="B538">
        <v>-5.1702239026506117E-6</v>
      </c>
      <c r="C538" t="s">
        <v>79</v>
      </c>
      <c r="E538" t="s">
        <v>119</v>
      </c>
      <c r="F538" t="s">
        <v>77</v>
      </c>
      <c r="G538" t="s">
        <v>131</v>
      </c>
    </row>
    <row r="539" spans="1:8" hidden="1" x14ac:dyDescent="0.2">
      <c r="A539" t="s">
        <v>206</v>
      </c>
      <c r="B539">
        <v>-2.2736852814904543E-3</v>
      </c>
      <c r="C539" t="s">
        <v>133</v>
      </c>
      <c r="E539" t="s">
        <v>92</v>
      </c>
      <c r="F539" t="s">
        <v>77</v>
      </c>
      <c r="G539" t="s">
        <v>213</v>
      </c>
      <c r="H539" t="s">
        <v>207</v>
      </c>
    </row>
    <row r="540" spans="1:8" hidden="1" x14ac:dyDescent="0.2"/>
    <row r="541" spans="1:8" hidden="1" x14ac:dyDescent="0.2"/>
    <row r="542" spans="1:8" ht="16" hidden="1" x14ac:dyDescent="0.2">
      <c r="A542" s="2" t="s">
        <v>1</v>
      </c>
      <c r="B542" s="2" t="s">
        <v>456</v>
      </c>
    </row>
    <row r="543" spans="1:8" ht="16" hidden="1" x14ac:dyDescent="0.2">
      <c r="A543" s="5" t="s">
        <v>2</v>
      </c>
      <c r="B543" s="5" t="s">
        <v>344</v>
      </c>
    </row>
    <row r="544" spans="1:8" hidden="1" x14ac:dyDescent="0.2">
      <c r="A544" t="s">
        <v>3</v>
      </c>
      <c r="B544" t="s">
        <v>92</v>
      </c>
    </row>
    <row r="545" spans="1:8" hidden="1" x14ac:dyDescent="0.2">
      <c r="A545" t="s">
        <v>5</v>
      </c>
      <c r="B545">
        <v>1</v>
      </c>
    </row>
    <row r="546" spans="1:8" hidden="1" x14ac:dyDescent="0.2">
      <c r="A546" t="s">
        <v>6</v>
      </c>
      <c r="B546" t="s">
        <v>348</v>
      </c>
    </row>
    <row r="547" spans="1:8" hidden="1" x14ac:dyDescent="0.2">
      <c r="A547" t="s">
        <v>7</v>
      </c>
      <c r="B547" t="s">
        <v>7</v>
      </c>
    </row>
    <row r="548" spans="1:8" hidden="1" x14ac:dyDescent="0.2">
      <c r="A548" t="s">
        <v>8</v>
      </c>
      <c r="B548" t="s">
        <v>16</v>
      </c>
    </row>
    <row r="549" spans="1:8" hidden="1" x14ac:dyDescent="0.2">
      <c r="A549" s="1" t="s">
        <v>9</v>
      </c>
      <c r="B549" s="1"/>
      <c r="C549" s="1"/>
      <c r="D549" s="1"/>
      <c r="E549" s="1"/>
      <c r="F549" s="1"/>
      <c r="G549" s="1"/>
    </row>
    <row r="550" spans="1:8" hidden="1" x14ac:dyDescent="0.2">
      <c r="A550" s="1" t="s">
        <v>10</v>
      </c>
      <c r="B550" s="1" t="s">
        <v>11</v>
      </c>
      <c r="C550" s="1" t="s">
        <v>7</v>
      </c>
      <c r="D550" s="1" t="s">
        <v>12</v>
      </c>
      <c r="E550" s="1" t="s">
        <v>3</v>
      </c>
      <c r="F550" s="1" t="s">
        <v>13</v>
      </c>
      <c r="G550" s="1" t="s">
        <v>6</v>
      </c>
      <c r="H550" s="1" t="s">
        <v>2</v>
      </c>
    </row>
    <row r="551" spans="1:8" hidden="1" x14ac:dyDescent="0.2">
      <c r="A551" t="str">
        <f>B542</f>
        <v>photovoltaic panel installation, 0.5kWp, perovskite</v>
      </c>
      <c r="B551" s="3">
        <f>483538.053104108/483538.053104108</f>
        <v>1</v>
      </c>
      <c r="C551" t="s">
        <v>7</v>
      </c>
      <c r="E551" t="str">
        <f>B544</f>
        <v>DE</v>
      </c>
      <c r="F551" t="s">
        <v>14</v>
      </c>
      <c r="G551" t="str">
        <f>B546</f>
        <v>photovoltaic panel, perovskite</v>
      </c>
    </row>
    <row r="552" spans="1:8" hidden="1" x14ac:dyDescent="0.2">
      <c r="A552" t="s">
        <v>457</v>
      </c>
      <c r="B552" s="3">
        <v>2</v>
      </c>
      <c r="C552" t="s">
        <v>47</v>
      </c>
      <c r="E552" t="s">
        <v>92</v>
      </c>
      <c r="F552" t="s">
        <v>77</v>
      </c>
      <c r="G552" t="s">
        <v>458</v>
      </c>
      <c r="H552" t="s">
        <v>455</v>
      </c>
    </row>
    <row r="553" spans="1:8" hidden="1" x14ac:dyDescent="0.2">
      <c r="A553" t="s">
        <v>349</v>
      </c>
      <c r="B553">
        <f>24176.902655205/483538.053104108</f>
        <v>4.9999999999999177E-2</v>
      </c>
      <c r="C553" t="s">
        <v>79</v>
      </c>
      <c r="E553" t="s">
        <v>53</v>
      </c>
      <c r="F553" t="s">
        <v>77</v>
      </c>
      <c r="G553" t="s">
        <v>352</v>
      </c>
    </row>
    <row r="554" spans="1:8" hidden="1" x14ac:dyDescent="0.2">
      <c r="A554" t="s">
        <v>350</v>
      </c>
      <c r="B554">
        <f>589916.424787002/483538.053104108</f>
        <v>1.2199999999999798</v>
      </c>
      <c r="C554" t="s">
        <v>7</v>
      </c>
      <c r="E554" t="s">
        <v>53</v>
      </c>
      <c r="F554" t="s">
        <v>77</v>
      </c>
      <c r="G554" t="s">
        <v>351</v>
      </c>
    </row>
    <row r="555" spans="1:8" hidden="1" x14ac:dyDescent="0.2"/>
    <row r="556" spans="1:8" ht="16" hidden="1" x14ac:dyDescent="0.2">
      <c r="A556" s="2" t="s">
        <v>1</v>
      </c>
      <c r="B556" s="2" t="s">
        <v>448</v>
      </c>
    </row>
    <row r="557" spans="1:8" ht="16" hidden="1" x14ac:dyDescent="0.2">
      <c r="A557" s="5" t="s">
        <v>2</v>
      </c>
      <c r="B557" s="8" t="s">
        <v>454</v>
      </c>
    </row>
    <row r="558" spans="1:8" hidden="1" x14ac:dyDescent="0.2">
      <c r="A558" t="s">
        <v>3</v>
      </c>
      <c r="B558" t="s">
        <v>53</v>
      </c>
    </row>
    <row r="559" spans="1:8" hidden="1" x14ac:dyDescent="0.2">
      <c r="A559" t="s">
        <v>5</v>
      </c>
      <c r="B559">
        <v>1</v>
      </c>
    </row>
    <row r="560" spans="1:8" hidden="1" x14ac:dyDescent="0.2">
      <c r="A560" t="s">
        <v>6</v>
      </c>
      <c r="B560" t="s">
        <v>448</v>
      </c>
    </row>
    <row r="561" spans="1:12" hidden="1" x14ac:dyDescent="0.2">
      <c r="A561" t="s">
        <v>7</v>
      </c>
      <c r="B561" t="s">
        <v>81</v>
      </c>
    </row>
    <row r="562" spans="1:12" hidden="1" x14ac:dyDescent="0.2">
      <c r="A562" t="s">
        <v>8</v>
      </c>
      <c r="B562" t="s">
        <v>16</v>
      </c>
    </row>
    <row r="563" spans="1:12" hidden="1" x14ac:dyDescent="0.2">
      <c r="A563" s="1" t="s">
        <v>9</v>
      </c>
      <c r="B563" s="1"/>
      <c r="C563" s="1"/>
      <c r="D563" s="1"/>
      <c r="E563" s="1"/>
      <c r="F563" s="1"/>
      <c r="G563" s="1"/>
    </row>
    <row r="564" spans="1:12" hidden="1" x14ac:dyDescent="0.2">
      <c r="A564" s="1" t="s">
        <v>10</v>
      </c>
      <c r="B564" s="1" t="s">
        <v>11</v>
      </c>
      <c r="C564" s="1" t="s">
        <v>7</v>
      </c>
      <c r="D564" s="1" t="s">
        <v>12</v>
      </c>
      <c r="E564" s="1" t="s">
        <v>3</v>
      </c>
      <c r="F564" s="1" t="s">
        <v>13</v>
      </c>
      <c r="G564" s="1" t="s">
        <v>6</v>
      </c>
      <c r="H564" s="1" t="s">
        <v>2</v>
      </c>
      <c r="I564" s="1" t="s">
        <v>450</v>
      </c>
      <c r="J564" s="1" t="s">
        <v>451</v>
      </c>
      <c r="K564" s="1" t="s">
        <v>452</v>
      </c>
      <c r="L564" s="1" t="s">
        <v>453</v>
      </c>
    </row>
    <row r="565" spans="1:12" hidden="1" x14ac:dyDescent="0.2">
      <c r="A565" t="str">
        <f>B556</f>
        <v>electricity production, photovoltaic, 0.5kWp, perovskite-on-silicon tandem</v>
      </c>
      <c r="B565" s="3">
        <f>483538.053104108/483538.053104108</f>
        <v>1</v>
      </c>
      <c r="C565" t="str">
        <f>B561</f>
        <v>kilowatt hour</v>
      </c>
      <c r="E565" t="str">
        <f>B558</f>
        <v>RER</v>
      </c>
      <c r="F565" t="s">
        <v>14</v>
      </c>
      <c r="G565" t="str">
        <f>B560</f>
        <v>electricity production, photovoltaic, 0.5kWp, perovskite-on-silicon tandem</v>
      </c>
    </row>
    <row r="566" spans="1:12" hidden="1" x14ac:dyDescent="0.2">
      <c r="A566" t="s">
        <v>456</v>
      </c>
      <c r="B566" s="4">
        <f>1/(25*460)</f>
        <v>8.6956521739130441E-5</v>
      </c>
      <c r="C566" t="s">
        <v>7</v>
      </c>
      <c r="E566" t="s">
        <v>92</v>
      </c>
      <c r="F566" t="s">
        <v>77</v>
      </c>
      <c r="G566" t="s">
        <v>348</v>
      </c>
      <c r="I566" s="7">
        <v>5</v>
      </c>
      <c r="J566" s="4">
        <f>B566</f>
        <v>8.6956521739130441E-5</v>
      </c>
      <c r="K566">
        <f>1/(30*460)</f>
        <v>7.2463768115942027E-5</v>
      </c>
      <c r="L566">
        <f>1/(20*460)</f>
        <v>1.0869565217391305E-4</v>
      </c>
    </row>
    <row r="567" spans="1:12" hidden="1" x14ac:dyDescent="0.2"/>
    <row r="568" spans="1:12" ht="16" hidden="1" x14ac:dyDescent="0.2">
      <c r="A568" s="2" t="s">
        <v>1</v>
      </c>
      <c r="B568" s="2" t="s">
        <v>375</v>
      </c>
    </row>
    <row r="569" spans="1:12" ht="16" hidden="1" x14ac:dyDescent="0.2">
      <c r="A569" s="5" t="s">
        <v>2</v>
      </c>
      <c r="B569" s="5" t="s">
        <v>376</v>
      </c>
    </row>
    <row r="570" spans="1:12" hidden="1" x14ac:dyDescent="0.2">
      <c r="A570" t="s">
        <v>3</v>
      </c>
      <c r="B570" t="s">
        <v>92</v>
      </c>
    </row>
    <row r="571" spans="1:12" hidden="1" x14ac:dyDescent="0.2">
      <c r="A571" t="s">
        <v>5</v>
      </c>
      <c r="B571">
        <v>1</v>
      </c>
    </row>
    <row r="572" spans="1:12" hidden="1" x14ac:dyDescent="0.2">
      <c r="A572" t="s">
        <v>6</v>
      </c>
      <c r="B572" t="s">
        <v>377</v>
      </c>
    </row>
    <row r="573" spans="1:12" hidden="1" x14ac:dyDescent="0.2">
      <c r="A573" t="s">
        <v>7</v>
      </c>
      <c r="B573" t="s">
        <v>133</v>
      </c>
    </row>
    <row r="574" spans="1:12" hidden="1" x14ac:dyDescent="0.2">
      <c r="A574" t="s">
        <v>8</v>
      </c>
      <c r="B574" t="s">
        <v>16</v>
      </c>
    </row>
    <row r="575" spans="1:12" hidden="1" x14ac:dyDescent="0.2">
      <c r="A575" s="1" t="s">
        <v>9</v>
      </c>
      <c r="B575" s="1"/>
      <c r="C575" s="1"/>
      <c r="D575" s="1"/>
      <c r="E575" s="1"/>
      <c r="F575" s="1"/>
      <c r="G575" s="1"/>
    </row>
    <row r="576" spans="1:12" hidden="1" x14ac:dyDescent="0.2">
      <c r="A576" s="1" t="s">
        <v>10</v>
      </c>
      <c r="B576" s="1" t="s">
        <v>11</v>
      </c>
      <c r="C576" s="1" t="s">
        <v>7</v>
      </c>
      <c r="D576" s="1" t="s">
        <v>12</v>
      </c>
      <c r="E576" s="1" t="s">
        <v>3</v>
      </c>
      <c r="F576" s="1" t="s">
        <v>13</v>
      </c>
      <c r="G576" s="1" t="s">
        <v>6</v>
      </c>
      <c r="H576" s="1" t="s">
        <v>2</v>
      </c>
    </row>
    <row r="577" spans="1:8" hidden="1" x14ac:dyDescent="0.2">
      <c r="A577" t="str">
        <f>B568</f>
        <v>exhaust abatement, for perovskite</v>
      </c>
      <c r="B577" s="3">
        <f>-1</f>
        <v>-1</v>
      </c>
      <c r="C577" t="str">
        <f>B573</f>
        <v>cubic meter</v>
      </c>
      <c r="E577" t="str">
        <f>B570</f>
        <v>DE</v>
      </c>
      <c r="F577" t="s">
        <v>14</v>
      </c>
      <c r="G577" t="str">
        <f>B572</f>
        <v>abated exhaust</v>
      </c>
      <c r="H577" t="s">
        <v>376</v>
      </c>
    </row>
    <row r="578" spans="1:8" hidden="1" x14ac:dyDescent="0.2">
      <c r="A578" t="s">
        <v>106</v>
      </c>
      <c r="B578">
        <v>1.6111111111111111E-5</v>
      </c>
      <c r="C578" t="s">
        <v>79</v>
      </c>
      <c r="E578" t="s">
        <v>4</v>
      </c>
      <c r="F578" t="s">
        <v>77</v>
      </c>
      <c r="G578" t="s">
        <v>107</v>
      </c>
    </row>
    <row r="579" spans="1:8" hidden="1" x14ac:dyDescent="0.2">
      <c r="A579" t="s">
        <v>100</v>
      </c>
      <c r="B579">
        <v>1.6111111111111111E-2</v>
      </c>
      <c r="C579" t="s">
        <v>79</v>
      </c>
      <c r="E579" t="s">
        <v>53</v>
      </c>
      <c r="F579" t="s">
        <v>77</v>
      </c>
      <c r="G579" t="s">
        <v>101</v>
      </c>
    </row>
    <row r="580" spans="1:8" hidden="1" x14ac:dyDescent="0.2">
      <c r="A580" t="s">
        <v>51</v>
      </c>
      <c r="B580">
        <f>1/3.6</f>
        <v>0.27777777777777779</v>
      </c>
      <c r="C580" t="s">
        <v>81</v>
      </c>
      <c r="E580" t="s">
        <v>119</v>
      </c>
      <c r="F580" t="s">
        <v>77</v>
      </c>
      <c r="G580" t="s">
        <v>52</v>
      </c>
      <c r="H580" t="s">
        <v>320</v>
      </c>
    </row>
    <row r="581" spans="1:8" hidden="1" x14ac:dyDescent="0.2">
      <c r="A581" t="s">
        <v>113</v>
      </c>
      <c r="B581">
        <v>1</v>
      </c>
      <c r="C581" t="s">
        <v>79</v>
      </c>
      <c r="E581" t="s">
        <v>92</v>
      </c>
      <c r="F581" t="s">
        <v>77</v>
      </c>
      <c r="G581" t="s">
        <v>120</v>
      </c>
      <c r="H581" t="s">
        <v>210</v>
      </c>
    </row>
    <row r="582" spans="1:8" hidden="1" x14ac:dyDescent="0.2">
      <c r="A582" t="s">
        <v>379</v>
      </c>
      <c r="B582">
        <v>0.23200000000000001</v>
      </c>
      <c r="C582" t="s">
        <v>133</v>
      </c>
      <c r="E582" t="s">
        <v>92</v>
      </c>
      <c r="F582" t="s">
        <v>77</v>
      </c>
      <c r="G582" t="s">
        <v>380</v>
      </c>
      <c r="H582" t="s">
        <v>378</v>
      </c>
    </row>
    <row r="583" spans="1:8" hidden="1" x14ac:dyDescent="0.2">
      <c r="A583" t="s">
        <v>114</v>
      </c>
      <c r="B583">
        <v>4</v>
      </c>
      <c r="C583" t="s">
        <v>133</v>
      </c>
      <c r="E583" t="s">
        <v>92</v>
      </c>
      <c r="F583" t="s">
        <v>77</v>
      </c>
      <c r="G583" t="s">
        <v>121</v>
      </c>
      <c r="H583" t="s">
        <v>209</v>
      </c>
    </row>
    <row r="584" spans="1:8" hidden="1" x14ac:dyDescent="0.2">
      <c r="A584" t="s">
        <v>385</v>
      </c>
      <c r="B584">
        <v>0</v>
      </c>
      <c r="C584" t="s">
        <v>79</v>
      </c>
      <c r="D584" t="s">
        <v>62</v>
      </c>
      <c r="F584" t="s">
        <v>78</v>
      </c>
      <c r="H584" t="s">
        <v>381</v>
      </c>
    </row>
    <row r="585" spans="1:8" hidden="1" x14ac:dyDescent="0.2">
      <c r="A585" t="s">
        <v>386</v>
      </c>
      <c r="B585">
        <v>0</v>
      </c>
      <c r="C585" t="s">
        <v>79</v>
      </c>
      <c r="D585" t="s">
        <v>62</v>
      </c>
      <c r="F585" t="s">
        <v>78</v>
      </c>
      <c r="H585" t="s">
        <v>382</v>
      </c>
    </row>
    <row r="586" spans="1:8" hidden="1" x14ac:dyDescent="0.2">
      <c r="A586" t="s">
        <v>387</v>
      </c>
      <c r="B586">
        <v>0</v>
      </c>
      <c r="C586" t="s">
        <v>79</v>
      </c>
      <c r="D586" t="s">
        <v>62</v>
      </c>
      <c r="F586" t="s">
        <v>78</v>
      </c>
      <c r="H586" t="s">
        <v>383</v>
      </c>
    </row>
    <row r="587" spans="1:8" hidden="1" x14ac:dyDescent="0.2">
      <c r="A587" t="s">
        <v>388</v>
      </c>
      <c r="B587">
        <v>0</v>
      </c>
      <c r="C587" t="s">
        <v>79</v>
      </c>
      <c r="D587" t="s">
        <v>62</v>
      </c>
      <c r="F587" t="s">
        <v>78</v>
      </c>
      <c r="H587" t="s">
        <v>384</v>
      </c>
    </row>
    <row r="588" spans="1:8" hidden="1" x14ac:dyDescent="0.2"/>
    <row r="589" spans="1:8" hidden="1" x14ac:dyDescent="0.2"/>
    <row r="590" spans="1:8" ht="16" hidden="1" x14ac:dyDescent="0.2">
      <c r="A590" s="2" t="s">
        <v>1</v>
      </c>
      <c r="B590" s="1" t="s">
        <v>144</v>
      </c>
    </row>
    <row r="591" spans="1:8" ht="16" hidden="1" x14ac:dyDescent="0.2">
      <c r="A591" s="5" t="s">
        <v>2</v>
      </c>
      <c r="B591" s="5" t="s">
        <v>310</v>
      </c>
    </row>
    <row r="592" spans="1:8" hidden="1" x14ac:dyDescent="0.2">
      <c r="A592" t="s">
        <v>3</v>
      </c>
      <c r="B592" t="s">
        <v>92</v>
      </c>
    </row>
    <row r="593" spans="1:8" hidden="1" x14ac:dyDescent="0.2">
      <c r="A593" t="s">
        <v>5</v>
      </c>
      <c r="B593">
        <v>1</v>
      </c>
    </row>
    <row r="594" spans="1:8" hidden="1" x14ac:dyDescent="0.2">
      <c r="A594" t="s">
        <v>6</v>
      </c>
      <c r="B594" t="s">
        <v>143</v>
      </c>
    </row>
    <row r="595" spans="1:8" hidden="1" x14ac:dyDescent="0.2">
      <c r="A595" t="s">
        <v>7</v>
      </c>
      <c r="B595" t="s">
        <v>7</v>
      </c>
    </row>
    <row r="596" spans="1:8" hidden="1" x14ac:dyDescent="0.2">
      <c r="A596" t="s">
        <v>8</v>
      </c>
      <c r="B596" t="s">
        <v>16</v>
      </c>
    </row>
    <row r="597" spans="1:8" hidden="1" x14ac:dyDescent="0.2">
      <c r="A597" s="1" t="s">
        <v>9</v>
      </c>
      <c r="B597" s="1"/>
      <c r="C597" s="1"/>
      <c r="D597" s="1"/>
      <c r="E597" s="1"/>
      <c r="F597" s="1"/>
      <c r="G597" s="1"/>
    </row>
    <row r="598" spans="1:8" hidden="1" x14ac:dyDescent="0.2">
      <c r="A598" s="1" t="s">
        <v>10</v>
      </c>
      <c r="B598" s="1" t="s">
        <v>11</v>
      </c>
      <c r="C598" s="1" t="s">
        <v>7</v>
      </c>
      <c r="D598" s="1" t="s">
        <v>12</v>
      </c>
      <c r="E598" s="1" t="s">
        <v>3</v>
      </c>
      <c r="F598" s="1" t="s">
        <v>13</v>
      </c>
      <c r="G598" s="1" t="s">
        <v>6</v>
      </c>
      <c r="H598" s="1" t="s">
        <v>2</v>
      </c>
    </row>
    <row r="599" spans="1:8" hidden="1" x14ac:dyDescent="0.2">
      <c r="A599" t="str">
        <f>B590</f>
        <v>tray cleaning, for perovskite</v>
      </c>
      <c r="B599">
        <f>34866218.5922179/34866218.5922179</f>
        <v>1</v>
      </c>
      <c r="C599" t="s">
        <v>7</v>
      </c>
      <c r="E599" t="s">
        <v>92</v>
      </c>
      <c r="F599" t="s">
        <v>14</v>
      </c>
      <c r="G599" t="str">
        <f>B594</f>
        <v>tray cleaning</v>
      </c>
      <c r="H599" t="s">
        <v>310</v>
      </c>
    </row>
    <row r="600" spans="1:8" hidden="1" x14ac:dyDescent="0.2">
      <c r="A600" t="s">
        <v>354</v>
      </c>
      <c r="B600">
        <f>2.10977682373547E-07/0.7</f>
        <v>3.0139668910506718E-7</v>
      </c>
      <c r="C600" t="s">
        <v>79</v>
      </c>
      <c r="E600" t="s">
        <v>53</v>
      </c>
      <c r="F600" t="s">
        <v>77</v>
      </c>
      <c r="G600" t="s">
        <v>355</v>
      </c>
      <c r="H600" t="s">
        <v>353</v>
      </c>
    </row>
    <row r="601" spans="1:8" hidden="1" x14ac:dyDescent="0.2">
      <c r="A601" t="s">
        <v>100</v>
      </c>
      <c r="B601">
        <f>0.0000372313557129788</f>
        <v>3.7231355712978797E-5</v>
      </c>
      <c r="C601" t="s">
        <v>79</v>
      </c>
      <c r="E601" t="s">
        <v>53</v>
      </c>
      <c r="F601" t="s">
        <v>77</v>
      </c>
      <c r="G601" t="s">
        <v>101</v>
      </c>
    </row>
    <row r="602" spans="1:8" hidden="1" x14ac:dyDescent="0.2">
      <c r="A602" t="s">
        <v>51</v>
      </c>
      <c r="B602">
        <f>0.0268065761133448/3.6</f>
        <v>7.446271142595778E-3</v>
      </c>
      <c r="C602" t="s">
        <v>81</v>
      </c>
      <c r="E602" t="s">
        <v>119</v>
      </c>
      <c r="F602" t="s">
        <v>77</v>
      </c>
      <c r="G602" t="s">
        <v>52</v>
      </c>
      <c r="H602" t="s">
        <v>320</v>
      </c>
    </row>
    <row r="603" spans="1:8" hidden="1" x14ac:dyDescent="0.2">
      <c r="A603" t="s">
        <v>356</v>
      </c>
      <c r="B603">
        <f>3.97134460938441E-06*1000</f>
        <v>3.97134460938441E-3</v>
      </c>
      <c r="C603" t="s">
        <v>79</v>
      </c>
      <c r="E603" t="s">
        <v>119</v>
      </c>
      <c r="F603" t="s">
        <v>77</v>
      </c>
      <c r="G603" t="s">
        <v>59</v>
      </c>
      <c r="H603" t="s">
        <v>50</v>
      </c>
    </row>
    <row r="604" spans="1:8" hidden="1" x14ac:dyDescent="0.2">
      <c r="A604" t="s">
        <v>93</v>
      </c>
      <c r="B604">
        <f>0.000191120959326625</f>
        <v>1.91120959326625E-4</v>
      </c>
      <c r="C604" t="s">
        <v>96</v>
      </c>
      <c r="E604" t="s">
        <v>4</v>
      </c>
      <c r="F604" t="s">
        <v>77</v>
      </c>
      <c r="G604" t="s">
        <v>157</v>
      </c>
    </row>
    <row r="605" spans="1:8" hidden="1" x14ac:dyDescent="0.2">
      <c r="A605" t="s">
        <v>358</v>
      </c>
      <c r="B605">
        <f>-2.48209038086526E-06</f>
        <v>-2.48209038086526E-6</v>
      </c>
      <c r="C605" t="s">
        <v>133</v>
      </c>
      <c r="E605" t="s">
        <v>54</v>
      </c>
      <c r="F605" t="s">
        <v>77</v>
      </c>
      <c r="G605" t="s">
        <v>357</v>
      </c>
    </row>
    <row r="606" spans="1:8" hidden="1" x14ac:dyDescent="0.2">
      <c r="A606" t="s">
        <v>399</v>
      </c>
      <c r="B606">
        <f>-0.148925422851915</f>
        <v>-0.14892542285191501</v>
      </c>
      <c r="C606" t="s">
        <v>133</v>
      </c>
      <c r="E606" t="s">
        <v>92</v>
      </c>
      <c r="F606" t="s">
        <v>77</v>
      </c>
      <c r="G606" t="s">
        <v>400</v>
      </c>
      <c r="H606" t="s">
        <v>211</v>
      </c>
    </row>
    <row r="607" spans="1:8" hidden="1" x14ac:dyDescent="0.2"/>
    <row r="608" spans="1:8" hidden="1" x14ac:dyDescent="0.2"/>
    <row r="609" spans="1:8" ht="16" hidden="1" x14ac:dyDescent="0.2">
      <c r="A609" s="2" t="s">
        <v>1</v>
      </c>
      <c r="B609" s="1" t="s">
        <v>113</v>
      </c>
    </row>
    <row r="610" spans="1:8" ht="16" hidden="1" x14ac:dyDescent="0.2">
      <c r="A610" s="5" t="s">
        <v>2</v>
      </c>
      <c r="B610" s="5" t="s">
        <v>210</v>
      </c>
    </row>
    <row r="611" spans="1:8" hidden="1" x14ac:dyDescent="0.2">
      <c r="A611" t="s">
        <v>3</v>
      </c>
      <c r="B611" t="s">
        <v>92</v>
      </c>
    </row>
    <row r="612" spans="1:8" hidden="1" x14ac:dyDescent="0.2">
      <c r="A612" t="s">
        <v>5</v>
      </c>
      <c r="B612">
        <v>1</v>
      </c>
    </row>
    <row r="613" spans="1:8" hidden="1" x14ac:dyDescent="0.2">
      <c r="A613" t="s">
        <v>6</v>
      </c>
      <c r="B613" t="s">
        <v>120</v>
      </c>
    </row>
    <row r="614" spans="1:8" hidden="1" x14ac:dyDescent="0.2">
      <c r="A614" t="s">
        <v>7</v>
      </c>
      <c r="B614" t="s">
        <v>79</v>
      </c>
    </row>
    <row r="615" spans="1:8" hidden="1" x14ac:dyDescent="0.2">
      <c r="A615" t="s">
        <v>8</v>
      </c>
      <c r="B615" t="s">
        <v>16</v>
      </c>
    </row>
    <row r="616" spans="1:8" hidden="1" x14ac:dyDescent="0.2">
      <c r="A616" s="1" t="s">
        <v>9</v>
      </c>
      <c r="B616" s="1"/>
      <c r="C616" s="1"/>
      <c r="D616" s="1"/>
      <c r="E616" s="1"/>
      <c r="F616" s="1"/>
      <c r="G616" s="1"/>
    </row>
    <row r="617" spans="1:8" hidden="1" x14ac:dyDescent="0.2">
      <c r="A617" s="1" t="s">
        <v>10</v>
      </c>
      <c r="B617" s="1" t="s">
        <v>11</v>
      </c>
      <c r="C617" s="1" t="s">
        <v>7</v>
      </c>
      <c r="D617" s="1" t="s">
        <v>12</v>
      </c>
      <c r="E617" s="1" t="s">
        <v>3</v>
      </c>
      <c r="F617" s="1" t="s">
        <v>13</v>
      </c>
      <c r="G617" s="1" t="s">
        <v>6</v>
      </c>
      <c r="H617" s="1" t="s">
        <v>2</v>
      </c>
    </row>
    <row r="618" spans="1:8" hidden="1" x14ac:dyDescent="0.2">
      <c r="A618" t="str">
        <f>B609</f>
        <v>ultrapure water system activity, for perovskite</v>
      </c>
      <c r="B618">
        <f>2307.27272727273/2307.27272727273</f>
        <v>1</v>
      </c>
      <c r="C618" t="s">
        <v>79</v>
      </c>
      <c r="E618" t="s">
        <v>92</v>
      </c>
      <c r="F618" t="s">
        <v>14</v>
      </c>
      <c r="G618" t="str">
        <f>B613</f>
        <v>ultra pure water</v>
      </c>
      <c r="H618" t="s">
        <v>210</v>
      </c>
    </row>
    <row r="619" spans="1:8" hidden="1" x14ac:dyDescent="0.2">
      <c r="A619" t="s">
        <v>51</v>
      </c>
      <c r="B619">
        <f>26.1818181818182/3.6/2307.27272727273</f>
        <v>3.1520882584712352E-3</v>
      </c>
      <c r="C619" t="s">
        <v>81</v>
      </c>
      <c r="E619" t="s">
        <v>119</v>
      </c>
      <c r="F619" t="s">
        <v>77</v>
      </c>
      <c r="G619" t="s">
        <v>52</v>
      </c>
      <c r="H619" t="s">
        <v>320</v>
      </c>
    </row>
    <row r="620" spans="1:8" hidden="1" x14ac:dyDescent="0.2">
      <c r="A620" t="s">
        <v>356</v>
      </c>
      <c r="B620">
        <f>3.63854545454545*1000/2307.27272727273</f>
        <v>1.576989755713156</v>
      </c>
      <c r="C620" t="s">
        <v>79</v>
      </c>
      <c r="E620" t="s">
        <v>119</v>
      </c>
      <c r="F620" t="s">
        <v>77</v>
      </c>
      <c r="G620" t="s">
        <v>59</v>
      </c>
      <c r="H620" t="s">
        <v>50</v>
      </c>
    </row>
    <row r="621" spans="1:8" hidden="1" x14ac:dyDescent="0.2">
      <c r="A621" t="s">
        <v>114</v>
      </c>
      <c r="B621">
        <f>0.00109090909090909/2307.27272727273</f>
        <v>4.7281323877068463E-7</v>
      </c>
      <c r="C621" t="s">
        <v>133</v>
      </c>
      <c r="E621" t="s">
        <v>92</v>
      </c>
      <c r="F621" t="s">
        <v>77</v>
      </c>
      <c r="G621" t="s">
        <v>121</v>
      </c>
      <c r="H621" t="s">
        <v>209</v>
      </c>
    </row>
    <row r="622" spans="1:8" hidden="1" x14ac:dyDescent="0.2">
      <c r="A622" t="s">
        <v>359</v>
      </c>
      <c r="B622">
        <f>3.27272727272727E-07/2307.27272727273</f>
        <v>1.4184397163120539E-10</v>
      </c>
      <c r="C622" t="s">
        <v>7</v>
      </c>
      <c r="E622" t="s">
        <v>54</v>
      </c>
      <c r="F622" t="s">
        <v>77</v>
      </c>
      <c r="G622" t="s">
        <v>360</v>
      </c>
    </row>
    <row r="623" spans="1:8" hidden="1" x14ac:dyDescent="0.2">
      <c r="A623" t="s">
        <v>252</v>
      </c>
      <c r="B623">
        <f>-1/2307.27272727273</f>
        <v>-4.3341213553979455E-4</v>
      </c>
      <c r="C623" t="s">
        <v>133</v>
      </c>
      <c r="E623" t="s">
        <v>119</v>
      </c>
      <c r="F623" t="s">
        <v>77</v>
      </c>
      <c r="G623" t="s">
        <v>253</v>
      </c>
      <c r="H623" t="s">
        <v>361</v>
      </c>
    </row>
    <row r="624" spans="1:8" hidden="1" x14ac:dyDescent="0.2"/>
    <row r="625" spans="1:8" hidden="1" x14ac:dyDescent="0.2"/>
    <row r="626" spans="1:8" ht="16" hidden="1" x14ac:dyDescent="0.2">
      <c r="A626" s="2" t="s">
        <v>1</v>
      </c>
      <c r="B626" s="1" t="s">
        <v>132</v>
      </c>
    </row>
    <row r="627" spans="1:8" ht="16" hidden="1" x14ac:dyDescent="0.2">
      <c r="A627" s="5" t="s">
        <v>2</v>
      </c>
      <c r="B627" s="5" t="s">
        <v>212</v>
      </c>
    </row>
    <row r="628" spans="1:8" hidden="1" x14ac:dyDescent="0.2">
      <c r="A628" t="s">
        <v>3</v>
      </c>
      <c r="B628" t="s">
        <v>92</v>
      </c>
    </row>
    <row r="629" spans="1:8" hidden="1" x14ac:dyDescent="0.2">
      <c r="A629" t="s">
        <v>5</v>
      </c>
      <c r="B629">
        <v>1</v>
      </c>
    </row>
    <row r="630" spans="1:8" hidden="1" x14ac:dyDescent="0.2">
      <c r="A630" t="s">
        <v>6</v>
      </c>
      <c r="B630" t="s">
        <v>134</v>
      </c>
    </row>
    <row r="631" spans="1:8" hidden="1" x14ac:dyDescent="0.2">
      <c r="A631" t="s">
        <v>7</v>
      </c>
      <c r="B631" t="s">
        <v>133</v>
      </c>
    </row>
    <row r="632" spans="1:8" hidden="1" x14ac:dyDescent="0.2">
      <c r="A632" t="s">
        <v>8</v>
      </c>
      <c r="B632" t="s">
        <v>16</v>
      </c>
    </row>
    <row r="633" spans="1:8" hidden="1" x14ac:dyDescent="0.2">
      <c r="A633" s="1" t="s">
        <v>9</v>
      </c>
      <c r="B633" s="1"/>
      <c r="C633" s="1"/>
      <c r="D633" s="1"/>
      <c r="E633" s="1"/>
      <c r="F633" s="1"/>
      <c r="G633" s="1"/>
    </row>
    <row r="634" spans="1:8" hidden="1" x14ac:dyDescent="0.2">
      <c r="A634" s="1" t="s">
        <v>10</v>
      </c>
      <c r="B634" s="1" t="s">
        <v>11</v>
      </c>
      <c r="C634" s="1" t="s">
        <v>7</v>
      </c>
      <c r="D634" s="1" t="s">
        <v>12</v>
      </c>
      <c r="E634" s="1" t="s">
        <v>3</v>
      </c>
      <c r="F634" s="1" t="s">
        <v>13</v>
      </c>
      <c r="G634" s="1" t="s">
        <v>6</v>
      </c>
      <c r="H634" s="1" t="s">
        <v>2</v>
      </c>
    </row>
    <row r="635" spans="1:8" hidden="1" x14ac:dyDescent="0.2">
      <c r="A635" t="str">
        <f>B626</f>
        <v>inhouse waste water treatment, for perovskite production</v>
      </c>
      <c r="B635">
        <f>-1</f>
        <v>-1</v>
      </c>
      <c r="C635" t="str">
        <f>B631</f>
        <v>cubic meter</v>
      </c>
      <c r="E635" t="s">
        <v>92</v>
      </c>
      <c r="F635" t="s">
        <v>14</v>
      </c>
      <c r="G635" t="str">
        <f>B630</f>
        <v>waste water</v>
      </c>
      <c r="H635" t="s">
        <v>212</v>
      </c>
    </row>
    <row r="636" spans="1:8" hidden="1" x14ac:dyDescent="0.2">
      <c r="A636" t="s">
        <v>104</v>
      </c>
      <c r="B636">
        <f>0.000170225710878426/0.7*1149.2</f>
        <v>0.27946198134498168</v>
      </c>
      <c r="C636" t="s">
        <v>79</v>
      </c>
      <c r="E636" t="s">
        <v>53</v>
      </c>
      <c r="F636" t="s">
        <v>77</v>
      </c>
      <c r="G636" t="s">
        <v>105</v>
      </c>
      <c r="H636" t="s">
        <v>362</v>
      </c>
    </row>
    <row r="637" spans="1:8" hidden="1" x14ac:dyDescent="0.2">
      <c r="A637" t="s">
        <v>100</v>
      </c>
      <c r="B637">
        <v>0.30262348600609101</v>
      </c>
      <c r="C637" t="s">
        <v>79</v>
      </c>
      <c r="E637" t="s">
        <v>53</v>
      </c>
      <c r="F637" t="s">
        <v>77</v>
      </c>
      <c r="G637" t="s">
        <v>101</v>
      </c>
    </row>
    <row r="638" spans="1:8" hidden="1" x14ac:dyDescent="0.2">
      <c r="A638" t="s">
        <v>25</v>
      </c>
      <c r="B638">
        <f>0.739952718676123*1.52</f>
        <v>1.124728132387707</v>
      </c>
      <c r="C638" t="s">
        <v>79</v>
      </c>
      <c r="E638" t="s">
        <v>53</v>
      </c>
      <c r="F638" t="s">
        <v>77</v>
      </c>
      <c r="G638" t="s">
        <v>111</v>
      </c>
      <c r="H638" t="s">
        <v>363</v>
      </c>
    </row>
    <row r="639" spans="1:8" hidden="1" x14ac:dyDescent="0.2">
      <c r="A639" t="s">
        <v>364</v>
      </c>
      <c r="B639">
        <v>0.45705279747832939</v>
      </c>
      <c r="C639" t="s">
        <v>79</v>
      </c>
      <c r="E639" t="s">
        <v>4</v>
      </c>
      <c r="F639" t="s">
        <v>77</v>
      </c>
      <c r="G639" t="s">
        <v>367</v>
      </c>
    </row>
    <row r="640" spans="1:8" hidden="1" x14ac:dyDescent="0.2">
      <c r="A640" t="s">
        <v>365</v>
      </c>
      <c r="B640">
        <v>0.33884948778565799</v>
      </c>
      <c r="C640" t="s">
        <v>79</v>
      </c>
      <c r="E640" t="s">
        <v>53</v>
      </c>
      <c r="F640" t="s">
        <v>77</v>
      </c>
      <c r="G640" t="s">
        <v>368</v>
      </c>
    </row>
    <row r="641" spans="1:8" hidden="1" x14ac:dyDescent="0.2">
      <c r="A641" t="s">
        <v>366</v>
      </c>
      <c r="B641">
        <v>0.42111899133175729</v>
      </c>
      <c r="C641" t="s">
        <v>79</v>
      </c>
      <c r="E641" t="s">
        <v>53</v>
      </c>
      <c r="F641" t="s">
        <v>77</v>
      </c>
      <c r="G641" t="s">
        <v>369</v>
      </c>
    </row>
    <row r="642" spans="1:8" hidden="1" x14ac:dyDescent="0.2">
      <c r="A642" t="s">
        <v>51</v>
      </c>
      <c r="B642">
        <f>78.8022064617809/3.6</f>
        <v>21.88950179493914</v>
      </c>
      <c r="C642" t="s">
        <v>81</v>
      </c>
      <c r="E642" t="s">
        <v>119</v>
      </c>
      <c r="F642" t="s">
        <v>77</v>
      </c>
      <c r="G642" t="s">
        <v>52</v>
      </c>
      <c r="H642" t="s">
        <v>320</v>
      </c>
    </row>
    <row r="643" spans="1:8" hidden="1" x14ac:dyDescent="0.2">
      <c r="A643" t="s">
        <v>114</v>
      </c>
      <c r="B643">
        <f>78.8022064617809</f>
        <v>78.802206461780898</v>
      </c>
      <c r="C643" t="s">
        <v>133</v>
      </c>
      <c r="E643" t="s">
        <v>92</v>
      </c>
      <c r="F643" t="s">
        <v>77</v>
      </c>
      <c r="G643" t="s">
        <v>121</v>
      </c>
      <c r="H643" t="s">
        <v>209</v>
      </c>
    </row>
    <row r="644" spans="1:8" hidden="1" x14ac:dyDescent="0.2">
      <c r="A644" t="s">
        <v>356</v>
      </c>
      <c r="B644">
        <v>315.20882584712399</v>
      </c>
      <c r="C644" t="s">
        <v>79</v>
      </c>
      <c r="E644" t="s">
        <v>119</v>
      </c>
      <c r="F644" t="s">
        <v>77</v>
      </c>
      <c r="G644" t="s">
        <v>59</v>
      </c>
      <c r="H644" t="s">
        <v>50</v>
      </c>
    </row>
    <row r="645" spans="1:8" hidden="1" x14ac:dyDescent="0.2">
      <c r="A645" t="s">
        <v>252</v>
      </c>
      <c r="B645">
        <v>-0.68557919621749397</v>
      </c>
      <c r="C645" t="s">
        <v>133</v>
      </c>
      <c r="E645" t="s">
        <v>119</v>
      </c>
      <c r="F645" t="s">
        <v>77</v>
      </c>
      <c r="G645" t="s">
        <v>253</v>
      </c>
      <c r="H645" t="s">
        <v>361</v>
      </c>
    </row>
    <row r="646" spans="1:8" hidden="1" x14ac:dyDescent="0.2">
      <c r="A646" t="s">
        <v>370</v>
      </c>
      <c r="B646">
        <f>-0.179790569157611*1000</f>
        <v>-179.790569157611</v>
      </c>
      <c r="C646" t="s">
        <v>79</v>
      </c>
      <c r="E646" t="s">
        <v>119</v>
      </c>
      <c r="F646" t="s">
        <v>77</v>
      </c>
      <c r="G646" t="s">
        <v>371</v>
      </c>
    </row>
    <row r="647" spans="1:8" hidden="1" x14ac:dyDescent="0.2">
      <c r="A647" t="s">
        <v>399</v>
      </c>
      <c r="B647">
        <f>-78.8022064617809</f>
        <v>-78.802206461780898</v>
      </c>
      <c r="C647" t="s">
        <v>133</v>
      </c>
      <c r="E647" t="s">
        <v>92</v>
      </c>
      <c r="F647" t="s">
        <v>77</v>
      </c>
      <c r="G647" t="s">
        <v>400</v>
      </c>
      <c r="H647" t="s">
        <v>211</v>
      </c>
    </row>
    <row r="648" spans="1:8" hidden="1" x14ac:dyDescent="0.2">
      <c r="A648" t="s">
        <v>402</v>
      </c>
      <c r="B648">
        <v>-47.281323877068601</v>
      </c>
      <c r="C648" t="s">
        <v>133</v>
      </c>
      <c r="E648" t="s">
        <v>92</v>
      </c>
      <c r="F648" t="s">
        <v>77</v>
      </c>
      <c r="G648" t="s">
        <v>403</v>
      </c>
      <c r="H648" t="s">
        <v>211</v>
      </c>
    </row>
    <row r="649" spans="1:8" hidden="1" x14ac:dyDescent="0.2"/>
    <row r="650" spans="1:8" hidden="1" x14ac:dyDescent="0.2"/>
    <row r="651" spans="1:8" ht="16" hidden="1" x14ac:dyDescent="0.2">
      <c r="A651" s="2" t="s">
        <v>1</v>
      </c>
      <c r="B651" s="1" t="s">
        <v>206</v>
      </c>
    </row>
    <row r="652" spans="1:8" ht="16" hidden="1" x14ac:dyDescent="0.2">
      <c r="A652" s="5" t="s">
        <v>2</v>
      </c>
      <c r="B652" s="5" t="s">
        <v>207</v>
      </c>
    </row>
    <row r="653" spans="1:8" hidden="1" x14ac:dyDescent="0.2">
      <c r="A653" t="s">
        <v>3</v>
      </c>
      <c r="B653" t="s">
        <v>92</v>
      </c>
    </row>
    <row r="654" spans="1:8" hidden="1" x14ac:dyDescent="0.2">
      <c r="A654" t="s">
        <v>5</v>
      </c>
      <c r="B654">
        <v>1</v>
      </c>
    </row>
    <row r="655" spans="1:8" hidden="1" x14ac:dyDescent="0.2">
      <c r="A655" t="s">
        <v>6</v>
      </c>
      <c r="B655" t="s">
        <v>208</v>
      </c>
    </row>
    <row r="656" spans="1:8" hidden="1" x14ac:dyDescent="0.2">
      <c r="A656" t="s">
        <v>7</v>
      </c>
      <c r="B656" t="s">
        <v>133</v>
      </c>
    </row>
    <row r="657" spans="1:8" hidden="1" x14ac:dyDescent="0.2">
      <c r="A657" t="s">
        <v>8</v>
      </c>
      <c r="B657" t="s">
        <v>16</v>
      </c>
    </row>
    <row r="658" spans="1:8" hidden="1" x14ac:dyDescent="0.2">
      <c r="A658" s="1" t="s">
        <v>9</v>
      </c>
      <c r="B658" s="1"/>
      <c r="C658" s="1"/>
      <c r="D658" s="1"/>
      <c r="E658" s="1"/>
      <c r="F658" s="1"/>
      <c r="G658" s="1"/>
    </row>
    <row r="659" spans="1:8" hidden="1" x14ac:dyDescent="0.2">
      <c r="A659" s="1" t="s">
        <v>10</v>
      </c>
      <c r="B659" s="1" t="s">
        <v>11</v>
      </c>
      <c r="C659" s="1" t="s">
        <v>7</v>
      </c>
      <c r="D659" s="1" t="s">
        <v>12</v>
      </c>
      <c r="E659" s="1" t="s">
        <v>3</v>
      </c>
      <c r="F659" s="1" t="s">
        <v>13</v>
      </c>
      <c r="G659" s="1" t="s">
        <v>6</v>
      </c>
      <c r="H659" s="1" t="s">
        <v>2</v>
      </c>
    </row>
    <row r="660" spans="1:8" hidden="1" x14ac:dyDescent="0.2">
      <c r="A660" t="str">
        <f>B651</f>
        <v>process cooling, water, for perovskite</v>
      </c>
      <c r="B660">
        <v>1</v>
      </c>
      <c r="C660" t="str">
        <f>B656</f>
        <v>cubic meter</v>
      </c>
      <c r="E660" t="s">
        <v>92</v>
      </c>
      <c r="F660" t="s">
        <v>14</v>
      </c>
      <c r="G660" t="str">
        <f>B655</f>
        <v>cooling water, conditioned</v>
      </c>
      <c r="H660" t="s">
        <v>207</v>
      </c>
    </row>
    <row r="661" spans="1:8" hidden="1" x14ac:dyDescent="0.2">
      <c r="A661" t="s">
        <v>252</v>
      </c>
      <c r="B661">
        <v>-1</v>
      </c>
      <c r="C661" t="s">
        <v>133</v>
      </c>
      <c r="E661" t="s">
        <v>119</v>
      </c>
      <c r="F661" t="s">
        <v>77</v>
      </c>
      <c r="G661" t="s">
        <v>253</v>
      </c>
      <c r="H661" t="s">
        <v>361</v>
      </c>
    </row>
    <row r="662" spans="1:8" hidden="1" x14ac:dyDescent="0.2">
      <c r="A662" t="s">
        <v>51</v>
      </c>
      <c r="B662">
        <f>0.165704904993084/3.6</f>
        <v>4.602914027585666E-2</v>
      </c>
      <c r="C662" t="s">
        <v>81</v>
      </c>
      <c r="E662" t="s">
        <v>119</v>
      </c>
      <c r="F662" t="s">
        <v>77</v>
      </c>
      <c r="G662" t="s">
        <v>52</v>
      </c>
    </row>
    <row r="663" spans="1:8" hidden="1" x14ac:dyDescent="0.2">
      <c r="A663" t="s">
        <v>356</v>
      </c>
      <c r="B663">
        <v>1000</v>
      </c>
      <c r="C663" t="s">
        <v>79</v>
      </c>
      <c r="E663" t="s">
        <v>119</v>
      </c>
      <c r="F663" t="s">
        <v>77</v>
      </c>
      <c r="G663" t="s">
        <v>59</v>
      </c>
      <c r="H663" t="s">
        <v>50</v>
      </c>
    </row>
    <row r="664" spans="1:8" hidden="1" x14ac:dyDescent="0.2"/>
    <row r="665" spans="1:8" ht="16" hidden="1" x14ac:dyDescent="0.2">
      <c r="A665" s="2" t="s">
        <v>1</v>
      </c>
      <c r="B665" s="1" t="s">
        <v>206</v>
      </c>
    </row>
    <row r="666" spans="1:8" ht="16" hidden="1" x14ac:dyDescent="0.2">
      <c r="A666" s="5" t="s">
        <v>2</v>
      </c>
      <c r="B666" s="5" t="s">
        <v>207</v>
      </c>
    </row>
    <row r="667" spans="1:8" hidden="1" x14ac:dyDescent="0.2">
      <c r="A667" t="s">
        <v>3</v>
      </c>
      <c r="B667" t="s">
        <v>92</v>
      </c>
    </row>
    <row r="668" spans="1:8" hidden="1" x14ac:dyDescent="0.2">
      <c r="A668" t="s">
        <v>5</v>
      </c>
      <c r="B668">
        <v>1</v>
      </c>
    </row>
    <row r="669" spans="1:8" hidden="1" x14ac:dyDescent="0.2">
      <c r="A669" t="s">
        <v>6</v>
      </c>
      <c r="B669" t="s">
        <v>213</v>
      </c>
    </row>
    <row r="670" spans="1:8" hidden="1" x14ac:dyDescent="0.2">
      <c r="A670" t="s">
        <v>7</v>
      </c>
      <c r="B670" t="s">
        <v>133</v>
      </c>
    </row>
    <row r="671" spans="1:8" hidden="1" x14ac:dyDescent="0.2">
      <c r="A671" t="s">
        <v>8</v>
      </c>
      <c r="B671" t="s">
        <v>16</v>
      </c>
    </row>
    <row r="672" spans="1:8" hidden="1" x14ac:dyDescent="0.2">
      <c r="A672" s="1" t="s">
        <v>9</v>
      </c>
      <c r="B672" s="1"/>
      <c r="C672" s="1"/>
      <c r="D672" s="1"/>
      <c r="E672" s="1"/>
      <c r="F672" s="1"/>
      <c r="G672" s="1"/>
    </row>
    <row r="673" spans="1:8" hidden="1" x14ac:dyDescent="0.2">
      <c r="A673" s="1" t="s">
        <v>10</v>
      </c>
      <c r="B673" s="1" t="s">
        <v>11</v>
      </c>
      <c r="C673" s="1" t="s">
        <v>7</v>
      </c>
      <c r="D673" s="1" t="s">
        <v>12</v>
      </c>
      <c r="E673" s="1" t="s">
        <v>3</v>
      </c>
      <c r="F673" s="1" t="s">
        <v>13</v>
      </c>
      <c r="G673" s="1" t="s">
        <v>6</v>
      </c>
      <c r="H673" s="1" t="s">
        <v>2</v>
      </c>
    </row>
    <row r="674" spans="1:8" hidden="1" x14ac:dyDescent="0.2">
      <c r="A674" t="str">
        <f>B665</f>
        <v>process cooling, water, for perovskite</v>
      </c>
      <c r="B674">
        <f>-1</f>
        <v>-1</v>
      </c>
      <c r="C674" t="str">
        <f>B670</f>
        <v>cubic meter</v>
      </c>
      <c r="E674" t="s">
        <v>92</v>
      </c>
      <c r="F674" t="s">
        <v>14</v>
      </c>
      <c r="G674" t="str">
        <f>B669</f>
        <v>cooling water, used</v>
      </c>
      <c r="H674" t="s">
        <v>207</v>
      </c>
    </row>
    <row r="675" spans="1:8" hidden="1" x14ac:dyDescent="0.2"/>
    <row r="676" spans="1:8" hidden="1" x14ac:dyDescent="0.2"/>
    <row r="677" spans="1:8" ht="16" hidden="1" x14ac:dyDescent="0.2">
      <c r="A677" s="2" t="s">
        <v>1</v>
      </c>
      <c r="B677" s="1" t="s">
        <v>114</v>
      </c>
    </row>
    <row r="678" spans="1:8" ht="16" hidden="1" x14ac:dyDescent="0.2">
      <c r="A678" s="5" t="s">
        <v>2</v>
      </c>
      <c r="B678" s="5" t="s">
        <v>209</v>
      </c>
    </row>
    <row r="679" spans="1:8" hidden="1" x14ac:dyDescent="0.2">
      <c r="A679" t="s">
        <v>3</v>
      </c>
      <c r="B679" t="s">
        <v>92</v>
      </c>
    </row>
    <row r="680" spans="1:8" hidden="1" x14ac:dyDescent="0.2">
      <c r="A680" t="s">
        <v>5</v>
      </c>
      <c r="B680">
        <v>1</v>
      </c>
    </row>
    <row r="681" spans="1:8" hidden="1" x14ac:dyDescent="0.2">
      <c r="A681" t="s">
        <v>6</v>
      </c>
      <c r="B681" t="s">
        <v>121</v>
      </c>
    </row>
    <row r="682" spans="1:8" hidden="1" x14ac:dyDescent="0.2">
      <c r="A682" t="s">
        <v>7</v>
      </c>
      <c r="B682" t="s">
        <v>133</v>
      </c>
    </row>
    <row r="683" spans="1:8" hidden="1" x14ac:dyDescent="0.2">
      <c r="A683" t="s">
        <v>8</v>
      </c>
      <c r="B683" t="s">
        <v>16</v>
      </c>
    </row>
    <row r="684" spans="1:8" hidden="1" x14ac:dyDescent="0.2">
      <c r="A684" s="1" t="s">
        <v>9</v>
      </c>
      <c r="B684" s="1"/>
      <c r="C684" s="1"/>
      <c r="D684" s="1"/>
      <c r="E684" s="1"/>
      <c r="F684" s="1"/>
      <c r="G684" s="1"/>
    </row>
    <row r="685" spans="1:8" hidden="1" x14ac:dyDescent="0.2">
      <c r="A685" s="1" t="s">
        <v>10</v>
      </c>
      <c r="B685" s="1" t="s">
        <v>11</v>
      </c>
      <c r="C685" s="1" t="s">
        <v>7</v>
      </c>
      <c r="D685" s="1" t="s">
        <v>12</v>
      </c>
      <c r="E685" s="1" t="s">
        <v>3</v>
      </c>
      <c r="F685" s="1" t="s">
        <v>13</v>
      </c>
      <c r="G685" s="1" t="s">
        <v>6</v>
      </c>
      <c r="H685" s="1" t="s">
        <v>2</v>
      </c>
    </row>
    <row r="686" spans="1:8" hidden="1" x14ac:dyDescent="0.2">
      <c r="A686" t="str">
        <f>B677</f>
        <v>air compressor activity, for perovskite</v>
      </c>
      <c r="B686">
        <v>1</v>
      </c>
      <c r="C686" t="str">
        <f>B682</f>
        <v>cubic meter</v>
      </c>
      <c r="E686" t="s">
        <v>92</v>
      </c>
      <c r="F686" t="s">
        <v>14</v>
      </c>
      <c r="G686" t="str">
        <f>B681</f>
        <v>compressed air, 14 bar, low efficiency</v>
      </c>
      <c r="H686" t="s">
        <v>209</v>
      </c>
    </row>
    <row r="687" spans="1:8" hidden="1" x14ac:dyDescent="0.2">
      <c r="A687" t="s">
        <v>372</v>
      </c>
      <c r="B687">
        <v>1</v>
      </c>
      <c r="C687" t="s">
        <v>133</v>
      </c>
      <c r="E687" t="s">
        <v>53</v>
      </c>
      <c r="F687" t="s">
        <v>77</v>
      </c>
      <c r="G687" t="s">
        <v>373</v>
      </c>
      <c r="H687" t="s">
        <v>374</v>
      </c>
    </row>
    <row r="688" spans="1:8" hidden="1" x14ac:dyDescent="0.2"/>
    <row r="689" spans="1:8" hidden="1" x14ac:dyDescent="0.2"/>
    <row r="690" spans="1:8" ht="16" hidden="1" x14ac:dyDescent="0.2">
      <c r="A690" s="2" t="s">
        <v>1</v>
      </c>
      <c r="B690" s="1" t="s">
        <v>389</v>
      </c>
    </row>
    <row r="691" spans="1:8" ht="16" hidden="1" x14ac:dyDescent="0.2">
      <c r="A691" s="5" t="s">
        <v>2</v>
      </c>
      <c r="B691" s="5" t="s">
        <v>211</v>
      </c>
    </row>
    <row r="692" spans="1:8" hidden="1" x14ac:dyDescent="0.2">
      <c r="A692" t="s">
        <v>3</v>
      </c>
      <c r="B692" t="s">
        <v>92</v>
      </c>
    </row>
    <row r="693" spans="1:8" hidden="1" x14ac:dyDescent="0.2">
      <c r="A693" t="s">
        <v>5</v>
      </c>
      <c r="B693">
        <v>1</v>
      </c>
    </row>
    <row r="694" spans="1:8" hidden="1" x14ac:dyDescent="0.2">
      <c r="A694" t="s">
        <v>6</v>
      </c>
      <c r="B694" t="s">
        <v>390</v>
      </c>
    </row>
    <row r="695" spans="1:8" hidden="1" x14ac:dyDescent="0.2">
      <c r="A695" t="s">
        <v>7</v>
      </c>
      <c r="B695" t="s">
        <v>133</v>
      </c>
    </row>
    <row r="696" spans="1:8" hidden="1" x14ac:dyDescent="0.2">
      <c r="A696" t="s">
        <v>8</v>
      </c>
      <c r="B696" t="s">
        <v>16</v>
      </c>
    </row>
    <row r="697" spans="1:8" hidden="1" x14ac:dyDescent="0.2">
      <c r="A697" s="1" t="s">
        <v>9</v>
      </c>
      <c r="B697" s="1"/>
      <c r="C697" s="1"/>
      <c r="D697" s="1"/>
      <c r="E697" s="1"/>
      <c r="F697" s="1"/>
      <c r="G697" s="1"/>
    </row>
    <row r="698" spans="1:8" hidden="1" x14ac:dyDescent="0.2">
      <c r="A698" s="1" t="s">
        <v>10</v>
      </c>
      <c r="B698" s="1" t="s">
        <v>11</v>
      </c>
      <c r="C698" s="1" t="s">
        <v>7</v>
      </c>
      <c r="D698" s="1" t="s">
        <v>12</v>
      </c>
      <c r="E698" s="1" t="s">
        <v>3</v>
      </c>
      <c r="F698" s="1" t="s">
        <v>13</v>
      </c>
      <c r="G698" s="1" t="s">
        <v>6</v>
      </c>
      <c r="H698" s="1" t="s">
        <v>2</v>
      </c>
    </row>
    <row r="699" spans="1:8" hidden="1" x14ac:dyDescent="0.2">
      <c r="A699" t="str">
        <f>B690</f>
        <v>process exhaust ventilators, general, for perovskite production</v>
      </c>
      <c r="B699">
        <v>-1</v>
      </c>
      <c r="C699" t="str">
        <f>B695</f>
        <v>cubic meter</v>
      </c>
      <c r="E699" t="s">
        <v>92</v>
      </c>
      <c r="F699" t="s">
        <v>14</v>
      </c>
      <c r="G699" t="str">
        <f>B694</f>
        <v>exhaust, general</v>
      </c>
      <c r="H699" t="s">
        <v>211</v>
      </c>
    </row>
    <row r="700" spans="1:8" hidden="1" x14ac:dyDescent="0.2">
      <c r="A700" t="s">
        <v>391</v>
      </c>
      <c r="B700">
        <v>7.6051410753669521E-7</v>
      </c>
      <c r="C700" t="s">
        <v>7</v>
      </c>
      <c r="E700" t="s">
        <v>4</v>
      </c>
      <c r="F700" t="s">
        <v>77</v>
      </c>
      <c r="G700" t="s">
        <v>393</v>
      </c>
    </row>
    <row r="701" spans="1:8" hidden="1" x14ac:dyDescent="0.2">
      <c r="A701" t="s">
        <v>392</v>
      </c>
      <c r="B701">
        <v>7.6051410753669521E-7</v>
      </c>
      <c r="C701" t="s">
        <v>7</v>
      </c>
      <c r="E701" t="s">
        <v>57</v>
      </c>
      <c r="F701" t="s">
        <v>77</v>
      </c>
      <c r="G701" t="s">
        <v>394</v>
      </c>
    </row>
    <row r="702" spans="1:8" hidden="1" x14ac:dyDescent="0.2">
      <c r="A702" t="s">
        <v>51</v>
      </c>
      <c r="B702">
        <f>0.0061881332397246/3.6</f>
        <v>1.7189258999234999E-3</v>
      </c>
      <c r="C702" t="s">
        <v>81</v>
      </c>
      <c r="E702" t="s">
        <v>119</v>
      </c>
      <c r="F702" t="s">
        <v>77</v>
      </c>
      <c r="G702" t="s">
        <v>52</v>
      </c>
    </row>
    <row r="703" spans="1:8" hidden="1" x14ac:dyDescent="0.2">
      <c r="A703" t="s">
        <v>398</v>
      </c>
      <c r="B703">
        <v>1.1407711613050422E-5</v>
      </c>
      <c r="C703" t="s">
        <v>79</v>
      </c>
      <c r="D703" t="s">
        <v>62</v>
      </c>
      <c r="F703" t="s">
        <v>78</v>
      </c>
      <c r="H703" t="s">
        <v>395</v>
      </c>
    </row>
    <row r="704" spans="1:8" hidden="1" x14ac:dyDescent="0.2">
      <c r="A704" t="s">
        <v>190</v>
      </c>
      <c r="B704">
        <v>9.8572073921971304E-3</v>
      </c>
      <c r="C704" t="s">
        <v>80</v>
      </c>
      <c r="D704" t="s">
        <v>62</v>
      </c>
      <c r="F704" t="s">
        <v>78</v>
      </c>
      <c r="H704" t="s">
        <v>396</v>
      </c>
    </row>
    <row r="705" spans="1:8" hidden="1" x14ac:dyDescent="0.2">
      <c r="A705" t="s">
        <v>76</v>
      </c>
      <c r="B705">
        <v>3.9926990645676497E-5</v>
      </c>
      <c r="C705" t="s">
        <v>133</v>
      </c>
      <c r="D705" t="s">
        <v>62</v>
      </c>
      <c r="F705" t="s">
        <v>78</v>
      </c>
      <c r="H705" t="s">
        <v>397</v>
      </c>
    </row>
    <row r="706" spans="1:8" hidden="1" x14ac:dyDescent="0.2"/>
    <row r="707" spans="1:8" hidden="1" x14ac:dyDescent="0.2"/>
    <row r="708" spans="1:8" ht="16" hidden="1" x14ac:dyDescent="0.2">
      <c r="A708" s="2" t="s">
        <v>1</v>
      </c>
      <c r="B708" s="1" t="s">
        <v>399</v>
      </c>
    </row>
    <row r="709" spans="1:8" ht="16" hidden="1" x14ac:dyDescent="0.2">
      <c r="A709" s="5" t="s">
        <v>2</v>
      </c>
      <c r="B709" s="5" t="s">
        <v>211</v>
      </c>
    </row>
    <row r="710" spans="1:8" hidden="1" x14ac:dyDescent="0.2">
      <c r="A710" t="s">
        <v>3</v>
      </c>
      <c r="B710" t="s">
        <v>92</v>
      </c>
    </row>
    <row r="711" spans="1:8" hidden="1" x14ac:dyDescent="0.2">
      <c r="A711" t="s">
        <v>5</v>
      </c>
      <c r="B711">
        <v>1</v>
      </c>
    </row>
    <row r="712" spans="1:8" hidden="1" x14ac:dyDescent="0.2">
      <c r="A712" t="s">
        <v>6</v>
      </c>
      <c r="B712" t="s">
        <v>400</v>
      </c>
    </row>
    <row r="713" spans="1:8" hidden="1" x14ac:dyDescent="0.2">
      <c r="A713" t="s">
        <v>7</v>
      </c>
      <c r="B713" t="s">
        <v>133</v>
      </c>
    </row>
    <row r="714" spans="1:8" hidden="1" x14ac:dyDescent="0.2">
      <c r="A714" t="s">
        <v>8</v>
      </c>
      <c r="B714" t="s">
        <v>16</v>
      </c>
    </row>
    <row r="715" spans="1:8" hidden="1" x14ac:dyDescent="0.2">
      <c r="A715" s="1" t="s">
        <v>9</v>
      </c>
      <c r="B715" s="1"/>
      <c r="C715" s="1"/>
      <c r="D715" s="1"/>
      <c r="E715" s="1"/>
      <c r="F715" s="1"/>
      <c r="G715" s="1"/>
    </row>
    <row r="716" spans="1:8" hidden="1" x14ac:dyDescent="0.2">
      <c r="A716" s="1" t="s">
        <v>10</v>
      </c>
      <c r="B716" s="1" t="s">
        <v>11</v>
      </c>
      <c r="C716" s="1" t="s">
        <v>7</v>
      </c>
      <c r="D716" s="1" t="s">
        <v>12</v>
      </c>
      <c r="E716" s="1" t="s">
        <v>3</v>
      </c>
      <c r="F716" s="1" t="s">
        <v>13</v>
      </c>
      <c r="G716" s="1" t="s">
        <v>6</v>
      </c>
      <c r="H716" s="1" t="s">
        <v>2</v>
      </c>
    </row>
    <row r="717" spans="1:8" hidden="1" x14ac:dyDescent="0.2">
      <c r="A717" t="str">
        <f>B708</f>
        <v>process exhaust ventilators, acidic, for perovskite production</v>
      </c>
      <c r="B717">
        <v>-1</v>
      </c>
      <c r="C717" t="str">
        <f>B713</f>
        <v>cubic meter</v>
      </c>
      <c r="E717" t="s">
        <v>92</v>
      </c>
      <c r="F717" t="s">
        <v>14</v>
      </c>
      <c r="G717" t="str">
        <f>B712</f>
        <v>exhaust, acidic</v>
      </c>
      <c r="H717" t="s">
        <v>211</v>
      </c>
    </row>
    <row r="718" spans="1:8" hidden="1" x14ac:dyDescent="0.2">
      <c r="A718" t="s">
        <v>391</v>
      </c>
      <c r="B718">
        <v>7.6051410753669521E-7</v>
      </c>
      <c r="C718" t="s">
        <v>7</v>
      </c>
      <c r="E718" t="s">
        <v>4</v>
      </c>
      <c r="F718" t="s">
        <v>77</v>
      </c>
      <c r="G718" t="s">
        <v>393</v>
      </c>
    </row>
    <row r="719" spans="1:8" hidden="1" x14ac:dyDescent="0.2">
      <c r="A719" t="s">
        <v>392</v>
      </c>
      <c r="B719">
        <v>7.6051410753669521E-7</v>
      </c>
      <c r="C719" t="s">
        <v>7</v>
      </c>
      <c r="E719" t="s">
        <v>57</v>
      </c>
      <c r="F719" t="s">
        <v>77</v>
      </c>
      <c r="G719" t="s">
        <v>394</v>
      </c>
    </row>
    <row r="720" spans="1:8" hidden="1" x14ac:dyDescent="0.2">
      <c r="A720" t="s">
        <v>51</v>
      </c>
      <c r="B720">
        <f>0.0061881332397246/3.6</f>
        <v>1.7189258999234999E-3</v>
      </c>
      <c r="C720" t="s">
        <v>81</v>
      </c>
      <c r="E720" t="s">
        <v>119</v>
      </c>
      <c r="F720" t="s">
        <v>77</v>
      </c>
      <c r="G720" t="s">
        <v>52</v>
      </c>
    </row>
    <row r="721" spans="1:8" hidden="1" x14ac:dyDescent="0.2">
      <c r="A721" t="s">
        <v>398</v>
      </c>
      <c r="B721">
        <v>1.1407711613050422E-5</v>
      </c>
      <c r="C721" t="s">
        <v>79</v>
      </c>
      <c r="D721" t="s">
        <v>62</v>
      </c>
      <c r="F721" t="s">
        <v>78</v>
      </c>
      <c r="H721" t="s">
        <v>395</v>
      </c>
    </row>
    <row r="722" spans="1:8" hidden="1" x14ac:dyDescent="0.2">
      <c r="A722" t="s">
        <v>190</v>
      </c>
      <c r="B722">
        <v>9.8572073921971304E-3</v>
      </c>
      <c r="C722" t="s">
        <v>80</v>
      </c>
      <c r="D722" t="s">
        <v>62</v>
      </c>
      <c r="F722" t="s">
        <v>78</v>
      </c>
      <c r="H722" t="s">
        <v>396</v>
      </c>
    </row>
    <row r="723" spans="1:8" hidden="1" x14ac:dyDescent="0.2">
      <c r="A723" t="s">
        <v>76</v>
      </c>
      <c r="B723">
        <v>3.9926990645676497E-5</v>
      </c>
      <c r="C723" t="s">
        <v>133</v>
      </c>
      <c r="D723" t="s">
        <v>62</v>
      </c>
      <c r="F723" t="s">
        <v>78</v>
      </c>
      <c r="H723" t="s">
        <v>397</v>
      </c>
    </row>
    <row r="724" spans="1:8" hidden="1" x14ac:dyDescent="0.2">
      <c r="A724" t="s">
        <v>25</v>
      </c>
      <c r="B724">
        <f>0.000382716049382716/0.2*2.13</f>
        <v>4.0759259259259247E-3</v>
      </c>
      <c r="C724" t="s">
        <v>79</v>
      </c>
      <c r="E724" t="s">
        <v>53</v>
      </c>
      <c r="F724" t="s">
        <v>77</v>
      </c>
      <c r="G724" t="s">
        <v>111</v>
      </c>
      <c r="H724" t="s">
        <v>401</v>
      </c>
    </row>
    <row r="725" spans="1:8" hidden="1" x14ac:dyDescent="0.2">
      <c r="A725" t="s">
        <v>51</v>
      </c>
      <c r="B725">
        <f>0.00911111111111111/3.6</f>
        <v>2.5308641975308639E-3</v>
      </c>
      <c r="C725" t="s">
        <v>81</v>
      </c>
      <c r="E725" t="s">
        <v>119</v>
      </c>
      <c r="F725" t="s">
        <v>77</v>
      </c>
      <c r="G725" t="s">
        <v>52</v>
      </c>
    </row>
    <row r="726" spans="1:8" hidden="1" x14ac:dyDescent="0.2">
      <c r="A726" t="s">
        <v>100</v>
      </c>
      <c r="B726">
        <v>0.15308641975308601</v>
      </c>
      <c r="C726" t="s">
        <v>79</v>
      </c>
      <c r="E726" t="s">
        <v>53</v>
      </c>
      <c r="F726" t="s">
        <v>77</v>
      </c>
      <c r="G726" t="s">
        <v>101</v>
      </c>
    </row>
    <row r="727" spans="1:8" hidden="1" x14ac:dyDescent="0.2"/>
    <row r="728" spans="1:8" hidden="1" x14ac:dyDescent="0.2"/>
    <row r="729" spans="1:8" ht="16" hidden="1" x14ac:dyDescent="0.2">
      <c r="A729" s="2" t="s">
        <v>1</v>
      </c>
      <c r="B729" s="1" t="s">
        <v>402</v>
      </c>
    </row>
    <row r="730" spans="1:8" ht="16" hidden="1" x14ac:dyDescent="0.2">
      <c r="A730" s="5" t="s">
        <v>2</v>
      </c>
      <c r="B730" s="5" t="s">
        <v>211</v>
      </c>
    </row>
    <row r="731" spans="1:8" hidden="1" x14ac:dyDescent="0.2">
      <c r="A731" t="s">
        <v>3</v>
      </c>
      <c r="B731" t="s">
        <v>92</v>
      </c>
    </row>
    <row r="732" spans="1:8" hidden="1" x14ac:dyDescent="0.2">
      <c r="A732" t="s">
        <v>5</v>
      </c>
      <c r="B732">
        <v>1</v>
      </c>
    </row>
    <row r="733" spans="1:8" hidden="1" x14ac:dyDescent="0.2">
      <c r="A733" t="s">
        <v>6</v>
      </c>
      <c r="B733" t="s">
        <v>403</v>
      </c>
    </row>
    <row r="734" spans="1:8" hidden="1" x14ac:dyDescent="0.2">
      <c r="A734" t="s">
        <v>7</v>
      </c>
      <c r="B734" t="s">
        <v>133</v>
      </c>
    </row>
    <row r="735" spans="1:8" hidden="1" x14ac:dyDescent="0.2">
      <c r="A735" t="s">
        <v>8</v>
      </c>
      <c r="B735" t="s">
        <v>16</v>
      </c>
    </row>
    <row r="736" spans="1:8" hidden="1" x14ac:dyDescent="0.2">
      <c r="A736" s="1" t="s">
        <v>9</v>
      </c>
      <c r="B736" s="1"/>
      <c r="C736" s="1"/>
      <c r="D736" s="1"/>
      <c r="E736" s="1"/>
      <c r="F736" s="1"/>
      <c r="G736" s="1"/>
    </row>
    <row r="737" spans="1:8" hidden="1" x14ac:dyDescent="0.2">
      <c r="A737" s="1" t="s">
        <v>10</v>
      </c>
      <c r="B737" s="1" t="s">
        <v>11</v>
      </c>
      <c r="C737" s="1" t="s">
        <v>7</v>
      </c>
      <c r="D737" s="1" t="s">
        <v>12</v>
      </c>
      <c r="E737" s="1" t="s">
        <v>3</v>
      </c>
      <c r="F737" s="1" t="s">
        <v>13</v>
      </c>
      <c r="G737" s="1" t="s">
        <v>6</v>
      </c>
      <c r="H737" s="1" t="s">
        <v>2</v>
      </c>
    </row>
    <row r="738" spans="1:8" hidden="1" x14ac:dyDescent="0.2">
      <c r="A738" t="str">
        <f>B729</f>
        <v>process exhaust ventilators, caustic, for perovskite production</v>
      </c>
      <c r="B738">
        <v>-1</v>
      </c>
      <c r="C738" t="str">
        <f>B734</f>
        <v>cubic meter</v>
      </c>
      <c r="E738" t="s">
        <v>92</v>
      </c>
      <c r="F738" t="s">
        <v>14</v>
      </c>
      <c r="G738" t="str">
        <f>B733</f>
        <v>exhaust, caustic</v>
      </c>
      <c r="H738" t="s">
        <v>211</v>
      </c>
    </row>
    <row r="739" spans="1:8" hidden="1" x14ac:dyDescent="0.2">
      <c r="A739" t="s">
        <v>391</v>
      </c>
      <c r="B739">
        <v>7.6051410753669521E-7</v>
      </c>
      <c r="C739" t="s">
        <v>7</v>
      </c>
      <c r="E739" t="s">
        <v>4</v>
      </c>
      <c r="F739" t="s">
        <v>77</v>
      </c>
      <c r="G739" t="s">
        <v>393</v>
      </c>
    </row>
    <row r="740" spans="1:8" hidden="1" x14ac:dyDescent="0.2">
      <c r="A740" t="s">
        <v>392</v>
      </c>
      <c r="B740">
        <v>7.6051410753669521E-7</v>
      </c>
      <c r="C740" t="s">
        <v>7</v>
      </c>
      <c r="E740" t="s">
        <v>57</v>
      </c>
      <c r="F740" t="s">
        <v>77</v>
      </c>
      <c r="G740" t="s">
        <v>394</v>
      </c>
    </row>
    <row r="741" spans="1:8" hidden="1" x14ac:dyDescent="0.2">
      <c r="A741" t="s">
        <v>51</v>
      </c>
      <c r="B741">
        <f>0.0061881332397246/3.6</f>
        <v>1.7189258999234999E-3</v>
      </c>
      <c r="C741" t="s">
        <v>81</v>
      </c>
      <c r="E741" t="s">
        <v>119</v>
      </c>
      <c r="F741" t="s">
        <v>77</v>
      </c>
      <c r="G741" t="s">
        <v>52</v>
      </c>
    </row>
    <row r="742" spans="1:8" hidden="1" x14ac:dyDescent="0.2">
      <c r="A742" t="s">
        <v>398</v>
      </c>
      <c r="B742">
        <v>1.1407711613050422E-5</v>
      </c>
      <c r="C742" t="s">
        <v>79</v>
      </c>
      <c r="D742" t="s">
        <v>62</v>
      </c>
      <c r="F742" t="s">
        <v>78</v>
      </c>
      <c r="H742" t="s">
        <v>395</v>
      </c>
    </row>
    <row r="743" spans="1:8" hidden="1" x14ac:dyDescent="0.2">
      <c r="A743" t="s">
        <v>190</v>
      </c>
      <c r="B743">
        <v>9.8572073921971304E-3</v>
      </c>
      <c r="C743" t="s">
        <v>80</v>
      </c>
      <c r="D743" t="s">
        <v>62</v>
      </c>
      <c r="F743" t="s">
        <v>78</v>
      </c>
      <c r="H743" t="s">
        <v>396</v>
      </c>
    </row>
    <row r="744" spans="1:8" hidden="1" x14ac:dyDescent="0.2">
      <c r="A744" t="s">
        <v>76</v>
      </c>
      <c r="B744">
        <v>3.9926990645676497E-5</v>
      </c>
      <c r="C744" t="s">
        <v>133</v>
      </c>
      <c r="D744" t="s">
        <v>62</v>
      </c>
      <c r="F744" t="s">
        <v>78</v>
      </c>
      <c r="H744" t="s">
        <v>397</v>
      </c>
    </row>
    <row r="745" spans="1:8" hidden="1" x14ac:dyDescent="0.2">
      <c r="A745" t="s">
        <v>231</v>
      </c>
      <c r="B745">
        <f>0.000382716049382716/0.2*1.83</f>
        <v>3.5018518518518515E-3</v>
      </c>
      <c r="C745" t="s">
        <v>79</v>
      </c>
      <c r="E745" t="s">
        <v>53</v>
      </c>
      <c r="F745" t="s">
        <v>77</v>
      </c>
      <c r="G745" t="s">
        <v>404</v>
      </c>
      <c r="H745" t="s">
        <v>405</v>
      </c>
    </row>
    <row r="746" spans="1:8" hidden="1" x14ac:dyDescent="0.2">
      <c r="A746" t="s">
        <v>51</v>
      </c>
      <c r="B746">
        <f>0.0113684210526316/3.6</f>
        <v>3.1578947368421113E-3</v>
      </c>
      <c r="C746" t="s">
        <v>81</v>
      </c>
      <c r="E746" t="s">
        <v>119</v>
      </c>
      <c r="F746" t="s">
        <v>77</v>
      </c>
      <c r="G746" t="s">
        <v>52</v>
      </c>
    </row>
    <row r="747" spans="1:8" hidden="1" x14ac:dyDescent="0.2">
      <c r="A747" t="s">
        <v>100</v>
      </c>
      <c r="B747">
        <v>0.11184210526315801</v>
      </c>
      <c r="C747" t="s">
        <v>79</v>
      </c>
      <c r="E747" t="s">
        <v>53</v>
      </c>
      <c r="F747" t="s">
        <v>77</v>
      </c>
      <c r="G747" t="s">
        <v>101</v>
      </c>
    </row>
  </sheetData>
  <autoFilter ref="A1:H747" xr:uid="{00000000-0001-0000-0000-000000000000}">
    <filterColumn colId="0">
      <filters>
        <filter val="market for silicon tetrachloride"/>
      </filters>
    </filterColumn>
  </autoFilter>
  <pageMargins left="0.7" right="0.7" top="0.75" bottom="0.75" header="0.3" footer="0.3"/>
  <pageSetup paperSize="9" orientation="portrait" r:id="rId1"/>
  <ignoredErrors>
    <ignoredError sqref="B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Romain Sacchi</cp:lastModifiedBy>
  <dcterms:created xsi:type="dcterms:W3CDTF">2015-06-05T18:19:34Z</dcterms:created>
  <dcterms:modified xsi:type="dcterms:W3CDTF">2024-09-06T15:34:37Z</dcterms:modified>
</cp:coreProperties>
</file>